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drawings/drawing4.xml" ContentType="application/vnd.openxmlformats-officedocument.drawing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drawings/drawing6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7.xml" ContentType="application/vnd.openxmlformats-officedocument.drawing+xml"/>
  <Override PartName="/xl/ctrlProps/ctrlProp2.xml" ContentType="application/vnd.ms-excel.controlproperties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85" yWindow="375" windowWidth="16140" windowHeight="9750" tabRatio="819" firstSheet="1" activeTab="2"/>
  </bookViews>
  <sheets>
    <sheet name="Param" sheetId="7" state="hidden" r:id="rId1"/>
    <sheet name="Bilan Trimestiel par Item" sheetId="22" r:id="rId2"/>
    <sheet name="Bilan mensuel COPIL" sheetId="18" r:id="rId3"/>
    <sheet name="Bilan mensuel sur 3 mois" sheetId="15" r:id="rId4"/>
    <sheet name="Bilan Hebdomadaire" sheetId="10" r:id="rId5"/>
    <sheet name="RESULTATS BO" sheetId="5" r:id="rId6"/>
    <sheet name="Moyenne globale BO" sheetId="24" r:id="rId7"/>
    <sheet name="TCD BO par CC" sheetId="16" r:id="rId8"/>
    <sheet name="TCD BO par titre" sheetId="20" r:id="rId9"/>
    <sheet name="TCD BO" sheetId="13" r:id="rId10"/>
    <sheet name="RESULTATS FO" sheetId="1" r:id="rId11"/>
    <sheet name="Moyenne globale FO" sheetId="23" r:id="rId12"/>
    <sheet name="TCD FO par CC" sheetId="17" r:id="rId13"/>
    <sheet name="TCD FO par titre" sheetId="19" r:id="rId14"/>
    <sheet name="TCD FO" sheetId="14" r:id="rId15"/>
    <sheet name="Correspondance" sheetId="9" r:id="rId16"/>
  </sheets>
  <externalReferences>
    <externalReference r:id="rId17"/>
    <externalReference r:id="rId18"/>
  </externalReferences>
  <definedNames>
    <definedName name="_xlnm._FilterDatabase" localSheetId="5" hidden="1">'RESULTATS BO'!$A$1:$AO$400</definedName>
    <definedName name="_xlnm._FilterDatabase" localSheetId="10" hidden="1">'RESULTATS FO'!$A$1:$AU$265</definedName>
    <definedName name="code_cli">'[1]code client'!$A$1:$C$65536</definedName>
    <definedName name="presta">[1]Prestation!$D$1:$G$65536</definedName>
  </definedNames>
  <calcPr calcId="145621"/>
  <pivotCaches>
    <pivotCache cacheId="7" r:id="rId19"/>
    <pivotCache cacheId="13" r:id="rId20"/>
  </pivotCaches>
  <fileRecoveryPr autoRecover="0"/>
</workbook>
</file>

<file path=xl/calcChain.xml><?xml version="1.0" encoding="utf-8"?>
<calcChain xmlns="http://schemas.openxmlformats.org/spreadsheetml/2006/main">
  <c r="D233" i="5" l="1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232" i="5"/>
  <c r="D231" i="5"/>
  <c r="B265" i="1" l="1"/>
  <c r="C265" i="1" s="1"/>
  <c r="B264" i="1"/>
  <c r="C264" i="1" s="1"/>
  <c r="B263" i="1"/>
  <c r="C263" i="1" s="1"/>
  <c r="B262" i="1"/>
  <c r="C262" i="1" s="1"/>
  <c r="B261" i="1"/>
  <c r="C261" i="1" s="1"/>
  <c r="B260" i="1"/>
  <c r="C260" i="1" s="1"/>
  <c r="B225" i="1"/>
  <c r="C225" i="1" s="1"/>
  <c r="A265" i="1"/>
  <c r="A264" i="1"/>
  <c r="A263" i="1"/>
  <c r="A262" i="1"/>
  <c r="A261" i="1"/>
  <c r="A260" i="1"/>
  <c r="B395" i="5" l="1"/>
  <c r="C395" i="5" s="1"/>
  <c r="A395" i="5"/>
  <c r="B390" i="5"/>
  <c r="C390" i="5" s="1"/>
  <c r="B378" i="5"/>
  <c r="C378" i="5" s="1"/>
  <c r="A390" i="5"/>
  <c r="A251" i="5" l="1"/>
  <c r="B251" i="5"/>
  <c r="C251" i="5" s="1"/>
  <c r="A252" i="5"/>
  <c r="B252" i="5"/>
  <c r="C252" i="5" s="1"/>
  <c r="A253" i="5"/>
  <c r="B253" i="5"/>
  <c r="C253" i="5" s="1"/>
  <c r="A254" i="5"/>
  <c r="B254" i="5"/>
  <c r="C254" i="5" s="1"/>
  <c r="A255" i="5"/>
  <c r="B255" i="5"/>
  <c r="C255" i="5" s="1"/>
  <c r="A256" i="5"/>
  <c r="B256" i="5"/>
  <c r="C256" i="5" s="1"/>
  <c r="A257" i="5"/>
  <c r="B257" i="5"/>
  <c r="C257" i="5" s="1"/>
  <c r="A258" i="5"/>
  <c r="B258" i="5"/>
  <c r="C258" i="5" s="1"/>
  <c r="A259" i="5"/>
  <c r="B259" i="5"/>
  <c r="C259" i="5" s="1"/>
  <c r="A260" i="5"/>
  <c r="B260" i="5"/>
  <c r="C260" i="5" s="1"/>
  <c r="A261" i="5"/>
  <c r="B261" i="5"/>
  <c r="C261" i="5" s="1"/>
  <c r="A262" i="5"/>
  <c r="B262" i="5"/>
  <c r="C262" i="5" s="1"/>
  <c r="A263" i="5"/>
  <c r="B263" i="5"/>
  <c r="C263" i="5" s="1"/>
  <c r="A264" i="5"/>
  <c r="B264" i="5"/>
  <c r="C264" i="5" s="1"/>
  <c r="A265" i="5"/>
  <c r="B265" i="5"/>
  <c r="C265" i="5" s="1"/>
  <c r="A266" i="5"/>
  <c r="B266" i="5"/>
  <c r="C266" i="5" s="1"/>
  <c r="A267" i="5"/>
  <c r="B267" i="5"/>
  <c r="C267" i="5" s="1"/>
  <c r="A268" i="5"/>
  <c r="B268" i="5"/>
  <c r="C268" i="5" s="1"/>
  <c r="A269" i="5"/>
  <c r="B269" i="5"/>
  <c r="C269" i="5" s="1"/>
  <c r="A270" i="5"/>
  <c r="B270" i="5"/>
  <c r="C270" i="5" s="1"/>
  <c r="A271" i="5"/>
  <c r="B271" i="5"/>
  <c r="C271" i="5" s="1"/>
  <c r="A272" i="5"/>
  <c r="B272" i="5"/>
  <c r="C272" i="5" s="1"/>
  <c r="A273" i="5"/>
  <c r="B273" i="5"/>
  <c r="C273" i="5" s="1"/>
  <c r="A274" i="5"/>
  <c r="B274" i="5"/>
  <c r="C274" i="5" s="1"/>
  <c r="A275" i="5"/>
  <c r="B275" i="5"/>
  <c r="C275" i="5" s="1"/>
  <c r="A276" i="5"/>
  <c r="B276" i="5"/>
  <c r="C276" i="5" s="1"/>
  <c r="A277" i="5"/>
  <c r="B277" i="5"/>
  <c r="C277" i="5" s="1"/>
  <c r="A278" i="5"/>
  <c r="B278" i="5"/>
  <c r="C278" i="5" s="1"/>
  <c r="A279" i="5"/>
  <c r="B279" i="5"/>
  <c r="C279" i="5" s="1"/>
  <c r="A280" i="5"/>
  <c r="B280" i="5"/>
  <c r="C280" i="5" s="1"/>
  <c r="A281" i="5"/>
  <c r="B281" i="5"/>
  <c r="C281" i="5" s="1"/>
  <c r="A282" i="5"/>
  <c r="B282" i="5"/>
  <c r="C282" i="5" s="1"/>
  <c r="A283" i="5"/>
  <c r="B283" i="5"/>
  <c r="C283" i="5" s="1"/>
  <c r="A284" i="5"/>
  <c r="B284" i="5"/>
  <c r="C284" i="5" s="1"/>
  <c r="A285" i="5"/>
  <c r="B285" i="5"/>
  <c r="C285" i="5" s="1"/>
  <c r="A286" i="5"/>
  <c r="B286" i="5"/>
  <c r="C286" i="5" s="1"/>
  <c r="A287" i="5"/>
  <c r="B287" i="5"/>
  <c r="C287" i="5" s="1"/>
  <c r="A288" i="5"/>
  <c r="B288" i="5"/>
  <c r="C288" i="5" s="1"/>
  <c r="A289" i="5"/>
  <c r="B289" i="5"/>
  <c r="C289" i="5" s="1"/>
  <c r="A290" i="5"/>
  <c r="B290" i="5"/>
  <c r="C290" i="5" s="1"/>
  <c r="A291" i="5"/>
  <c r="B291" i="5"/>
  <c r="C291" i="5" s="1"/>
  <c r="A292" i="5"/>
  <c r="B292" i="5"/>
  <c r="C292" i="5" s="1"/>
  <c r="A293" i="5"/>
  <c r="B293" i="5"/>
  <c r="C293" i="5" s="1"/>
  <c r="A294" i="5"/>
  <c r="B294" i="5"/>
  <c r="C294" i="5" s="1"/>
  <c r="A295" i="5"/>
  <c r="B295" i="5"/>
  <c r="C295" i="5" s="1"/>
  <c r="A296" i="5"/>
  <c r="B296" i="5"/>
  <c r="C296" i="5" s="1"/>
  <c r="A297" i="5"/>
  <c r="B297" i="5"/>
  <c r="C297" i="5" s="1"/>
  <c r="A298" i="5"/>
  <c r="B298" i="5"/>
  <c r="C298" i="5" s="1"/>
  <c r="A299" i="5"/>
  <c r="B299" i="5"/>
  <c r="C299" i="5" s="1"/>
  <c r="A300" i="5"/>
  <c r="B300" i="5"/>
  <c r="C300" i="5" s="1"/>
  <c r="A301" i="5"/>
  <c r="B301" i="5"/>
  <c r="C301" i="5" s="1"/>
  <c r="A302" i="5"/>
  <c r="B302" i="5"/>
  <c r="C302" i="5" s="1"/>
  <c r="A303" i="5"/>
  <c r="B303" i="5"/>
  <c r="C303" i="5" s="1"/>
  <c r="A304" i="5"/>
  <c r="B304" i="5"/>
  <c r="C304" i="5" s="1"/>
  <c r="A305" i="5"/>
  <c r="B305" i="5"/>
  <c r="C305" i="5" s="1"/>
  <c r="A306" i="5"/>
  <c r="B306" i="5"/>
  <c r="C306" i="5" s="1"/>
  <c r="A307" i="5"/>
  <c r="B307" i="5"/>
  <c r="C307" i="5" s="1"/>
  <c r="A308" i="5"/>
  <c r="B308" i="5"/>
  <c r="C308" i="5" s="1"/>
  <c r="A309" i="5"/>
  <c r="B309" i="5"/>
  <c r="C309" i="5" s="1"/>
  <c r="A310" i="5"/>
  <c r="B310" i="5"/>
  <c r="C310" i="5" s="1"/>
  <c r="A311" i="5"/>
  <c r="B311" i="5"/>
  <c r="C311" i="5" s="1"/>
  <c r="A312" i="5"/>
  <c r="B312" i="5"/>
  <c r="C312" i="5" s="1"/>
  <c r="A313" i="5"/>
  <c r="B313" i="5"/>
  <c r="C313" i="5" s="1"/>
  <c r="A314" i="5"/>
  <c r="B314" i="5"/>
  <c r="C314" i="5" s="1"/>
  <c r="A315" i="5"/>
  <c r="B315" i="5"/>
  <c r="C315" i="5" s="1"/>
  <c r="A316" i="5"/>
  <c r="B316" i="5"/>
  <c r="C316" i="5" s="1"/>
  <c r="A317" i="5"/>
  <c r="B317" i="5"/>
  <c r="C317" i="5" s="1"/>
  <c r="A318" i="5"/>
  <c r="B318" i="5"/>
  <c r="C318" i="5" s="1"/>
  <c r="A319" i="5"/>
  <c r="B319" i="5"/>
  <c r="C319" i="5" s="1"/>
  <c r="A320" i="5"/>
  <c r="B320" i="5"/>
  <c r="C320" i="5" s="1"/>
  <c r="A321" i="5"/>
  <c r="B321" i="5"/>
  <c r="C321" i="5" s="1"/>
  <c r="A322" i="5"/>
  <c r="B322" i="5"/>
  <c r="C322" i="5" s="1"/>
  <c r="A323" i="5"/>
  <c r="B323" i="5"/>
  <c r="C323" i="5" s="1"/>
  <c r="A324" i="5"/>
  <c r="B324" i="5"/>
  <c r="C324" i="5" s="1"/>
  <c r="A325" i="5"/>
  <c r="B325" i="5"/>
  <c r="C325" i="5" s="1"/>
  <c r="A326" i="5"/>
  <c r="B326" i="5"/>
  <c r="C326" i="5" s="1"/>
  <c r="A327" i="5"/>
  <c r="B327" i="5"/>
  <c r="C327" i="5" s="1"/>
  <c r="A328" i="5"/>
  <c r="B328" i="5"/>
  <c r="C328" i="5" s="1"/>
  <c r="A329" i="5"/>
  <c r="B329" i="5"/>
  <c r="C329" i="5" s="1"/>
  <c r="A330" i="5"/>
  <c r="B330" i="5"/>
  <c r="C330" i="5" s="1"/>
  <c r="A331" i="5"/>
  <c r="B331" i="5"/>
  <c r="C331" i="5" s="1"/>
  <c r="A332" i="5"/>
  <c r="B332" i="5"/>
  <c r="C332" i="5" s="1"/>
  <c r="A333" i="5"/>
  <c r="B333" i="5"/>
  <c r="C333" i="5" s="1"/>
  <c r="A334" i="5"/>
  <c r="B334" i="5"/>
  <c r="C334" i="5" s="1"/>
  <c r="A335" i="5"/>
  <c r="B335" i="5"/>
  <c r="C335" i="5" s="1"/>
  <c r="A336" i="5"/>
  <c r="B336" i="5"/>
  <c r="C336" i="5" s="1"/>
  <c r="A337" i="5"/>
  <c r="B337" i="5"/>
  <c r="C337" i="5" s="1"/>
  <c r="A338" i="5"/>
  <c r="B338" i="5"/>
  <c r="C338" i="5" s="1"/>
  <c r="A339" i="5"/>
  <c r="B339" i="5"/>
  <c r="C339" i="5" s="1"/>
  <c r="A340" i="5"/>
  <c r="B340" i="5"/>
  <c r="C340" i="5" s="1"/>
  <c r="A341" i="5"/>
  <c r="B341" i="5"/>
  <c r="C341" i="5" s="1"/>
  <c r="A342" i="5"/>
  <c r="B342" i="5"/>
  <c r="C342" i="5" s="1"/>
  <c r="A343" i="5"/>
  <c r="B343" i="5"/>
  <c r="C343" i="5" s="1"/>
  <c r="A344" i="5"/>
  <c r="B344" i="5"/>
  <c r="C344" i="5" s="1"/>
  <c r="A345" i="5"/>
  <c r="B345" i="5"/>
  <c r="C345" i="5" s="1"/>
  <c r="A346" i="5"/>
  <c r="B346" i="5"/>
  <c r="C346" i="5" s="1"/>
  <c r="A347" i="5"/>
  <c r="B347" i="5"/>
  <c r="C347" i="5" s="1"/>
  <c r="A348" i="5"/>
  <c r="B348" i="5"/>
  <c r="C348" i="5" s="1"/>
  <c r="A349" i="5"/>
  <c r="B349" i="5"/>
  <c r="C349" i="5" s="1"/>
  <c r="A350" i="5"/>
  <c r="B350" i="5"/>
  <c r="C350" i="5" s="1"/>
  <c r="A351" i="5"/>
  <c r="B351" i="5"/>
  <c r="C351" i="5" s="1"/>
  <c r="A352" i="5"/>
  <c r="B352" i="5"/>
  <c r="C352" i="5" s="1"/>
  <c r="A353" i="5"/>
  <c r="B353" i="5"/>
  <c r="C353" i="5" s="1"/>
  <c r="A354" i="5"/>
  <c r="B354" i="5"/>
  <c r="C354" i="5" s="1"/>
  <c r="A355" i="5"/>
  <c r="B355" i="5"/>
  <c r="C355" i="5" s="1"/>
  <c r="A356" i="5"/>
  <c r="B356" i="5"/>
  <c r="C356" i="5" s="1"/>
  <c r="A357" i="5"/>
  <c r="B357" i="5"/>
  <c r="C357" i="5" s="1"/>
  <c r="A358" i="5"/>
  <c r="B358" i="5"/>
  <c r="C358" i="5" s="1"/>
  <c r="A359" i="5"/>
  <c r="B359" i="5"/>
  <c r="C359" i="5" s="1"/>
  <c r="A360" i="5"/>
  <c r="B360" i="5"/>
  <c r="C360" i="5" s="1"/>
  <c r="A361" i="5"/>
  <c r="B361" i="5"/>
  <c r="C361" i="5" s="1"/>
  <c r="A362" i="5"/>
  <c r="B362" i="5"/>
  <c r="C362" i="5" s="1"/>
  <c r="A363" i="5"/>
  <c r="B363" i="5"/>
  <c r="C363" i="5" s="1"/>
  <c r="A364" i="5"/>
  <c r="B364" i="5"/>
  <c r="C364" i="5" s="1"/>
  <c r="A365" i="5"/>
  <c r="B365" i="5"/>
  <c r="C365" i="5" s="1"/>
  <c r="A366" i="5"/>
  <c r="B366" i="5"/>
  <c r="C366" i="5" s="1"/>
  <c r="A367" i="5"/>
  <c r="B367" i="5"/>
  <c r="C367" i="5" s="1"/>
  <c r="A368" i="5"/>
  <c r="B368" i="5"/>
  <c r="C368" i="5" s="1"/>
  <c r="A369" i="5"/>
  <c r="B369" i="5"/>
  <c r="C369" i="5" s="1"/>
  <c r="A370" i="5"/>
  <c r="B370" i="5"/>
  <c r="C370" i="5" s="1"/>
  <c r="A371" i="5"/>
  <c r="B371" i="5"/>
  <c r="C371" i="5" s="1"/>
  <c r="A372" i="5"/>
  <c r="B372" i="5"/>
  <c r="C372" i="5" s="1"/>
  <c r="A373" i="5"/>
  <c r="B373" i="5"/>
  <c r="C373" i="5" s="1"/>
  <c r="A374" i="5"/>
  <c r="B374" i="5"/>
  <c r="C374" i="5" s="1"/>
  <c r="A375" i="5"/>
  <c r="B375" i="5"/>
  <c r="C375" i="5" s="1"/>
  <c r="A376" i="5"/>
  <c r="B376" i="5"/>
  <c r="C376" i="5" s="1"/>
  <c r="A377" i="5"/>
  <c r="B377" i="5"/>
  <c r="C377" i="5" s="1"/>
  <c r="A378" i="5"/>
  <c r="A379" i="5"/>
  <c r="B379" i="5"/>
  <c r="C379" i="5" s="1"/>
  <c r="A380" i="5"/>
  <c r="B380" i="5"/>
  <c r="C380" i="5" s="1"/>
  <c r="A381" i="5"/>
  <c r="B381" i="5"/>
  <c r="C381" i="5" s="1"/>
  <c r="A382" i="5"/>
  <c r="B382" i="5"/>
  <c r="C382" i="5" s="1"/>
  <c r="A383" i="5"/>
  <c r="B383" i="5"/>
  <c r="C383" i="5" s="1"/>
  <c r="A384" i="5"/>
  <c r="B384" i="5"/>
  <c r="C384" i="5" s="1"/>
  <c r="A385" i="5"/>
  <c r="B385" i="5"/>
  <c r="C385" i="5" s="1"/>
  <c r="A386" i="5"/>
  <c r="B386" i="5"/>
  <c r="C386" i="5" s="1"/>
  <c r="A387" i="5"/>
  <c r="B387" i="5"/>
  <c r="C387" i="5" s="1"/>
  <c r="A388" i="5"/>
  <c r="B388" i="5"/>
  <c r="C388" i="5" s="1"/>
  <c r="A389" i="5"/>
  <c r="B389" i="5"/>
  <c r="C389" i="5" s="1"/>
  <c r="A391" i="5"/>
  <c r="B391" i="5"/>
  <c r="C391" i="5" s="1"/>
  <c r="A392" i="5"/>
  <c r="B392" i="5"/>
  <c r="C392" i="5" s="1"/>
  <c r="A393" i="5"/>
  <c r="B393" i="5"/>
  <c r="C393" i="5" s="1"/>
  <c r="A394" i="5"/>
  <c r="B394" i="5"/>
  <c r="C394" i="5" s="1"/>
  <c r="A396" i="5"/>
  <c r="B396" i="5"/>
  <c r="C396" i="5" s="1"/>
  <c r="A397" i="5"/>
  <c r="B397" i="5"/>
  <c r="C397" i="5" s="1"/>
  <c r="A398" i="5"/>
  <c r="B398" i="5"/>
  <c r="C398" i="5" s="1"/>
  <c r="A399" i="5"/>
  <c r="B399" i="5"/>
  <c r="C399" i="5" s="1"/>
  <c r="A400" i="5"/>
  <c r="B400" i="5"/>
  <c r="C400" i="5" s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B188" i="1"/>
  <c r="B189" i="1"/>
  <c r="C189" i="1" s="1"/>
  <c r="B190" i="1"/>
  <c r="B191" i="1"/>
  <c r="B192" i="1"/>
  <c r="B193" i="1"/>
  <c r="C193" i="1" s="1"/>
  <c r="B194" i="1"/>
  <c r="B195" i="1"/>
  <c r="B196" i="1"/>
  <c r="B197" i="1"/>
  <c r="C197" i="1" s="1"/>
  <c r="B198" i="1"/>
  <c r="B199" i="1"/>
  <c r="B200" i="1"/>
  <c r="B201" i="1"/>
  <c r="C201" i="1" s="1"/>
  <c r="B202" i="1"/>
  <c r="B203" i="1"/>
  <c r="B204" i="1"/>
  <c r="B205" i="1"/>
  <c r="C205" i="1" s="1"/>
  <c r="B206" i="1"/>
  <c r="B207" i="1"/>
  <c r="B208" i="1"/>
  <c r="B209" i="1"/>
  <c r="C209" i="1" s="1"/>
  <c r="B210" i="1"/>
  <c r="B211" i="1"/>
  <c r="B212" i="1"/>
  <c r="B213" i="1"/>
  <c r="C213" i="1" s="1"/>
  <c r="B214" i="1"/>
  <c r="B215" i="1"/>
  <c r="B216" i="1"/>
  <c r="B217" i="1"/>
  <c r="C217" i="1" s="1"/>
  <c r="B218" i="1"/>
  <c r="B219" i="1"/>
  <c r="B220" i="1"/>
  <c r="B221" i="1"/>
  <c r="C221" i="1" s="1"/>
  <c r="B222" i="1"/>
  <c r="B223" i="1"/>
  <c r="B224" i="1"/>
  <c r="B226" i="1"/>
  <c r="C226" i="1" s="1"/>
  <c r="B227" i="1"/>
  <c r="B228" i="1"/>
  <c r="B229" i="1"/>
  <c r="B230" i="1"/>
  <c r="C230" i="1" s="1"/>
  <c r="B231" i="1"/>
  <c r="B232" i="1"/>
  <c r="B233" i="1"/>
  <c r="B234" i="1"/>
  <c r="C234" i="1" s="1"/>
  <c r="B235" i="1"/>
  <c r="B236" i="1"/>
  <c r="B237" i="1"/>
  <c r="C237" i="1" s="1"/>
  <c r="B238" i="1"/>
  <c r="C238" i="1" s="1"/>
  <c r="B239" i="1"/>
  <c r="C239" i="1" s="1"/>
  <c r="B240" i="1"/>
  <c r="B241" i="1"/>
  <c r="C241" i="1" s="1"/>
  <c r="B242" i="1"/>
  <c r="C242" i="1" s="1"/>
  <c r="B243" i="1"/>
  <c r="C243" i="1" s="1"/>
  <c r="B244" i="1"/>
  <c r="B245" i="1"/>
  <c r="C245" i="1" s="1"/>
  <c r="B246" i="1"/>
  <c r="C246" i="1" s="1"/>
  <c r="B247" i="1"/>
  <c r="C247" i="1" s="1"/>
  <c r="B248" i="1"/>
  <c r="C248" i="1" s="1"/>
  <c r="B249" i="1"/>
  <c r="C249" i="1" s="1"/>
  <c r="B250" i="1"/>
  <c r="C250" i="1" s="1"/>
  <c r="B251" i="1"/>
  <c r="C251" i="1" s="1"/>
  <c r="B252" i="1"/>
  <c r="C252" i="1" s="1"/>
  <c r="B253" i="1"/>
  <c r="C253" i="1" s="1"/>
  <c r="B254" i="1"/>
  <c r="C254" i="1" s="1"/>
  <c r="B255" i="1"/>
  <c r="C255" i="1" s="1"/>
  <c r="B256" i="1"/>
  <c r="C256" i="1" s="1"/>
  <c r="B257" i="1"/>
  <c r="C257" i="1" s="1"/>
  <c r="B258" i="1"/>
  <c r="C258" i="1" s="1"/>
  <c r="B259" i="1"/>
  <c r="C259" i="1" s="1"/>
  <c r="C188" i="1"/>
  <c r="C190" i="1"/>
  <c r="C191" i="1"/>
  <c r="C192" i="1"/>
  <c r="C194" i="1"/>
  <c r="C195" i="1"/>
  <c r="C196" i="1"/>
  <c r="C198" i="1"/>
  <c r="C199" i="1"/>
  <c r="C200" i="1"/>
  <c r="C202" i="1"/>
  <c r="C203" i="1"/>
  <c r="C204" i="1"/>
  <c r="C206" i="1"/>
  <c r="C207" i="1"/>
  <c r="C208" i="1"/>
  <c r="C210" i="1"/>
  <c r="C211" i="1"/>
  <c r="C212" i="1"/>
  <c r="C214" i="1"/>
  <c r="C215" i="1"/>
  <c r="C216" i="1"/>
  <c r="C218" i="1"/>
  <c r="C219" i="1"/>
  <c r="C220" i="1"/>
  <c r="C222" i="1"/>
  <c r="C223" i="1"/>
  <c r="C224" i="1"/>
  <c r="C227" i="1"/>
  <c r="C228" i="1"/>
  <c r="C229" i="1"/>
  <c r="C231" i="1"/>
  <c r="C232" i="1"/>
  <c r="C233" i="1"/>
  <c r="C235" i="1"/>
  <c r="C236" i="1"/>
  <c r="C240" i="1"/>
  <c r="C244" i="1"/>
  <c r="R38" i="18"/>
  <c r="R39" i="18"/>
  <c r="X38" i="18"/>
  <c r="R41" i="18"/>
  <c r="X40" i="18"/>
  <c r="X39" i="18"/>
  <c r="R42" i="18"/>
  <c r="L13" i="18"/>
  <c r="X41" i="18"/>
  <c r="X42" i="18"/>
  <c r="R40" i="18"/>
  <c r="B27" i="22" l="1"/>
  <c r="B6" i="22"/>
  <c r="B34" i="18"/>
  <c r="B6" i="18"/>
  <c r="B35" i="15"/>
  <c r="B45" i="22"/>
  <c r="B44" i="22"/>
  <c r="B43" i="22"/>
  <c r="B42" i="22"/>
  <c r="B40" i="22"/>
  <c r="B39" i="22"/>
  <c r="B38" i="22"/>
  <c r="B37" i="22"/>
  <c r="B35" i="22"/>
  <c r="B34" i="22"/>
  <c r="B33" i="22"/>
  <c r="B32" i="22"/>
  <c r="B23" i="22" l="1"/>
  <c r="B22" i="22"/>
  <c r="B21" i="22"/>
  <c r="B20" i="22"/>
  <c r="B18" i="22"/>
  <c r="B17" i="22"/>
  <c r="B16" i="22"/>
  <c r="B15" i="22"/>
  <c r="B13" i="22"/>
  <c r="B12" i="22"/>
  <c r="B11" i="22"/>
  <c r="B10" i="22"/>
  <c r="K3" i="22"/>
  <c r="K4" i="22" s="1"/>
  <c r="J3" i="22"/>
  <c r="J4" i="22" s="1"/>
  <c r="D3" i="22"/>
  <c r="O44" i="22"/>
  <c r="J42" i="22"/>
  <c r="D33" i="22"/>
  <c r="AC35" i="22"/>
  <c r="AD37" i="22"/>
  <c r="P43" i="22"/>
  <c r="E44" i="22"/>
  <c r="I32" i="22"/>
  <c r="Z34" i="22"/>
  <c r="O38" i="22"/>
  <c r="I39" i="22"/>
  <c r="P44" i="22"/>
  <c r="M32" i="22"/>
  <c r="AB34" i="22"/>
  <c r="N40" i="22"/>
  <c r="E37" i="22"/>
  <c r="D42" i="22"/>
  <c r="Z43" i="22"/>
  <c r="I33" i="22"/>
  <c r="F37" i="22"/>
  <c r="L39" i="22"/>
  <c r="H40" i="22"/>
  <c r="Q34" i="22"/>
  <c r="K44" i="22"/>
  <c r="Y35" i="22"/>
  <c r="Q40" i="22"/>
  <c r="Z38" i="22"/>
  <c r="H45" i="22"/>
  <c r="F45" i="22"/>
  <c r="X34" i="22"/>
  <c r="AD38" i="22"/>
  <c r="T40" i="22"/>
  <c r="S44" i="22"/>
  <c r="N42" i="22"/>
  <c r="P33" i="22"/>
  <c r="H35" i="22"/>
  <c r="H37" i="22"/>
  <c r="W44" i="22"/>
  <c r="K32" i="22"/>
  <c r="AC39" i="22"/>
  <c r="D35" i="22"/>
  <c r="D45" i="22"/>
  <c r="X37" i="22"/>
  <c r="M43" i="22"/>
  <c r="AB32" i="22"/>
  <c r="I34" i="22"/>
  <c r="W37" i="22"/>
  <c r="Q38" i="22"/>
  <c r="L45" i="22"/>
  <c r="J45" i="22"/>
  <c r="F34" i="22"/>
  <c r="F39" i="22"/>
  <c r="X40" i="22"/>
  <c r="K45" i="22"/>
  <c r="F43" i="22"/>
  <c r="U33" i="22"/>
  <c r="N35" i="22"/>
  <c r="S42" i="22"/>
  <c r="Y37" i="22"/>
  <c r="L43" i="22"/>
  <c r="P32" i="22"/>
  <c r="AA34" i="22"/>
  <c r="F40" i="22"/>
  <c r="H38" i="22"/>
  <c r="W45" i="22"/>
  <c r="R43" i="22"/>
  <c r="L33" i="22"/>
  <c r="Z35" i="22"/>
  <c r="D39" i="22"/>
  <c r="S43" i="22"/>
  <c r="AC45" i="22"/>
  <c r="G33" i="22"/>
  <c r="E35" i="22"/>
  <c r="K40" i="22"/>
  <c r="V37" i="22"/>
  <c r="I43" i="22"/>
  <c r="D32" i="22"/>
  <c r="T34" i="22"/>
  <c r="S37" i="22"/>
  <c r="M38" i="22"/>
  <c r="AD40" i="22"/>
  <c r="F42" i="22"/>
  <c r="N37" i="22"/>
  <c r="V42" i="22"/>
  <c r="T44" i="22"/>
  <c r="R44" i="22"/>
  <c r="V33" i="22"/>
  <c r="N38" i="22"/>
  <c r="D40" i="22"/>
  <c r="C44" i="22"/>
  <c r="T43" i="22"/>
  <c r="S33" i="22"/>
  <c r="Q35" i="22"/>
  <c r="W40" i="22"/>
  <c r="D44" i="22"/>
  <c r="I44" i="22"/>
  <c r="Q32" i="22"/>
  <c r="AD34" i="22"/>
  <c r="S38" i="22"/>
  <c r="M39" i="22"/>
  <c r="D43" i="22"/>
  <c r="L32" i="22"/>
  <c r="W34" i="22"/>
  <c r="AD39" i="22"/>
  <c r="AB37" i="22"/>
  <c r="R42" i="22"/>
  <c r="V38" i="22"/>
  <c r="M44" i="22"/>
  <c r="W38" i="22"/>
  <c r="U42" i="22"/>
  <c r="P40" i="22"/>
  <c r="Y42" i="22"/>
  <c r="S32" i="22"/>
  <c r="Y34" i="22"/>
  <c r="G37" i="22"/>
  <c r="AC37" i="22"/>
  <c r="X44" i="22"/>
  <c r="V44" i="22"/>
  <c r="Z33" i="22"/>
  <c r="R38" i="22"/>
  <c r="Q37" i="22"/>
  <c r="AB44" i="22"/>
  <c r="AD33" i="22"/>
  <c r="L44" i="22"/>
  <c r="R40" i="22"/>
  <c r="AD44" i="22"/>
  <c r="K43" i="22"/>
  <c r="U45" i="22"/>
  <c r="T33" i="22"/>
  <c r="L35" i="22"/>
  <c r="C40" i="22"/>
  <c r="Y40" i="22"/>
  <c r="AC42" i="22"/>
  <c r="W32" i="22"/>
  <c r="AC34" i="22"/>
  <c r="K37" i="22"/>
  <c r="E38" i="22"/>
  <c r="P45" i="22"/>
  <c r="N45" i="22"/>
  <c r="C34" i="22"/>
  <c r="J39" i="22"/>
  <c r="AC44" i="22"/>
  <c r="X42" i="22"/>
  <c r="AC43" i="22"/>
  <c r="E32" i="22"/>
  <c r="V34" i="22"/>
  <c r="K38" i="22"/>
  <c r="E39" i="22"/>
  <c r="AB45" i="22"/>
  <c r="Z45" i="22"/>
  <c r="O34" i="22"/>
  <c r="V39" i="22"/>
  <c r="L37" i="22"/>
  <c r="AA45" i="22"/>
  <c r="V43" i="22"/>
  <c r="X33" i="22"/>
  <c r="AD35" i="22"/>
  <c r="H39" i="22"/>
  <c r="G43" i="22"/>
  <c r="Q45" i="22"/>
  <c r="H33" i="22"/>
  <c r="AA35" i="22"/>
  <c r="AA39" i="22"/>
  <c r="U40" i="22"/>
  <c r="L40" i="22"/>
  <c r="Y32" i="22"/>
  <c r="Q39" i="22"/>
  <c r="R32" i="22"/>
  <c r="O45" i="22"/>
  <c r="Y33" i="22"/>
  <c r="X38" i="22"/>
  <c r="C42" i="22"/>
  <c r="AB40" i="22"/>
  <c r="K35" i="22"/>
  <c r="K39" i="22"/>
  <c r="I42" i="22"/>
  <c r="C32" i="22"/>
  <c r="E34" i="22"/>
  <c r="V40" i="22"/>
  <c r="M37" i="22"/>
  <c r="H43" i="22"/>
  <c r="F44" i="22"/>
  <c r="J33" i="22"/>
  <c r="Z37" i="22"/>
  <c r="T39" i="22"/>
  <c r="G44" i="22"/>
  <c r="H44" i="22"/>
  <c r="W33" i="22"/>
  <c r="U35" i="22"/>
  <c r="AA40" i="22"/>
  <c r="H42" i="22"/>
  <c r="Y43" i="22"/>
  <c r="T32" i="22"/>
  <c r="R34" i="22"/>
  <c r="G38" i="22"/>
  <c r="AC38" i="22"/>
  <c r="N32" i="22"/>
  <c r="P37" i="22"/>
  <c r="U32" i="22"/>
  <c r="I37" i="22"/>
  <c r="O32" i="22"/>
  <c r="W42" i="22"/>
  <c r="E45" i="22"/>
  <c r="V32" i="22"/>
  <c r="O35" i="22"/>
  <c r="O39" i="22"/>
  <c r="I40" i="22"/>
  <c r="M42" i="22"/>
  <c r="G32" i="22"/>
  <c r="M34" i="22"/>
  <c r="Z40" i="22"/>
  <c r="Y39" i="22"/>
  <c r="Y44" i="22"/>
  <c r="P35" i="22"/>
  <c r="N44" i="22"/>
  <c r="AB39" i="22"/>
  <c r="H34" i="22"/>
  <c r="S45" i="22"/>
  <c r="N43" i="22"/>
  <c r="AC33" i="22"/>
  <c r="V35" i="22"/>
  <c r="AB38" i="22"/>
  <c r="AA42" i="22"/>
  <c r="I45" i="22"/>
  <c r="Z32" i="22"/>
  <c r="S35" i="22"/>
  <c r="S39" i="22"/>
  <c r="M40" i="22"/>
  <c r="E43" i="22"/>
  <c r="AA32" i="22"/>
  <c r="D34" i="22"/>
  <c r="O37" i="22"/>
  <c r="E33" i="22"/>
  <c r="AA43" i="22"/>
  <c r="AB42" i="22"/>
  <c r="O33" i="22"/>
  <c r="M35" i="22"/>
  <c r="S40" i="22"/>
  <c r="W18" i="22"/>
  <c r="Q43" i="22"/>
  <c r="AC32" i="22"/>
  <c r="J34" i="22"/>
  <c r="AA37" i="22"/>
  <c r="U38" i="22"/>
  <c r="T42" i="22"/>
  <c r="AD45" i="22"/>
  <c r="S34" i="22"/>
  <c r="Z39" i="22"/>
  <c r="T37" i="22"/>
  <c r="J43" i="22"/>
  <c r="R35" i="22"/>
  <c r="Q42" i="22"/>
  <c r="L34" i="22"/>
  <c r="AA44" i="22"/>
  <c r="G42" i="22"/>
  <c r="Q44" i="22"/>
  <c r="F32" i="22"/>
  <c r="T35" i="22"/>
  <c r="AA38" i="22"/>
  <c r="U39" i="22"/>
  <c r="AB43" i="22"/>
  <c r="X32" i="22"/>
  <c r="P34" i="22"/>
  <c r="J40" i="22"/>
  <c r="P38" i="22"/>
  <c r="X43" i="22"/>
  <c r="J44" i="22"/>
  <c r="N33" i="22"/>
  <c r="F38" i="22"/>
  <c r="X39" i="22"/>
  <c r="W43" i="22"/>
  <c r="L42" i="22"/>
  <c r="K33" i="22"/>
  <c r="I35" i="22"/>
  <c r="O40" i="22"/>
  <c r="W23" i="22"/>
  <c r="AB33" i="22"/>
  <c r="U37" i="22"/>
  <c r="R33" i="22"/>
  <c r="W39" i="22"/>
  <c r="U34" i="22"/>
  <c r="C45" i="22"/>
  <c r="Z42" i="22"/>
  <c r="M33" i="22"/>
  <c r="F35" i="22"/>
  <c r="D38" i="22"/>
  <c r="K42" i="22"/>
  <c r="U44" i="22"/>
  <c r="J32" i="22"/>
  <c r="C35" i="22"/>
  <c r="C39" i="22"/>
  <c r="O42" i="22"/>
  <c r="Z44" i="22"/>
  <c r="G39" i="22"/>
  <c r="AA33" i="22"/>
  <c r="T38" i="22"/>
  <c r="X35" i="22"/>
  <c r="X45" i="22"/>
  <c r="V45" i="22"/>
  <c r="K34" i="22"/>
  <c r="R39" i="22"/>
  <c r="D37" i="22"/>
  <c r="G45" i="22"/>
  <c r="AD42" i="22"/>
  <c r="Q33" i="22"/>
  <c r="J35" i="22"/>
  <c r="L38" i="22"/>
  <c r="C43" i="22"/>
  <c r="M45" i="22"/>
  <c r="AD32" i="22"/>
  <c r="W35" i="22"/>
  <c r="I38" i="22"/>
  <c r="C37" i="22"/>
  <c r="P42" i="22"/>
  <c r="AD43" i="22"/>
  <c r="F33" i="22"/>
  <c r="J37" i="22"/>
  <c r="P39" i="22"/>
  <c r="O43" i="22"/>
  <c r="Y45" i="22"/>
  <c r="C33" i="22"/>
  <c r="AB35" i="22"/>
  <c r="G40" i="22"/>
  <c r="AC40" i="22"/>
  <c r="U43" i="22"/>
  <c r="H32" i="22"/>
  <c r="N34" i="22"/>
  <c r="C38" i="22"/>
  <c r="Y38" i="22"/>
  <c r="T45" i="22"/>
  <c r="R45" i="22"/>
  <c r="G34" i="22"/>
  <c r="N39" i="22"/>
  <c r="R37" i="22"/>
  <c r="G35" i="22"/>
  <c r="E42" i="22"/>
  <c r="J38" i="22"/>
  <c r="E40" i="22"/>
  <c r="AJ40" i="22" l="1"/>
  <c r="AH40" i="22"/>
  <c r="AJ39" i="22"/>
  <c r="AH39" i="22"/>
  <c r="AJ38" i="22"/>
  <c r="AH38" i="22"/>
  <c r="AJ37" i="22"/>
  <c r="AH37" i="22"/>
  <c r="AG38" i="22"/>
  <c r="AK37" i="22"/>
  <c r="AI37" i="22"/>
  <c r="AK40" i="22"/>
  <c r="AI40" i="22"/>
  <c r="AG40" i="22"/>
  <c r="AK39" i="22"/>
  <c r="AI39" i="22"/>
  <c r="AG39" i="22"/>
  <c r="AK38" i="22"/>
  <c r="AI38" i="22"/>
  <c r="AG37" i="22"/>
  <c r="AF40" i="22"/>
  <c r="AF39" i="22"/>
  <c r="AF38" i="22"/>
  <c r="AF37" i="22"/>
  <c r="AG35" i="22"/>
  <c r="AJ35" i="22"/>
  <c r="AH35" i="22"/>
  <c r="AK35" i="22"/>
  <c r="AF35" i="22"/>
  <c r="AI35" i="22"/>
  <c r="AI34" i="22"/>
  <c r="AJ34" i="22"/>
  <c r="AH34" i="22"/>
  <c r="AK34" i="22"/>
  <c r="AF34" i="22"/>
  <c r="AG34" i="22"/>
  <c r="AJ33" i="22"/>
  <c r="AH33" i="22"/>
  <c r="AK33" i="22"/>
  <c r="AF33" i="22"/>
  <c r="AI33" i="22"/>
  <c r="AG33" i="22"/>
  <c r="AJ32" i="22"/>
  <c r="AI32" i="22"/>
  <c r="AG32" i="22"/>
  <c r="AK32" i="22"/>
  <c r="AF32" i="22"/>
  <c r="AH32" i="22"/>
  <c r="AG44" i="22"/>
  <c r="AI43" i="22"/>
  <c r="AK42" i="22"/>
  <c r="AJ45" i="22"/>
  <c r="AH45" i="22"/>
  <c r="AJ44" i="22"/>
  <c r="AH44" i="22"/>
  <c r="AJ43" i="22"/>
  <c r="AH43" i="22"/>
  <c r="AJ42" i="22"/>
  <c r="AH42" i="22"/>
  <c r="AK43" i="22"/>
  <c r="AI42" i="22"/>
  <c r="AK45" i="22"/>
  <c r="AI45" i="22"/>
  <c r="AG45" i="22"/>
  <c r="AK44" i="22"/>
  <c r="AI44" i="22"/>
  <c r="AG43" i="22"/>
  <c r="AF45" i="22"/>
  <c r="AF44" i="22"/>
  <c r="AF43" i="22"/>
  <c r="AF42" i="22"/>
  <c r="AG42" i="22"/>
  <c r="B41" i="22"/>
  <c r="B19" i="22"/>
  <c r="B14" i="22"/>
  <c r="B36" i="22"/>
  <c r="B9" i="22"/>
  <c r="B31" i="22"/>
  <c r="B42" i="18"/>
  <c r="K46" i="18" s="1"/>
  <c r="B41" i="18"/>
  <c r="I46" i="18" s="1"/>
  <c r="B40" i="18"/>
  <c r="G46" i="18" s="1"/>
  <c r="B39" i="18"/>
  <c r="E46" i="18" s="1"/>
  <c r="B13" i="18"/>
  <c r="K17" i="18" s="1"/>
  <c r="B12" i="18"/>
  <c r="I17" i="18" s="1"/>
  <c r="B11" i="18"/>
  <c r="G17" i="18" s="1"/>
  <c r="B10" i="18"/>
  <c r="E17" i="18" s="1"/>
  <c r="C46" i="18"/>
  <c r="D58" i="15"/>
  <c r="D59" i="15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B2" i="5"/>
  <c r="C2" i="5" s="1"/>
  <c r="B3" i="5"/>
  <c r="B4" i="5"/>
  <c r="C4" i="5" s="1"/>
  <c r="B5" i="5"/>
  <c r="B6" i="5"/>
  <c r="C6" i="5" s="1"/>
  <c r="B7" i="5"/>
  <c r="C7" i="5" s="1"/>
  <c r="B8" i="5"/>
  <c r="C8" i="5" s="1"/>
  <c r="B9" i="5"/>
  <c r="B10" i="5"/>
  <c r="C10" i="5" s="1"/>
  <c r="B11" i="5"/>
  <c r="C11" i="5" s="1"/>
  <c r="B12" i="5"/>
  <c r="C12" i="5" s="1"/>
  <c r="B13" i="5"/>
  <c r="B14" i="5"/>
  <c r="C14" i="5" s="1"/>
  <c r="B15" i="5"/>
  <c r="C15" i="5" s="1"/>
  <c r="B16" i="5"/>
  <c r="C16" i="5" s="1"/>
  <c r="B17" i="5"/>
  <c r="B18" i="5"/>
  <c r="C18" i="5" s="1"/>
  <c r="B19" i="5"/>
  <c r="B20" i="5"/>
  <c r="C20" i="5" s="1"/>
  <c r="B21" i="5"/>
  <c r="B22" i="5"/>
  <c r="C22" i="5" s="1"/>
  <c r="B23" i="5"/>
  <c r="C23" i="5" s="1"/>
  <c r="B24" i="5"/>
  <c r="C24" i="5" s="1"/>
  <c r="B25" i="5"/>
  <c r="B26" i="5"/>
  <c r="C26" i="5" s="1"/>
  <c r="B27" i="5"/>
  <c r="B28" i="5"/>
  <c r="C28" i="5" s="1"/>
  <c r="B29" i="5"/>
  <c r="B30" i="5"/>
  <c r="B31" i="5"/>
  <c r="B32" i="5"/>
  <c r="C32" i="5" s="1"/>
  <c r="B33" i="5"/>
  <c r="B34" i="5"/>
  <c r="C34" i="5" s="1"/>
  <c r="B35" i="5"/>
  <c r="C35" i="5" s="1"/>
  <c r="B36" i="5"/>
  <c r="C36" i="5" s="1"/>
  <c r="B37" i="5"/>
  <c r="B38" i="5"/>
  <c r="B39" i="5"/>
  <c r="C39" i="5" s="1"/>
  <c r="B40" i="5"/>
  <c r="C40" i="5" s="1"/>
  <c r="B41" i="5"/>
  <c r="B42" i="5"/>
  <c r="C42" i="5" s="1"/>
  <c r="B43" i="5"/>
  <c r="C43" i="5" s="1"/>
  <c r="B44" i="5"/>
  <c r="C44" i="5" s="1"/>
  <c r="B45" i="5"/>
  <c r="B46" i="5"/>
  <c r="B47" i="5"/>
  <c r="C47" i="5" s="1"/>
  <c r="B48" i="5"/>
  <c r="C48" i="5" s="1"/>
  <c r="B49" i="5"/>
  <c r="B50" i="5"/>
  <c r="C50" i="5" s="1"/>
  <c r="B51" i="5"/>
  <c r="B52" i="5"/>
  <c r="C52" i="5" s="1"/>
  <c r="B53" i="5"/>
  <c r="B54" i="5"/>
  <c r="B55" i="5"/>
  <c r="C55" i="5" s="1"/>
  <c r="B56" i="5"/>
  <c r="C56" i="5" s="1"/>
  <c r="B57" i="5"/>
  <c r="B58" i="5"/>
  <c r="C58" i="5" s="1"/>
  <c r="B59" i="5"/>
  <c r="B60" i="5"/>
  <c r="C60" i="5" s="1"/>
  <c r="B61" i="5"/>
  <c r="B62" i="5"/>
  <c r="C62" i="5" s="1"/>
  <c r="B63" i="5"/>
  <c r="B64" i="5"/>
  <c r="C64" i="5" s="1"/>
  <c r="B65" i="5"/>
  <c r="B66" i="5"/>
  <c r="C66" i="5" s="1"/>
  <c r="B67" i="5"/>
  <c r="C67" i="5" s="1"/>
  <c r="B68" i="5"/>
  <c r="C68" i="5" s="1"/>
  <c r="B69" i="5"/>
  <c r="B70" i="5"/>
  <c r="C70" i="5" s="1"/>
  <c r="B71" i="5"/>
  <c r="C71" i="5" s="1"/>
  <c r="B72" i="5"/>
  <c r="C72" i="5" s="1"/>
  <c r="B73" i="5"/>
  <c r="B74" i="5"/>
  <c r="C74" i="5" s="1"/>
  <c r="B75" i="5"/>
  <c r="C75" i="5" s="1"/>
  <c r="B76" i="5"/>
  <c r="C76" i="5" s="1"/>
  <c r="B77" i="5"/>
  <c r="B78" i="5"/>
  <c r="C78" i="5" s="1"/>
  <c r="B79" i="5"/>
  <c r="C79" i="5" s="1"/>
  <c r="B80" i="5"/>
  <c r="C80" i="5" s="1"/>
  <c r="B81" i="5"/>
  <c r="B82" i="5"/>
  <c r="C82" i="5" s="1"/>
  <c r="B83" i="5"/>
  <c r="B84" i="5"/>
  <c r="C84" i="5" s="1"/>
  <c r="B85" i="5"/>
  <c r="B86" i="5"/>
  <c r="C86" i="5" s="1"/>
  <c r="B87" i="5"/>
  <c r="C87" i="5" s="1"/>
  <c r="B88" i="5"/>
  <c r="C88" i="5" s="1"/>
  <c r="B89" i="5"/>
  <c r="B90" i="5"/>
  <c r="C90" i="5" s="1"/>
  <c r="B91" i="5"/>
  <c r="B92" i="5"/>
  <c r="C92" i="5" s="1"/>
  <c r="B93" i="5"/>
  <c r="B94" i="5"/>
  <c r="C94" i="5" s="1"/>
  <c r="B95" i="5"/>
  <c r="B96" i="5"/>
  <c r="C96" i="5" s="1"/>
  <c r="B97" i="5"/>
  <c r="B98" i="5"/>
  <c r="C98" i="5" s="1"/>
  <c r="B99" i="5"/>
  <c r="C99" i="5" s="1"/>
  <c r="B100" i="5"/>
  <c r="C100" i="5" s="1"/>
  <c r="B101" i="5"/>
  <c r="B102" i="5"/>
  <c r="C102" i="5" s="1"/>
  <c r="B103" i="5"/>
  <c r="C103" i="5" s="1"/>
  <c r="B104" i="5"/>
  <c r="C104" i="5" s="1"/>
  <c r="B105" i="5"/>
  <c r="B106" i="5"/>
  <c r="B107" i="5"/>
  <c r="C107" i="5" s="1"/>
  <c r="B108" i="5"/>
  <c r="C108" i="5" s="1"/>
  <c r="B109" i="5"/>
  <c r="B110" i="5"/>
  <c r="C110" i="5" s="1"/>
  <c r="B111" i="5"/>
  <c r="C111" i="5" s="1"/>
  <c r="B112" i="5"/>
  <c r="C112" i="5" s="1"/>
  <c r="B113" i="5"/>
  <c r="B114" i="5"/>
  <c r="C114" i="5" s="1"/>
  <c r="B115" i="5"/>
  <c r="B116" i="5"/>
  <c r="C116" i="5" s="1"/>
  <c r="B117" i="5"/>
  <c r="B118" i="5"/>
  <c r="C118" i="5" s="1"/>
  <c r="B119" i="5"/>
  <c r="C119" i="5" s="1"/>
  <c r="B120" i="5"/>
  <c r="C120" i="5" s="1"/>
  <c r="B121" i="5"/>
  <c r="B122" i="5"/>
  <c r="B123" i="5"/>
  <c r="B124" i="5"/>
  <c r="C124" i="5" s="1"/>
  <c r="B125" i="5"/>
  <c r="B126" i="5"/>
  <c r="C126" i="5" s="1"/>
  <c r="B127" i="5"/>
  <c r="B128" i="5"/>
  <c r="C128" i="5" s="1"/>
  <c r="B129" i="5"/>
  <c r="B130" i="5"/>
  <c r="C130" i="5" s="1"/>
  <c r="B131" i="5"/>
  <c r="C131" i="5" s="1"/>
  <c r="B132" i="5"/>
  <c r="C132" i="5" s="1"/>
  <c r="B133" i="5"/>
  <c r="B134" i="5"/>
  <c r="C134" i="5" s="1"/>
  <c r="B135" i="5"/>
  <c r="C135" i="5" s="1"/>
  <c r="B136" i="5"/>
  <c r="C136" i="5" s="1"/>
  <c r="B137" i="5"/>
  <c r="B138" i="5"/>
  <c r="C138" i="5" s="1"/>
  <c r="B139" i="5"/>
  <c r="C139" i="5" s="1"/>
  <c r="B140" i="5"/>
  <c r="C140" i="5" s="1"/>
  <c r="B141" i="5"/>
  <c r="C141" i="5" s="1"/>
  <c r="B142" i="5"/>
  <c r="C142" i="5" s="1"/>
  <c r="B143" i="5"/>
  <c r="B144" i="5"/>
  <c r="C144" i="5" s="1"/>
  <c r="B145" i="5"/>
  <c r="B146" i="5"/>
  <c r="C146" i="5" s="1"/>
  <c r="B147" i="5"/>
  <c r="C147" i="5" s="1"/>
  <c r="B148" i="5"/>
  <c r="C148" i="5" s="1"/>
  <c r="B149" i="5"/>
  <c r="B150" i="5"/>
  <c r="C150" i="5" s="1"/>
  <c r="B151" i="5"/>
  <c r="C151" i="5" s="1"/>
  <c r="B152" i="5"/>
  <c r="C152" i="5" s="1"/>
  <c r="B153" i="5"/>
  <c r="B154" i="5"/>
  <c r="C154" i="5" s="1"/>
  <c r="B155" i="5"/>
  <c r="B156" i="5"/>
  <c r="C156" i="5" s="1"/>
  <c r="B157" i="5"/>
  <c r="B158" i="5"/>
  <c r="C158" i="5" s="1"/>
  <c r="B159" i="5"/>
  <c r="C159" i="5" s="1"/>
  <c r="B160" i="5"/>
  <c r="C160" i="5" s="1"/>
  <c r="B161" i="5"/>
  <c r="B162" i="5"/>
  <c r="C162" i="5" s="1"/>
  <c r="B163" i="5"/>
  <c r="B164" i="5"/>
  <c r="C164" i="5" s="1"/>
  <c r="B165" i="5"/>
  <c r="B166" i="5"/>
  <c r="C166" i="5" s="1"/>
  <c r="B167" i="5"/>
  <c r="C167" i="5" s="1"/>
  <c r="B168" i="5"/>
  <c r="C168" i="5" s="1"/>
  <c r="B169" i="5"/>
  <c r="B170" i="5"/>
  <c r="C170" i="5" s="1"/>
  <c r="B171" i="5"/>
  <c r="C171" i="5" s="1"/>
  <c r="B172" i="5"/>
  <c r="C172" i="5" s="1"/>
  <c r="B173" i="5"/>
  <c r="C173" i="5" s="1"/>
  <c r="B174" i="5"/>
  <c r="C174" i="5" s="1"/>
  <c r="B175" i="5"/>
  <c r="B176" i="5"/>
  <c r="C176" i="5" s="1"/>
  <c r="B177" i="5"/>
  <c r="B178" i="5"/>
  <c r="C178" i="5" s="1"/>
  <c r="B179" i="5"/>
  <c r="C179" i="5" s="1"/>
  <c r="B180" i="5"/>
  <c r="C180" i="5" s="1"/>
  <c r="B181" i="5"/>
  <c r="B182" i="5"/>
  <c r="C182" i="5" s="1"/>
  <c r="B183" i="5"/>
  <c r="C183" i="5" s="1"/>
  <c r="B184" i="5"/>
  <c r="C184" i="5" s="1"/>
  <c r="B185" i="5"/>
  <c r="B186" i="5"/>
  <c r="C186" i="5" s="1"/>
  <c r="B187" i="5"/>
  <c r="C187" i="5" s="1"/>
  <c r="B188" i="5"/>
  <c r="C188" i="5" s="1"/>
  <c r="B189" i="5"/>
  <c r="B190" i="5"/>
  <c r="C190" i="5" s="1"/>
  <c r="B191" i="5"/>
  <c r="B192" i="5"/>
  <c r="C192" i="5" s="1"/>
  <c r="B193" i="5"/>
  <c r="C193" i="5" s="1"/>
  <c r="B194" i="5"/>
  <c r="C194" i="5" s="1"/>
  <c r="B195" i="5"/>
  <c r="C195" i="5" s="1"/>
  <c r="B196" i="5"/>
  <c r="C196" i="5" s="1"/>
  <c r="B197" i="5"/>
  <c r="C197" i="5" s="1"/>
  <c r="B198" i="5"/>
  <c r="C198" i="5" s="1"/>
  <c r="B199" i="5"/>
  <c r="C199" i="5" s="1"/>
  <c r="B200" i="5"/>
  <c r="C200" i="5" s="1"/>
  <c r="B201" i="5"/>
  <c r="C201" i="5" s="1"/>
  <c r="B202" i="5"/>
  <c r="C202" i="5" s="1"/>
  <c r="B203" i="5"/>
  <c r="C203" i="5" s="1"/>
  <c r="B204" i="5"/>
  <c r="C204" i="5" s="1"/>
  <c r="B205" i="5"/>
  <c r="C205" i="5" s="1"/>
  <c r="B206" i="5"/>
  <c r="C206" i="5" s="1"/>
  <c r="B207" i="5"/>
  <c r="B208" i="5"/>
  <c r="C208" i="5" s="1"/>
  <c r="B209" i="5"/>
  <c r="C209" i="5" s="1"/>
  <c r="B210" i="5"/>
  <c r="C210" i="5" s="1"/>
  <c r="B211" i="5"/>
  <c r="C211" i="5" s="1"/>
  <c r="B212" i="5"/>
  <c r="C212" i="5" s="1"/>
  <c r="B213" i="5"/>
  <c r="C213" i="5" s="1"/>
  <c r="B214" i="5"/>
  <c r="C214" i="5" s="1"/>
  <c r="B215" i="5"/>
  <c r="C215" i="5" s="1"/>
  <c r="B216" i="5"/>
  <c r="C216" i="5" s="1"/>
  <c r="B217" i="5"/>
  <c r="B218" i="5"/>
  <c r="C218" i="5" s="1"/>
  <c r="B219" i="5"/>
  <c r="C219" i="5" s="1"/>
  <c r="B220" i="5"/>
  <c r="C220" i="5" s="1"/>
  <c r="B221" i="5"/>
  <c r="C221" i="5" s="1"/>
  <c r="B222" i="5"/>
  <c r="C222" i="5" s="1"/>
  <c r="B223" i="5"/>
  <c r="C223" i="5" s="1"/>
  <c r="B224" i="5"/>
  <c r="C224" i="5" s="1"/>
  <c r="B225" i="5"/>
  <c r="C225" i="5" s="1"/>
  <c r="B226" i="5"/>
  <c r="C226" i="5" s="1"/>
  <c r="B227" i="5"/>
  <c r="C227" i="5" s="1"/>
  <c r="B228" i="5"/>
  <c r="C228" i="5" s="1"/>
  <c r="B229" i="5"/>
  <c r="C229" i="5" s="1"/>
  <c r="B230" i="5"/>
  <c r="C230" i="5" s="1"/>
  <c r="B231" i="5"/>
  <c r="C231" i="5" s="1"/>
  <c r="B232" i="5"/>
  <c r="C232" i="5" s="1"/>
  <c r="B233" i="5"/>
  <c r="C233" i="5" s="1"/>
  <c r="B234" i="5"/>
  <c r="C234" i="5" s="1"/>
  <c r="B235" i="5"/>
  <c r="C235" i="5" s="1"/>
  <c r="B236" i="5"/>
  <c r="C236" i="5" s="1"/>
  <c r="B237" i="5"/>
  <c r="C237" i="5" s="1"/>
  <c r="B238" i="5"/>
  <c r="C238" i="5" s="1"/>
  <c r="B239" i="5"/>
  <c r="C239" i="5" s="1"/>
  <c r="B240" i="5"/>
  <c r="C240" i="5" s="1"/>
  <c r="B241" i="5"/>
  <c r="C241" i="5" s="1"/>
  <c r="B242" i="5"/>
  <c r="C242" i="5" s="1"/>
  <c r="B243" i="5"/>
  <c r="C243" i="5" s="1"/>
  <c r="B244" i="5"/>
  <c r="C244" i="5" s="1"/>
  <c r="B245" i="5"/>
  <c r="C245" i="5" s="1"/>
  <c r="B246" i="5"/>
  <c r="C246" i="5" s="1"/>
  <c r="B247" i="5"/>
  <c r="C247" i="5" s="1"/>
  <c r="B248" i="5"/>
  <c r="C248" i="5" s="1"/>
  <c r="B249" i="5"/>
  <c r="C249" i="5" s="1"/>
  <c r="B250" i="5"/>
  <c r="C250" i="5" s="1"/>
  <c r="C3" i="5"/>
  <c r="C5" i="5"/>
  <c r="C9" i="5"/>
  <c r="C13" i="5"/>
  <c r="C17" i="5"/>
  <c r="C19" i="5"/>
  <c r="C21" i="5"/>
  <c r="C25" i="5"/>
  <c r="C27" i="5"/>
  <c r="C29" i="5"/>
  <c r="C30" i="5"/>
  <c r="C31" i="5"/>
  <c r="C33" i="5"/>
  <c r="C37" i="5"/>
  <c r="C38" i="5"/>
  <c r="C41" i="5"/>
  <c r="C45" i="5"/>
  <c r="C46" i="5"/>
  <c r="C49" i="5"/>
  <c r="C51" i="5"/>
  <c r="C53" i="5"/>
  <c r="C54" i="5"/>
  <c r="C57" i="5"/>
  <c r="C59" i="5"/>
  <c r="C61" i="5"/>
  <c r="C63" i="5"/>
  <c r="C65" i="5"/>
  <c r="C69" i="5"/>
  <c r="C73" i="5"/>
  <c r="C77" i="5"/>
  <c r="C81" i="5"/>
  <c r="C83" i="5"/>
  <c r="C85" i="5"/>
  <c r="C89" i="5"/>
  <c r="C91" i="5"/>
  <c r="C93" i="5"/>
  <c r="C95" i="5"/>
  <c r="C97" i="5"/>
  <c r="C101" i="5"/>
  <c r="C105" i="5"/>
  <c r="C106" i="5"/>
  <c r="C109" i="5"/>
  <c r="C113" i="5"/>
  <c r="C115" i="5"/>
  <c r="C117" i="5"/>
  <c r="C121" i="5"/>
  <c r="C122" i="5"/>
  <c r="C123" i="5"/>
  <c r="C125" i="5"/>
  <c r="C127" i="5"/>
  <c r="C129" i="5"/>
  <c r="C133" i="5"/>
  <c r="C137" i="5"/>
  <c r="C143" i="5"/>
  <c r="C145" i="5"/>
  <c r="C149" i="5"/>
  <c r="C153" i="5"/>
  <c r="C155" i="5"/>
  <c r="C157" i="5"/>
  <c r="C161" i="5"/>
  <c r="C163" i="5"/>
  <c r="C165" i="5"/>
  <c r="C169" i="5"/>
  <c r="C175" i="5"/>
  <c r="C177" i="5"/>
  <c r="C181" i="5"/>
  <c r="C185" i="5"/>
  <c r="C189" i="5"/>
  <c r="C191" i="5"/>
  <c r="C207" i="5"/>
  <c r="C217" i="5"/>
  <c r="D2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B2" i="1"/>
  <c r="C2" i="1" s="1"/>
  <c r="B3" i="1"/>
  <c r="B4" i="1"/>
  <c r="C4" i="1" s="1"/>
  <c r="B5" i="1"/>
  <c r="B6" i="1"/>
  <c r="C6" i="1" s="1"/>
  <c r="B7" i="1"/>
  <c r="B8" i="1"/>
  <c r="C8" i="1" s="1"/>
  <c r="B9" i="1"/>
  <c r="B10" i="1"/>
  <c r="C10" i="1" s="1"/>
  <c r="B11" i="1"/>
  <c r="B12" i="1"/>
  <c r="C12" i="1" s="1"/>
  <c r="B13" i="1"/>
  <c r="B14" i="1"/>
  <c r="C14" i="1" s="1"/>
  <c r="B15" i="1"/>
  <c r="B16" i="1"/>
  <c r="C16" i="1" s="1"/>
  <c r="B17" i="1"/>
  <c r="B18" i="1"/>
  <c r="C18" i="1" s="1"/>
  <c r="B19" i="1"/>
  <c r="B20" i="1"/>
  <c r="C20" i="1" s="1"/>
  <c r="B21" i="1"/>
  <c r="B22" i="1"/>
  <c r="C22" i="1" s="1"/>
  <c r="B23" i="1"/>
  <c r="B24" i="1"/>
  <c r="C24" i="1" s="1"/>
  <c r="B25" i="1"/>
  <c r="B26" i="1"/>
  <c r="C26" i="1" s="1"/>
  <c r="B27" i="1"/>
  <c r="B28" i="1"/>
  <c r="C28" i="1" s="1"/>
  <c r="B29" i="1"/>
  <c r="B30" i="1"/>
  <c r="C30" i="1" s="1"/>
  <c r="B31" i="1"/>
  <c r="B32" i="1"/>
  <c r="C32" i="1" s="1"/>
  <c r="B33" i="1"/>
  <c r="B34" i="1"/>
  <c r="C34" i="1" s="1"/>
  <c r="B35" i="1"/>
  <c r="B36" i="1"/>
  <c r="C36" i="1" s="1"/>
  <c r="B37" i="1"/>
  <c r="B38" i="1"/>
  <c r="C38" i="1" s="1"/>
  <c r="B39" i="1"/>
  <c r="B40" i="1"/>
  <c r="C40" i="1" s="1"/>
  <c r="B41" i="1"/>
  <c r="B42" i="1"/>
  <c r="C42" i="1" s="1"/>
  <c r="B43" i="1"/>
  <c r="B44" i="1"/>
  <c r="C44" i="1" s="1"/>
  <c r="B45" i="1"/>
  <c r="B46" i="1"/>
  <c r="C46" i="1" s="1"/>
  <c r="B47" i="1"/>
  <c r="B48" i="1"/>
  <c r="C48" i="1" s="1"/>
  <c r="B49" i="1"/>
  <c r="B50" i="1"/>
  <c r="C50" i="1" s="1"/>
  <c r="B51" i="1"/>
  <c r="B52" i="1"/>
  <c r="C52" i="1" s="1"/>
  <c r="B53" i="1"/>
  <c r="B54" i="1"/>
  <c r="C54" i="1" s="1"/>
  <c r="B55" i="1"/>
  <c r="B56" i="1"/>
  <c r="C56" i="1" s="1"/>
  <c r="B57" i="1"/>
  <c r="B58" i="1"/>
  <c r="C58" i="1" s="1"/>
  <c r="B59" i="1"/>
  <c r="B60" i="1"/>
  <c r="C60" i="1" s="1"/>
  <c r="B61" i="1"/>
  <c r="B62" i="1"/>
  <c r="C62" i="1" s="1"/>
  <c r="B63" i="1"/>
  <c r="B64" i="1"/>
  <c r="C64" i="1" s="1"/>
  <c r="B65" i="1"/>
  <c r="B66" i="1"/>
  <c r="C66" i="1" s="1"/>
  <c r="B67" i="1"/>
  <c r="B68" i="1"/>
  <c r="C68" i="1" s="1"/>
  <c r="B69" i="1"/>
  <c r="B70" i="1"/>
  <c r="C70" i="1" s="1"/>
  <c r="B71" i="1"/>
  <c r="B72" i="1"/>
  <c r="C72" i="1" s="1"/>
  <c r="B73" i="1"/>
  <c r="B74" i="1"/>
  <c r="C74" i="1" s="1"/>
  <c r="B75" i="1"/>
  <c r="B76" i="1"/>
  <c r="C76" i="1" s="1"/>
  <c r="B77" i="1"/>
  <c r="B78" i="1"/>
  <c r="C78" i="1" s="1"/>
  <c r="B79" i="1"/>
  <c r="B80" i="1"/>
  <c r="C80" i="1" s="1"/>
  <c r="B81" i="1"/>
  <c r="B82" i="1"/>
  <c r="C82" i="1" s="1"/>
  <c r="B83" i="1"/>
  <c r="B84" i="1"/>
  <c r="C84" i="1" s="1"/>
  <c r="B85" i="1"/>
  <c r="B86" i="1"/>
  <c r="C86" i="1" s="1"/>
  <c r="B87" i="1"/>
  <c r="B88" i="1"/>
  <c r="C88" i="1" s="1"/>
  <c r="B89" i="1"/>
  <c r="B90" i="1"/>
  <c r="C90" i="1" s="1"/>
  <c r="B91" i="1"/>
  <c r="B92" i="1"/>
  <c r="C92" i="1" s="1"/>
  <c r="B93" i="1"/>
  <c r="B94" i="1"/>
  <c r="C94" i="1" s="1"/>
  <c r="B95" i="1"/>
  <c r="B96" i="1"/>
  <c r="C96" i="1" s="1"/>
  <c r="B97" i="1"/>
  <c r="B98" i="1"/>
  <c r="C98" i="1" s="1"/>
  <c r="B99" i="1"/>
  <c r="B100" i="1"/>
  <c r="C100" i="1" s="1"/>
  <c r="B101" i="1"/>
  <c r="C101" i="1" s="1"/>
  <c r="B102" i="1"/>
  <c r="C102" i="1" s="1"/>
  <c r="B103" i="1"/>
  <c r="B104" i="1"/>
  <c r="C104" i="1" s="1"/>
  <c r="B105" i="1"/>
  <c r="C105" i="1" s="1"/>
  <c r="B106" i="1"/>
  <c r="C106" i="1" s="1"/>
  <c r="B107" i="1"/>
  <c r="B108" i="1"/>
  <c r="C108" i="1" s="1"/>
  <c r="B109" i="1"/>
  <c r="C109" i="1" s="1"/>
  <c r="B110" i="1"/>
  <c r="C110" i="1" s="1"/>
  <c r="B111" i="1"/>
  <c r="B112" i="1"/>
  <c r="C112" i="1" s="1"/>
  <c r="B113" i="1"/>
  <c r="C113" i="1" s="1"/>
  <c r="B114" i="1"/>
  <c r="C114" i="1" s="1"/>
  <c r="B115" i="1"/>
  <c r="B116" i="1"/>
  <c r="C116" i="1" s="1"/>
  <c r="B117" i="1"/>
  <c r="C117" i="1" s="1"/>
  <c r="B118" i="1"/>
  <c r="C118" i="1" s="1"/>
  <c r="B119" i="1"/>
  <c r="B120" i="1"/>
  <c r="C120" i="1" s="1"/>
  <c r="B121" i="1"/>
  <c r="C121" i="1" s="1"/>
  <c r="B122" i="1"/>
  <c r="C122" i="1" s="1"/>
  <c r="B123" i="1"/>
  <c r="B124" i="1"/>
  <c r="C124" i="1" s="1"/>
  <c r="B125" i="1"/>
  <c r="C125" i="1" s="1"/>
  <c r="B126" i="1"/>
  <c r="C126" i="1" s="1"/>
  <c r="B127" i="1"/>
  <c r="B128" i="1"/>
  <c r="C128" i="1" s="1"/>
  <c r="B129" i="1"/>
  <c r="C129" i="1" s="1"/>
  <c r="B130" i="1"/>
  <c r="C130" i="1" s="1"/>
  <c r="B131" i="1"/>
  <c r="B132" i="1"/>
  <c r="C132" i="1" s="1"/>
  <c r="B133" i="1"/>
  <c r="C133" i="1" s="1"/>
  <c r="B134" i="1"/>
  <c r="C134" i="1" s="1"/>
  <c r="B135" i="1"/>
  <c r="B136" i="1"/>
  <c r="C136" i="1" s="1"/>
  <c r="B137" i="1"/>
  <c r="C137" i="1" s="1"/>
  <c r="B138" i="1"/>
  <c r="C138" i="1" s="1"/>
  <c r="B139" i="1"/>
  <c r="B140" i="1"/>
  <c r="C140" i="1" s="1"/>
  <c r="B141" i="1"/>
  <c r="C141" i="1" s="1"/>
  <c r="B142" i="1"/>
  <c r="C142" i="1" s="1"/>
  <c r="B143" i="1"/>
  <c r="B144" i="1"/>
  <c r="C144" i="1" s="1"/>
  <c r="B145" i="1"/>
  <c r="C145" i="1" s="1"/>
  <c r="B146" i="1"/>
  <c r="C146" i="1" s="1"/>
  <c r="B147" i="1"/>
  <c r="B148" i="1"/>
  <c r="C148" i="1" s="1"/>
  <c r="B149" i="1"/>
  <c r="C149" i="1" s="1"/>
  <c r="B150" i="1"/>
  <c r="C150" i="1" s="1"/>
  <c r="B151" i="1"/>
  <c r="B152" i="1"/>
  <c r="C152" i="1" s="1"/>
  <c r="B153" i="1"/>
  <c r="C153" i="1" s="1"/>
  <c r="B154" i="1"/>
  <c r="C154" i="1" s="1"/>
  <c r="B155" i="1"/>
  <c r="B156" i="1"/>
  <c r="C156" i="1" s="1"/>
  <c r="B157" i="1"/>
  <c r="C157" i="1" s="1"/>
  <c r="B158" i="1"/>
  <c r="C158" i="1" s="1"/>
  <c r="B159" i="1"/>
  <c r="B160" i="1"/>
  <c r="C160" i="1" s="1"/>
  <c r="B161" i="1"/>
  <c r="C161" i="1" s="1"/>
  <c r="B162" i="1"/>
  <c r="C162" i="1" s="1"/>
  <c r="B163" i="1"/>
  <c r="B164" i="1"/>
  <c r="C164" i="1" s="1"/>
  <c r="B165" i="1"/>
  <c r="C165" i="1" s="1"/>
  <c r="B166" i="1"/>
  <c r="C166" i="1" s="1"/>
  <c r="B167" i="1"/>
  <c r="B168" i="1"/>
  <c r="C168" i="1" s="1"/>
  <c r="B169" i="1"/>
  <c r="C169" i="1" s="1"/>
  <c r="B170" i="1"/>
  <c r="C170" i="1" s="1"/>
  <c r="B171" i="1"/>
  <c r="B172" i="1"/>
  <c r="C172" i="1" s="1"/>
  <c r="B173" i="1"/>
  <c r="C173" i="1" s="1"/>
  <c r="B174" i="1"/>
  <c r="C174" i="1" s="1"/>
  <c r="B175" i="1"/>
  <c r="B176" i="1"/>
  <c r="C176" i="1" s="1"/>
  <c r="B177" i="1"/>
  <c r="C177" i="1" s="1"/>
  <c r="B178" i="1"/>
  <c r="C178" i="1" s="1"/>
  <c r="B179" i="1"/>
  <c r="B180" i="1"/>
  <c r="C180" i="1" s="1"/>
  <c r="B181" i="1"/>
  <c r="C181" i="1" s="1"/>
  <c r="B182" i="1"/>
  <c r="C182" i="1" s="1"/>
  <c r="B183" i="1"/>
  <c r="B184" i="1"/>
  <c r="C184" i="1" s="1"/>
  <c r="B185" i="1"/>
  <c r="C185" i="1" s="1"/>
  <c r="B186" i="1"/>
  <c r="C186" i="1" s="1"/>
  <c r="B187" i="1"/>
  <c r="C3" i="1"/>
  <c r="C5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C41" i="1"/>
  <c r="C43" i="1"/>
  <c r="C45" i="1"/>
  <c r="C47" i="1"/>
  <c r="C49" i="1"/>
  <c r="C51" i="1"/>
  <c r="C53" i="1"/>
  <c r="C55" i="1"/>
  <c r="C57" i="1"/>
  <c r="C59" i="1"/>
  <c r="C61" i="1"/>
  <c r="C63" i="1"/>
  <c r="C65" i="1"/>
  <c r="C67" i="1"/>
  <c r="C69" i="1"/>
  <c r="C71" i="1"/>
  <c r="C73" i="1"/>
  <c r="C75" i="1"/>
  <c r="C77" i="1"/>
  <c r="C79" i="1"/>
  <c r="C81" i="1"/>
  <c r="C83" i="1"/>
  <c r="C85" i="1"/>
  <c r="C87" i="1"/>
  <c r="C89" i="1"/>
  <c r="C91" i="1"/>
  <c r="C93" i="1"/>
  <c r="C95" i="1"/>
  <c r="C97" i="1"/>
  <c r="C99" i="1"/>
  <c r="C103" i="1"/>
  <c r="C107" i="1"/>
  <c r="C111" i="1"/>
  <c r="C115" i="1"/>
  <c r="C119" i="1"/>
  <c r="C123" i="1"/>
  <c r="C127" i="1"/>
  <c r="C131" i="1"/>
  <c r="C135" i="1"/>
  <c r="C139" i="1"/>
  <c r="C143" i="1"/>
  <c r="C147" i="1"/>
  <c r="C151" i="1"/>
  <c r="C155" i="1"/>
  <c r="C159" i="1"/>
  <c r="C163" i="1"/>
  <c r="C167" i="1"/>
  <c r="C171" i="1"/>
  <c r="C175" i="1"/>
  <c r="C179" i="1"/>
  <c r="C183" i="1"/>
  <c r="C187" i="1"/>
  <c r="B9" i="18" l="1"/>
  <c r="B38" i="18"/>
  <c r="C17" i="18"/>
  <c r="K3" i="15"/>
  <c r="K4" i="15" s="1"/>
  <c r="B6" i="15" s="1"/>
  <c r="J3" i="15"/>
  <c r="J4" i="15" s="1"/>
  <c r="D3" i="15"/>
  <c r="B34" i="10"/>
  <c r="B6" i="10"/>
  <c r="B40" i="15" l="1"/>
  <c r="E44" i="15"/>
  <c r="B58" i="15"/>
  <c r="B28" i="15"/>
  <c r="G44" i="15"/>
  <c r="B59" i="15"/>
  <c r="B29" i="15"/>
  <c r="B41" i="15"/>
  <c r="B10" i="15"/>
  <c r="E14" i="15"/>
  <c r="B11" i="15"/>
  <c r="G14" i="15"/>
  <c r="D57" i="15"/>
  <c r="B57" i="15"/>
  <c r="C44" i="15"/>
  <c r="B39" i="15"/>
  <c r="B27" i="15"/>
  <c r="C14" i="15"/>
  <c r="B9" i="15"/>
  <c r="D10" i="22"/>
  <c r="S14" i="22"/>
  <c r="O23" i="22"/>
  <c r="E9" i="22"/>
  <c r="W16" i="22"/>
  <c r="W11" i="22"/>
  <c r="AD31" i="22"/>
  <c r="U21" i="22"/>
  <c r="U17" i="22"/>
  <c r="AB31" i="22"/>
  <c r="H18" i="22"/>
  <c r="Q11" i="22"/>
  <c r="D9" i="22"/>
  <c r="V11" i="22"/>
  <c r="V21" i="22"/>
  <c r="N9" i="22"/>
  <c r="K19" i="22"/>
  <c r="L19" i="22"/>
  <c r="O16" i="22"/>
  <c r="T17" i="22"/>
  <c r="R9" i="22"/>
  <c r="L13" i="22"/>
  <c r="I12" i="22"/>
  <c r="C41" i="22"/>
  <c r="O31" i="22"/>
  <c r="C39" i="18"/>
  <c r="L40" i="18"/>
  <c r="L42" i="18"/>
  <c r="T40" i="18"/>
  <c r="U42" i="18"/>
  <c r="N41" i="18"/>
  <c r="I16" i="22"/>
  <c r="G9" i="22"/>
  <c r="F13" i="22"/>
  <c r="G21" i="22"/>
  <c r="O19" i="22"/>
  <c r="F10" i="22"/>
  <c r="S10" i="22"/>
  <c r="U31" i="22"/>
  <c r="P22" i="22"/>
  <c r="L21" i="22"/>
  <c r="D36" i="22"/>
  <c r="E10" i="22"/>
  <c r="C22" i="22"/>
  <c r="H14" i="22"/>
  <c r="H13" i="22"/>
  <c r="P31" i="22"/>
  <c r="I21" i="22"/>
  <c r="G20" i="22"/>
  <c r="C9" i="22"/>
  <c r="W17" i="22"/>
  <c r="D16" i="22"/>
  <c r="H21" i="22"/>
  <c r="E17" i="22"/>
  <c r="W9" i="22"/>
  <c r="O17" i="22"/>
  <c r="J15" i="22"/>
  <c r="T9" i="22"/>
  <c r="V10" i="22"/>
  <c r="E14" i="22"/>
  <c r="S41" i="22"/>
  <c r="K21" i="22"/>
  <c r="J16" i="22"/>
  <c r="Z36" i="22"/>
  <c r="V17" i="22"/>
  <c r="H15" i="22"/>
  <c r="J9" i="22"/>
  <c r="R15" i="22"/>
  <c r="P36" i="22"/>
  <c r="T10" i="22"/>
  <c r="W20" i="22"/>
  <c r="S9" i="22"/>
  <c r="O15" i="22"/>
  <c r="G22" i="22"/>
  <c r="D23" i="22"/>
  <c r="AA36" i="22"/>
  <c r="R19" i="22"/>
  <c r="E22" i="22"/>
  <c r="V36" i="22"/>
  <c r="N15" i="22"/>
  <c r="J10" i="22"/>
  <c r="U36" i="22"/>
  <c r="G12" i="22"/>
  <c r="E12" i="22"/>
  <c r="L23" i="22"/>
  <c r="N20" i="22"/>
  <c r="S36" i="22"/>
  <c r="F18" i="22"/>
  <c r="E23" i="22"/>
  <c r="AA41" i="22"/>
  <c r="L16" i="22"/>
  <c r="T11" i="22"/>
  <c r="J19" i="22"/>
  <c r="F22" i="22"/>
  <c r="Y36" i="22"/>
  <c r="M23" i="22"/>
  <c r="U10" i="22"/>
  <c r="U19" i="22"/>
  <c r="G41" i="18"/>
  <c r="E13" i="18"/>
  <c r="K10" i="18"/>
  <c r="H40" i="18"/>
  <c r="U10" i="18"/>
  <c r="AA42" i="18"/>
  <c r="L15" i="22"/>
  <c r="E36" i="22"/>
  <c r="D39" i="18"/>
  <c r="J42" i="18"/>
  <c r="V42" i="18"/>
  <c r="J10" i="18"/>
  <c r="W13" i="18"/>
  <c r="C13" i="18"/>
  <c r="G11" i="18"/>
  <c r="AD42" i="18"/>
  <c r="P12" i="18"/>
  <c r="N13" i="22"/>
  <c r="X41" i="22"/>
  <c r="W22" i="22"/>
  <c r="P18" i="22"/>
  <c r="S15" i="22"/>
  <c r="C14" i="22"/>
  <c r="U22" i="22"/>
  <c r="F36" i="22"/>
  <c r="I17" i="22"/>
  <c r="E16" i="22"/>
  <c r="D31" i="22"/>
  <c r="O41" i="22"/>
  <c r="P13" i="22"/>
  <c r="T19" i="22"/>
  <c r="J21" i="22"/>
  <c r="C36" i="22"/>
  <c r="E11" i="22"/>
  <c r="K18" i="22"/>
  <c r="L41" i="22"/>
  <c r="H17" i="22"/>
  <c r="S11" i="22"/>
  <c r="X36" i="22"/>
  <c r="R11" i="22"/>
  <c r="S31" i="22"/>
  <c r="H16" i="22"/>
  <c r="H11" i="18"/>
  <c r="I39" i="18"/>
  <c r="K41" i="18"/>
  <c r="D13" i="18"/>
  <c r="S42" i="18"/>
  <c r="F10" i="18"/>
  <c r="Q15" i="22"/>
  <c r="N12" i="22"/>
  <c r="O36" i="22"/>
  <c r="S20" i="22"/>
  <c r="U11" i="22"/>
  <c r="J36" i="22"/>
  <c r="G10" i="22"/>
  <c r="K9" i="22"/>
  <c r="T22" i="22"/>
  <c r="T20" i="22"/>
  <c r="I41" i="22"/>
  <c r="D14" i="22"/>
  <c r="C15" i="22"/>
  <c r="R36" i="22"/>
  <c r="Q12" i="22"/>
  <c r="N11" i="22"/>
  <c r="C19" i="22"/>
  <c r="R23" i="22"/>
  <c r="N36" i="22"/>
  <c r="K17" i="22"/>
  <c r="H22" i="22"/>
  <c r="O14" i="22"/>
  <c r="M16" i="22"/>
  <c r="I15" i="22"/>
  <c r="K16" i="22"/>
  <c r="U18" i="22"/>
  <c r="P12" i="22"/>
  <c r="Q14" i="22"/>
  <c r="D19" i="22"/>
  <c r="C31" i="22"/>
  <c r="O21" i="22"/>
  <c r="R31" i="22"/>
  <c r="V31" i="22"/>
  <c r="J17" i="22"/>
  <c r="C23" i="22"/>
  <c r="I14" i="22"/>
  <c r="AC36" i="22"/>
  <c r="D11" i="22"/>
  <c r="P41" i="22"/>
  <c r="K20" i="22"/>
  <c r="U14" i="22"/>
  <c r="F19" i="22"/>
  <c r="K22" i="22"/>
  <c r="L22" i="22"/>
  <c r="F9" i="22"/>
  <c r="J12" i="22"/>
  <c r="M21" i="22"/>
  <c r="AB36" i="22"/>
  <c r="D15" i="22"/>
  <c r="V12" i="22"/>
  <c r="G36" i="22"/>
  <c r="P11" i="22"/>
  <c r="M22" i="22"/>
  <c r="M9" i="22"/>
  <c r="M20" i="22"/>
  <c r="W15" i="22"/>
  <c r="Q41" i="22"/>
  <c r="E41" i="22"/>
  <c r="N31" i="22"/>
  <c r="T15" i="22"/>
  <c r="H11" i="22"/>
  <c r="M41" i="22"/>
  <c r="N21" i="22"/>
  <c r="J20" i="22"/>
  <c r="Q36" i="22"/>
  <c r="X31" i="22"/>
  <c r="R11" i="18"/>
  <c r="K42" i="18"/>
  <c r="K11" i="18"/>
  <c r="Q11" i="18"/>
  <c r="W11" i="18"/>
  <c r="Z40" i="18"/>
  <c r="T41" i="18"/>
  <c r="L9" i="22"/>
  <c r="T41" i="22"/>
  <c r="G42" i="18"/>
  <c r="C12" i="18"/>
  <c r="L12" i="18"/>
  <c r="C41" i="18"/>
  <c r="I42" i="18"/>
  <c r="Q41" i="18"/>
  <c r="L10" i="18"/>
  <c r="V10" i="18"/>
  <c r="V41" i="18"/>
  <c r="P20" i="22"/>
  <c r="T12" i="18"/>
  <c r="I12" i="18"/>
  <c r="U39" i="18"/>
  <c r="Z41" i="18"/>
  <c r="AC41" i="18"/>
  <c r="I11" i="18"/>
  <c r="S10" i="18"/>
  <c r="F40" i="18"/>
  <c r="O13" i="22"/>
  <c r="V9" i="22"/>
  <c r="V12" i="18"/>
  <c r="W12" i="22"/>
  <c r="F14" i="22"/>
  <c r="G23" i="22"/>
  <c r="L17" i="22"/>
  <c r="O10" i="22"/>
  <c r="K41" i="22"/>
  <c r="I22" i="22"/>
  <c r="L36" i="22"/>
  <c r="Q16" i="22"/>
  <c r="M15" i="22"/>
  <c r="Z31" i="22"/>
  <c r="Q18" i="22"/>
  <c r="D13" i="22"/>
  <c r="I19" i="22"/>
  <c r="R20" i="22"/>
  <c r="Q23" i="22"/>
  <c r="E18" i="22"/>
  <c r="S17" i="22"/>
  <c r="R41" i="22"/>
  <c r="P16" i="22"/>
  <c r="E13" i="22"/>
  <c r="W19" i="22"/>
  <c r="F11" i="22"/>
  <c r="D20" i="22"/>
  <c r="C21" i="22"/>
  <c r="R13" i="18"/>
  <c r="AC39" i="18"/>
  <c r="P11" i="18"/>
  <c r="AA39" i="18"/>
  <c r="U11" i="18"/>
  <c r="S40" i="18"/>
  <c r="E15" i="22"/>
  <c r="P10" i="22"/>
  <c r="H41" i="22"/>
  <c r="I10" i="22"/>
  <c r="I11" i="22"/>
  <c r="K14" i="22"/>
  <c r="I13" i="22"/>
  <c r="T23" i="22"/>
  <c r="M14" i="22"/>
  <c r="H20" i="22"/>
  <c r="W10" i="22"/>
  <c r="P23" i="22"/>
  <c r="S13" i="22"/>
  <c r="O11" i="22"/>
  <c r="U41" i="22"/>
  <c r="K10" i="22"/>
  <c r="V14" i="22"/>
  <c r="F23" i="22"/>
  <c r="I20" i="22"/>
  <c r="V19" i="22"/>
  <c r="P21" i="22"/>
  <c r="S19" i="22"/>
  <c r="U15" i="22"/>
  <c r="D18" i="22"/>
  <c r="AB41" i="22"/>
  <c r="I18" i="22"/>
  <c r="D12" i="22"/>
  <c r="W36" i="22"/>
  <c r="S23" i="22"/>
  <c r="O22" i="22"/>
  <c r="AA31" i="22"/>
  <c r="F15" i="22"/>
  <c r="G15" i="22"/>
  <c r="P19" i="22"/>
  <c r="C17" i="22"/>
  <c r="K13" i="22"/>
  <c r="N10" i="22"/>
  <c r="M10" i="22"/>
  <c r="AC41" i="22"/>
  <c r="V23" i="22"/>
  <c r="S16" i="22"/>
  <c r="K23" i="22"/>
  <c r="P9" i="22"/>
  <c r="T21" i="22"/>
  <c r="S21" i="22"/>
  <c r="C11" i="22"/>
  <c r="U20" i="22"/>
  <c r="R16" i="22"/>
  <c r="M19" i="22"/>
  <c r="K11" i="22"/>
  <c r="J13" i="22"/>
  <c r="H36" i="22"/>
  <c r="F31" i="22"/>
  <c r="AD36" i="22"/>
  <c r="F20" i="22"/>
  <c r="K15" i="22"/>
  <c r="Y31" i="22"/>
  <c r="N14" i="22"/>
  <c r="P17" i="22"/>
  <c r="G31" i="22"/>
  <c r="Q10" i="22"/>
  <c r="AC31" i="22"/>
  <c r="R21" i="22"/>
  <c r="U23" i="22"/>
  <c r="G14" i="22"/>
  <c r="N23" i="22"/>
  <c r="D42" i="18"/>
  <c r="AB42" i="18"/>
  <c r="E40" i="18"/>
  <c r="H12" i="18"/>
  <c r="H39" i="18"/>
  <c r="N42" i="18"/>
  <c r="I41" i="18"/>
  <c r="C16" i="22"/>
  <c r="J14" i="22"/>
  <c r="L11" i="18"/>
  <c r="D11" i="18"/>
  <c r="T13" i="18"/>
  <c r="J12" i="18"/>
  <c r="D40" i="18"/>
  <c r="V40" i="18"/>
  <c r="W42" i="18"/>
  <c r="Q12" i="18"/>
  <c r="C20" i="22"/>
  <c r="P15" i="22"/>
  <c r="N40" i="18"/>
  <c r="G40" i="18"/>
  <c r="K12" i="22"/>
  <c r="E19" i="22"/>
  <c r="H31" i="22"/>
  <c r="D41" i="22"/>
  <c r="C10" i="22"/>
  <c r="E31" i="22"/>
  <c r="Q21" i="22"/>
  <c r="M18" i="22"/>
  <c r="Z41" i="22"/>
  <c r="T18" i="22"/>
  <c r="V16" i="22"/>
  <c r="F12" i="22"/>
  <c r="M12" i="22"/>
  <c r="H9" i="22"/>
  <c r="V20" i="22"/>
  <c r="H12" i="22"/>
  <c r="W41" i="22"/>
  <c r="G17" i="22"/>
  <c r="L18" i="22"/>
  <c r="W31" i="22"/>
  <c r="H10" i="22"/>
  <c r="U12" i="22"/>
  <c r="N41" i="22"/>
  <c r="G18" i="22"/>
  <c r="T11" i="18"/>
  <c r="E12" i="18"/>
  <c r="H42" i="18"/>
  <c r="G12" i="18"/>
  <c r="AA40" i="18"/>
  <c r="M40" i="18"/>
  <c r="U16" i="22"/>
  <c r="T31" i="22"/>
  <c r="R13" i="22"/>
  <c r="O12" i="22"/>
  <c r="U13" i="22"/>
  <c r="R10" i="22"/>
  <c r="J11" i="22"/>
  <c r="Q19" i="22"/>
  <c r="H23" i="22"/>
  <c r="W14" i="22"/>
  <c r="L20" i="22"/>
  <c r="Q22" i="22"/>
  <c r="N19" i="22"/>
  <c r="G13" i="22"/>
  <c r="T13" i="22"/>
  <c r="V41" i="22"/>
  <c r="F41" i="22"/>
  <c r="U9" i="22"/>
  <c r="J23" i="22"/>
  <c r="O18" i="22"/>
  <c r="H19" i="22"/>
  <c r="D21" i="22"/>
  <c r="Q17" i="22"/>
  <c r="I9" i="22"/>
  <c r="Q31" i="22"/>
  <c r="V15" i="22"/>
  <c r="G41" i="22"/>
  <c r="M11" i="22"/>
  <c r="L10" i="22"/>
  <c r="AD41" i="22"/>
  <c r="W21" i="22"/>
  <c r="I36" i="22"/>
  <c r="Q13" i="22"/>
  <c r="N18" i="22"/>
  <c r="I31" i="22"/>
  <c r="W13" i="22"/>
  <c r="T12" i="22"/>
  <c r="M17" i="22"/>
  <c r="R12" i="22"/>
  <c r="M31" i="22"/>
  <c r="E20" i="22"/>
  <c r="G16" i="22"/>
  <c r="S22" i="22"/>
  <c r="L14" i="22"/>
  <c r="D22" i="22"/>
  <c r="O20" i="22"/>
  <c r="M36" i="22"/>
  <c r="E21" i="22"/>
  <c r="F16" i="22"/>
  <c r="L31" i="22"/>
  <c r="V13" i="22"/>
  <c r="S12" i="22"/>
  <c r="G19" i="22"/>
  <c r="G11" i="22"/>
  <c r="F21" i="22"/>
  <c r="T14" i="22"/>
  <c r="R18" i="22"/>
  <c r="N17" i="22"/>
  <c r="Q20" i="22"/>
  <c r="D17" i="22"/>
  <c r="P14" i="22"/>
  <c r="M13" i="22"/>
  <c r="R22" i="22"/>
  <c r="K31" i="22"/>
  <c r="I23" i="22"/>
  <c r="C12" i="22"/>
  <c r="J22" i="22"/>
  <c r="W10" i="18"/>
  <c r="U40" i="18"/>
  <c r="C11" i="18"/>
  <c r="AB40" i="18"/>
  <c r="W40" i="18"/>
  <c r="W39" i="18"/>
  <c r="Q42" i="18"/>
  <c r="C13" i="22"/>
  <c r="V22" i="22"/>
  <c r="L41" i="18"/>
  <c r="E42" i="18"/>
  <c r="J41" i="18"/>
  <c r="AA41" i="18"/>
  <c r="G10" i="18"/>
  <c r="I10" i="18"/>
  <c r="P10" i="18"/>
  <c r="D10" i="18"/>
  <c r="J18" i="22"/>
  <c r="J39" i="18"/>
  <c r="E39" i="18"/>
  <c r="F17" i="22"/>
  <c r="C40" i="18"/>
  <c r="AD40" i="18"/>
  <c r="Y41" i="18"/>
  <c r="O10" i="18"/>
  <c r="M41" i="18"/>
  <c r="R14" i="22"/>
  <c r="K40" i="18"/>
  <c r="M12" i="18"/>
  <c r="O40" i="18"/>
  <c r="Y41" i="22"/>
  <c r="S18" i="22"/>
  <c r="C42" i="18"/>
  <c r="P39" i="18"/>
  <c r="J13" i="18"/>
  <c r="S41" i="18"/>
  <c r="Y40" i="18"/>
  <c r="Q10" i="18"/>
  <c r="F39" i="18"/>
  <c r="AC42" i="18"/>
  <c r="O13" i="18"/>
  <c r="O42" i="18"/>
  <c r="F10" i="15"/>
  <c r="H9" i="18"/>
  <c r="P9" i="18"/>
  <c r="K38" i="18"/>
  <c r="F11" i="18"/>
  <c r="AB39" i="18"/>
  <c r="K39" i="18"/>
  <c r="W12" i="18"/>
  <c r="K12" i="18"/>
  <c r="C18" i="22"/>
  <c r="L11" i="22"/>
  <c r="C10" i="18"/>
  <c r="K13" i="18"/>
  <c r="N39" i="18"/>
  <c r="R17" i="22"/>
  <c r="T16" i="22"/>
  <c r="T10" i="18"/>
  <c r="U13" i="18"/>
  <c r="W41" i="18"/>
  <c r="N11" i="18"/>
  <c r="P13" i="18"/>
  <c r="S39" i="18"/>
  <c r="AC40" i="18"/>
  <c r="F12" i="18"/>
  <c r="T36" i="22"/>
  <c r="E10" i="18"/>
  <c r="AB41" i="18"/>
  <c r="S13" i="18"/>
  <c r="Z42" i="18"/>
  <c r="U41" i="18"/>
  <c r="AD39" i="18"/>
  <c r="S10" i="15"/>
  <c r="R9" i="18"/>
  <c r="Q38" i="18"/>
  <c r="Z38" i="18"/>
  <c r="F9" i="18"/>
  <c r="O40" i="15"/>
  <c r="C38" i="18"/>
  <c r="G40" i="15"/>
  <c r="R10" i="15"/>
  <c r="W10" i="15"/>
  <c r="K9" i="18"/>
  <c r="U38" i="18"/>
  <c r="S38" i="18"/>
  <c r="H40" i="15"/>
  <c r="Y38" i="18"/>
  <c r="L40" i="15"/>
  <c r="J11" i="18"/>
  <c r="M11" i="18"/>
  <c r="M39" i="18"/>
  <c r="E11" i="18"/>
  <c r="G13" i="18"/>
  <c r="J31" i="22"/>
  <c r="N22" i="22"/>
  <c r="J40" i="18"/>
  <c r="S12" i="18"/>
  <c r="R10" i="18"/>
  <c r="N16" i="22"/>
  <c r="I40" i="18"/>
  <c r="E41" i="18"/>
  <c r="L39" i="18"/>
  <c r="N12" i="18"/>
  <c r="P41" i="18"/>
  <c r="P42" i="18"/>
  <c r="I13" i="18"/>
  <c r="T39" i="18"/>
  <c r="K36" i="22"/>
  <c r="T42" i="18"/>
  <c r="F42" i="18"/>
  <c r="O39" i="18"/>
  <c r="H10" i="18"/>
  <c r="H13" i="18"/>
  <c r="U10" i="15"/>
  <c r="J9" i="18"/>
  <c r="I38" i="18"/>
  <c r="E38" i="18"/>
  <c r="E9" i="18"/>
  <c r="L38" i="18"/>
  <c r="C9" i="18"/>
  <c r="P10" i="15"/>
  <c r="Q9" i="18"/>
  <c r="U9" i="18"/>
  <c r="V9" i="18"/>
  <c r="AA38" i="18"/>
  <c r="Q9" i="22"/>
  <c r="F13" i="18"/>
  <c r="M10" i="18"/>
  <c r="Y42" i="18"/>
  <c r="S11" i="18"/>
  <c r="C11" i="15"/>
  <c r="W9" i="18"/>
  <c r="T38" i="18"/>
  <c r="T9" i="18"/>
  <c r="H38" i="18"/>
  <c r="G9" i="18"/>
  <c r="I9" i="18"/>
  <c r="R12" i="18"/>
  <c r="V39" i="18"/>
  <c r="O11" i="18"/>
  <c r="E40" i="15"/>
  <c r="J38" i="18"/>
  <c r="L9" i="18"/>
  <c r="AA40" i="15"/>
  <c r="O9" i="22"/>
  <c r="U12" i="18"/>
  <c r="AD38" i="18"/>
  <c r="M38" i="18"/>
  <c r="O9" i="18"/>
  <c r="P38" i="18"/>
  <c r="M13" i="18"/>
  <c r="M42" i="18"/>
  <c r="Q13" i="18"/>
  <c r="G39" i="18"/>
  <c r="O41" i="18"/>
  <c r="T40" i="15"/>
  <c r="S41" i="15"/>
  <c r="N38" i="18"/>
  <c r="W40" i="15"/>
  <c r="N9" i="18"/>
  <c r="S9" i="18"/>
  <c r="H41" i="18"/>
  <c r="AC38" i="18"/>
  <c r="W38" i="18"/>
  <c r="F38" i="18"/>
  <c r="D40" i="15"/>
  <c r="L11" i="15"/>
  <c r="V13" i="18"/>
  <c r="V11" i="18"/>
  <c r="J41" i="22"/>
  <c r="AD41" i="18"/>
  <c r="Z39" i="18"/>
  <c r="L12" i="22"/>
  <c r="Q39" i="18"/>
  <c r="N13" i="18"/>
  <c r="F41" i="18"/>
  <c r="V18" i="22"/>
  <c r="N10" i="18"/>
  <c r="Q40" i="18"/>
  <c r="O12" i="18"/>
  <c r="P40" i="18"/>
  <c r="D41" i="18"/>
  <c r="Y39" i="18"/>
  <c r="M9" i="18"/>
  <c r="D9" i="18"/>
  <c r="M10" i="15"/>
  <c r="O38" i="18"/>
  <c r="D12" i="18"/>
  <c r="AB38" i="18"/>
  <c r="D38" i="18"/>
  <c r="V38" i="18"/>
  <c r="G38" i="18"/>
  <c r="Q11" i="15"/>
  <c r="J41" i="15"/>
  <c r="J40" i="15"/>
  <c r="Z39" i="15"/>
  <c r="T41" i="15"/>
  <c r="AB41" i="15"/>
  <c r="X41" i="15"/>
  <c r="C9" i="15"/>
  <c r="K11" i="15"/>
  <c r="J39" i="15"/>
  <c r="S40" i="15"/>
  <c r="I11" i="15"/>
  <c r="X40" i="15"/>
  <c r="V10" i="15"/>
  <c r="AD40" i="15"/>
  <c r="J10" i="15"/>
  <c r="V41" i="15"/>
  <c r="AD39" i="15"/>
  <c r="T11" i="15"/>
  <c r="S9" i="15"/>
  <c r="E41" i="15"/>
  <c r="Z41" i="15"/>
  <c r="M39" i="15"/>
  <c r="M11" i="15"/>
  <c r="U39" i="15"/>
  <c r="Q10" i="15"/>
  <c r="E29" i="15"/>
  <c r="S39" i="15"/>
  <c r="J11" i="15"/>
  <c r="Y41" i="15"/>
  <c r="K10" i="15"/>
  <c r="N11" i="15"/>
  <c r="AA41" i="15"/>
  <c r="V39" i="15"/>
  <c r="S11" i="15"/>
  <c r="U41" i="15"/>
  <c r="N9" i="15"/>
  <c r="H9" i="15"/>
  <c r="E10" i="15"/>
  <c r="F41" i="15"/>
  <c r="N39" i="15"/>
  <c r="O39" i="15"/>
  <c r="O9" i="15"/>
  <c r="X39" i="15"/>
  <c r="I39" i="15"/>
  <c r="E57" i="15"/>
  <c r="T10" i="15"/>
  <c r="AB40" i="15"/>
  <c r="J9" i="15"/>
  <c r="AA39" i="15"/>
  <c r="O41" i="15"/>
  <c r="H11" i="15"/>
  <c r="M40" i="15"/>
  <c r="P40" i="15"/>
  <c r="E59" i="15"/>
  <c r="K9" i="15"/>
  <c r="Z40" i="15"/>
  <c r="G41" i="15"/>
  <c r="T39" i="15"/>
  <c r="I9" i="15"/>
  <c r="G39" i="15"/>
  <c r="F11" i="15"/>
  <c r="P9" i="15"/>
  <c r="P39" i="15"/>
  <c r="I40" i="15"/>
  <c r="T9" i="15"/>
  <c r="H39" i="15"/>
  <c r="AC41" i="15"/>
  <c r="D39" i="15"/>
  <c r="V9" i="15"/>
  <c r="R39" i="15"/>
  <c r="L41" i="15"/>
  <c r="M9" i="15"/>
  <c r="W11" i="15"/>
  <c r="H41" i="15"/>
  <c r="Q9" i="15"/>
  <c r="L39" i="15"/>
  <c r="O10" i="15"/>
  <c r="N10" i="15"/>
  <c r="R11" i="15"/>
  <c r="D41" i="15"/>
  <c r="Q39" i="15"/>
  <c r="G10" i="15"/>
  <c r="F40" i="15"/>
  <c r="R9" i="15"/>
  <c r="H10" i="15"/>
  <c r="N41" i="15"/>
  <c r="R40" i="15"/>
  <c r="E58" i="15"/>
  <c r="C40" i="15"/>
  <c r="C39" i="15"/>
  <c r="Y39" i="15"/>
  <c r="AC39" i="15"/>
  <c r="U9" i="10"/>
  <c r="K40" i="15"/>
  <c r="M41" i="15"/>
  <c r="L9" i="15"/>
  <c r="D9" i="15"/>
  <c r="U11" i="15"/>
  <c r="C41" i="15"/>
  <c r="AB39" i="15"/>
  <c r="E27" i="15"/>
  <c r="U40" i="15"/>
  <c r="K39" i="15"/>
  <c r="Y40" i="15"/>
  <c r="AC40" i="15"/>
  <c r="G11" i="15"/>
  <c r="E11" i="15"/>
  <c r="K41" i="15"/>
  <c r="E39" i="15"/>
  <c r="U9" i="15"/>
  <c r="P11" i="15"/>
  <c r="P41" i="15"/>
  <c r="D10" i="15"/>
  <c r="I41" i="15"/>
  <c r="V11" i="15"/>
  <c r="F9" i="15"/>
  <c r="Q40" i="15"/>
  <c r="O11" i="15"/>
  <c r="C10" i="15"/>
  <c r="W9" i="15"/>
  <c r="Q41" i="15"/>
  <c r="W41" i="15"/>
  <c r="AD41" i="15"/>
  <c r="R41" i="15"/>
  <c r="F39" i="15"/>
  <c r="N40" i="15"/>
  <c r="I10" i="15"/>
  <c r="V40" i="15"/>
  <c r="E9" i="15"/>
  <c r="L10" i="15"/>
  <c r="G9" i="15"/>
  <c r="D11" i="15"/>
  <c r="W39" i="15"/>
  <c r="E28" i="15"/>
  <c r="C52" i="18" l="1"/>
  <c r="C22" i="18"/>
  <c r="E51" i="18"/>
  <c r="AD18" i="22"/>
  <c r="G23" i="18"/>
  <c r="K23" i="18"/>
  <c r="I48" i="18"/>
  <c r="K49" i="18"/>
  <c r="K22" i="18"/>
  <c r="C49" i="18"/>
  <c r="C48" i="18"/>
  <c r="C50" i="18"/>
  <c r="K51" i="18"/>
  <c r="E22" i="18"/>
  <c r="K19" i="18"/>
  <c r="C23" i="18"/>
  <c r="C18" i="18"/>
  <c r="K20" i="18"/>
  <c r="E20" i="18"/>
  <c r="K50" i="18"/>
  <c r="E50" i="18"/>
  <c r="E49" i="18"/>
  <c r="G22" i="18"/>
  <c r="C51" i="18"/>
  <c r="C21" i="18"/>
  <c r="AE38" i="18"/>
  <c r="C47" i="18"/>
  <c r="C19" i="18"/>
  <c r="I52" i="18"/>
  <c r="AI36" i="22"/>
  <c r="I19" i="18"/>
  <c r="K21" i="18"/>
  <c r="E18" i="18"/>
  <c r="Y18" i="22"/>
  <c r="I21" i="18"/>
  <c r="E52" i="18"/>
  <c r="G19" i="18"/>
  <c r="C20" i="18"/>
  <c r="G51" i="18"/>
  <c r="K47" i="18"/>
  <c r="AE42" i="18"/>
  <c r="AJ41" i="22"/>
  <c r="I22" i="18"/>
  <c r="I49" i="18"/>
  <c r="I51" i="18"/>
  <c r="AE40" i="18"/>
  <c r="G47" i="18"/>
  <c r="Z17" i="22"/>
  <c r="AD22" i="22"/>
  <c r="Y13" i="22"/>
  <c r="G52" i="18"/>
  <c r="G18" i="18"/>
  <c r="Y12" i="22"/>
  <c r="AC13" i="22"/>
  <c r="Z21" i="22"/>
  <c r="AD13" i="22"/>
  <c r="Z16" i="22"/>
  <c r="AH36" i="22"/>
  <c r="AH31" i="22"/>
  <c r="AC17" i="22"/>
  <c r="AC11" i="22"/>
  <c r="AD15" i="22"/>
  <c r="AA19" i="22"/>
  <c r="AA23" i="22"/>
  <c r="AI31" i="22"/>
  <c r="G49" i="18"/>
  <c r="K48" i="18"/>
  <c r="AA10" i="22"/>
  <c r="AA12" i="22"/>
  <c r="AD20" i="22"/>
  <c r="AA9" i="22"/>
  <c r="AC12" i="22"/>
  <c r="Z12" i="22"/>
  <c r="AD16" i="22"/>
  <c r="AC18" i="22"/>
  <c r="Y10" i="22"/>
  <c r="AG31" i="22"/>
  <c r="AB12" i="22"/>
  <c r="Y20" i="22"/>
  <c r="Y16" i="22"/>
  <c r="E48" i="18"/>
  <c r="I20" i="18"/>
  <c r="K52" i="18"/>
  <c r="AJ31" i="22"/>
  <c r="AB15" i="22"/>
  <c r="Z20" i="22"/>
  <c r="AG36" i="22"/>
  <c r="AB11" i="22"/>
  <c r="AC19" i="22"/>
  <c r="Y11" i="22"/>
  <c r="AB23" i="22"/>
  <c r="AD23" i="22"/>
  <c r="AC10" i="22"/>
  <c r="AB13" i="22"/>
  <c r="Y17" i="22"/>
  <c r="Z15" i="22"/>
  <c r="AK41" i="22"/>
  <c r="AD19" i="22"/>
  <c r="Z23" i="22"/>
  <c r="AD14" i="22"/>
  <c r="AB10" i="22"/>
  <c r="AA20" i="22"/>
  <c r="AC14" i="22"/>
  <c r="AB14" i="22"/>
  <c r="AG41" i="22"/>
  <c r="Y21" i="22"/>
  <c r="Z11" i="22"/>
  <c r="AC15" i="22"/>
  <c r="Z14" i="22"/>
  <c r="I23" i="18"/>
  <c r="AD9" i="22"/>
  <c r="E23" i="18"/>
  <c r="AE41" i="18"/>
  <c r="I47" i="18"/>
  <c r="I18" i="18"/>
  <c r="AI41" i="22"/>
  <c r="I50" i="18"/>
  <c r="G21" i="18"/>
  <c r="AH41" i="22"/>
  <c r="AA11" i="22"/>
  <c r="AC20" i="22"/>
  <c r="AC9" i="22"/>
  <c r="AC22" i="22"/>
  <c r="AD12" i="22"/>
  <c r="AK36" i="22"/>
  <c r="AC21" i="22"/>
  <c r="Z9" i="22"/>
  <c r="AB22" i="22"/>
  <c r="Z19" i="22"/>
  <c r="AB20" i="22"/>
  <c r="Y23" i="22"/>
  <c r="AF31" i="22"/>
  <c r="AB16" i="22"/>
  <c r="AC16" i="22"/>
  <c r="AA22" i="22"/>
  <c r="AB17" i="22"/>
  <c r="Y19" i="22"/>
  <c r="Y15" i="22"/>
  <c r="AB9" i="22"/>
  <c r="E19" i="18"/>
  <c r="G20" i="18"/>
  <c r="AA16" i="22"/>
  <c r="AA17" i="22"/>
  <c r="AB18" i="22"/>
  <c r="AF36" i="22"/>
  <c r="Y14" i="22"/>
  <c r="K18" i="18"/>
  <c r="G48" i="18"/>
  <c r="E21" i="18"/>
  <c r="AC23" i="22"/>
  <c r="AJ36" i="22"/>
  <c r="Z22" i="22"/>
  <c r="Z18" i="22"/>
  <c r="AA15" i="22"/>
  <c r="AD17" i="22"/>
  <c r="AB21" i="22"/>
  <c r="AD10" i="22"/>
  <c r="AA21" i="22"/>
  <c r="Y9" i="22"/>
  <c r="AA13" i="22"/>
  <c r="AA14" i="22"/>
  <c r="Y22" i="22"/>
  <c r="Z10" i="22"/>
  <c r="Z13" i="22"/>
  <c r="G50" i="18"/>
  <c r="E47" i="18"/>
  <c r="AE39" i="18"/>
  <c r="AF41" i="22"/>
  <c r="AB19" i="22"/>
  <c r="AD21" i="22"/>
  <c r="AD11" i="22"/>
  <c r="AA18" i="22"/>
  <c r="AK31" i="22"/>
  <c r="G18" i="15"/>
  <c r="G48" i="15"/>
  <c r="E47" i="15"/>
  <c r="E50" i="15"/>
  <c r="G49" i="15"/>
  <c r="G46" i="15"/>
  <c r="G15" i="15"/>
  <c r="G47" i="15"/>
  <c r="G16" i="15"/>
  <c r="G20" i="15"/>
  <c r="G50" i="15"/>
  <c r="E48" i="15"/>
  <c r="G17" i="15"/>
  <c r="E45" i="15"/>
  <c r="E46" i="15"/>
  <c r="E49" i="15"/>
  <c r="G19" i="15"/>
  <c r="G45" i="15"/>
  <c r="C48" i="15"/>
  <c r="C50" i="15"/>
  <c r="C46" i="15"/>
  <c r="C47" i="15"/>
  <c r="C45" i="15"/>
  <c r="C49" i="15"/>
  <c r="C15" i="15"/>
  <c r="C17" i="15"/>
  <c r="C16" i="15"/>
  <c r="C20" i="15"/>
  <c r="E17" i="15"/>
  <c r="C18" i="15"/>
  <c r="E19" i="15"/>
  <c r="E16" i="15"/>
  <c r="E20" i="15"/>
  <c r="C19" i="15"/>
  <c r="E15" i="15"/>
  <c r="E18" i="15"/>
  <c r="B57" i="10"/>
  <c r="B56" i="10"/>
  <c r="E57" i="10"/>
  <c r="E56" i="10"/>
  <c r="B39" i="10" l="1"/>
  <c r="B38" i="10"/>
  <c r="E43" i="10"/>
  <c r="C43" i="10"/>
  <c r="D56" i="10"/>
  <c r="D57" i="10"/>
  <c r="AC38" i="10"/>
  <c r="W38" i="10"/>
  <c r="J38" i="10"/>
  <c r="G38" i="10"/>
  <c r="AA38" i="10"/>
  <c r="N39" i="10"/>
  <c r="T39" i="10"/>
  <c r="V39" i="10"/>
  <c r="U39" i="10"/>
  <c r="L38" i="10"/>
  <c r="AB39" i="10"/>
  <c r="C38" i="10"/>
  <c r="P38" i="10"/>
  <c r="AD38" i="10"/>
  <c r="O38" i="10"/>
  <c r="Q39" i="10"/>
  <c r="H38" i="10"/>
  <c r="D38" i="10"/>
  <c r="H39" i="10"/>
  <c r="S39" i="10"/>
  <c r="K38" i="10"/>
  <c r="AC39" i="10"/>
  <c r="O39" i="10"/>
  <c r="Z38" i="10"/>
  <c r="P39" i="10"/>
  <c r="Z39" i="10"/>
  <c r="AB38" i="10"/>
  <c r="E38" i="10"/>
  <c r="N38" i="10"/>
  <c r="AD39" i="10"/>
  <c r="U38" i="10"/>
  <c r="F38" i="10"/>
  <c r="M38" i="10"/>
  <c r="Q38" i="10"/>
  <c r="V38" i="10"/>
  <c r="D39" i="10"/>
  <c r="I39" i="10"/>
  <c r="C39" i="10"/>
  <c r="X39" i="10"/>
  <c r="T38" i="10"/>
  <c r="R38" i="10"/>
  <c r="AA39" i="10"/>
  <c r="E39" i="10"/>
  <c r="L39" i="10"/>
  <c r="F39" i="10"/>
  <c r="K39" i="10"/>
  <c r="W39" i="10"/>
  <c r="X38" i="10"/>
  <c r="S38" i="10"/>
  <c r="R39" i="10"/>
  <c r="J39" i="10"/>
  <c r="I38" i="10"/>
  <c r="G39" i="10"/>
  <c r="Y39" i="10"/>
  <c r="Y38" i="10"/>
  <c r="M39" i="10"/>
  <c r="B26" i="10" l="1"/>
  <c r="B27" i="10"/>
  <c r="E13" i="10"/>
  <c r="C13" i="10"/>
  <c r="B9" i="10"/>
  <c r="B10" i="10"/>
  <c r="B6" i="7"/>
  <c r="B3" i="7"/>
  <c r="B5" i="7"/>
  <c r="I1" i="7"/>
  <c r="A1" i="7"/>
  <c r="C57" i="10"/>
  <c r="B4" i="7"/>
  <c r="T9" i="10"/>
  <c r="C10" i="10"/>
  <c r="H9" i="10"/>
  <c r="G9" i="10"/>
  <c r="F10" i="10"/>
  <c r="L9" i="10"/>
  <c r="N10" i="10"/>
  <c r="T10" i="10"/>
  <c r="F9" i="10"/>
  <c r="D10" i="10"/>
  <c r="P9" i="10"/>
  <c r="O10" i="10"/>
  <c r="S9" i="10"/>
  <c r="W10" i="10"/>
  <c r="V10" i="10"/>
  <c r="L10" i="10"/>
  <c r="S10" i="10"/>
  <c r="Q10" i="10"/>
  <c r="E26" i="10"/>
  <c r="E10" i="10"/>
  <c r="H10" i="10"/>
  <c r="I10" i="10"/>
  <c r="J9" i="10"/>
  <c r="U10" i="10"/>
  <c r="V9" i="10"/>
  <c r="R9" i="10"/>
  <c r="M10" i="10"/>
  <c r="R10" i="10"/>
  <c r="K9" i="10"/>
  <c r="K10" i="10"/>
  <c r="E9" i="10"/>
  <c r="Q9" i="10"/>
  <c r="J10" i="10"/>
  <c r="D9" i="10"/>
  <c r="I9" i="10"/>
  <c r="E27" i="10"/>
  <c r="P10" i="10"/>
  <c r="O9" i="10"/>
  <c r="M9" i="10"/>
  <c r="C9" i="10"/>
  <c r="N9" i="10"/>
  <c r="G10" i="10"/>
  <c r="W9" i="10"/>
  <c r="C27" i="10" l="1"/>
  <c r="C27" i="15"/>
  <c r="C29" i="15"/>
  <c r="C28" i="15"/>
  <c r="C57" i="15"/>
  <c r="C58" i="15"/>
  <c r="C59" i="15"/>
  <c r="C56" i="10"/>
  <c r="E48" i="10"/>
  <c r="C48" i="10"/>
  <c r="C45" i="10"/>
  <c r="C47" i="10"/>
  <c r="C49" i="10"/>
  <c r="E46" i="10"/>
  <c r="C46" i="10"/>
  <c r="C44" i="10"/>
  <c r="E45" i="10"/>
  <c r="E47" i="10"/>
  <c r="E44" i="10"/>
  <c r="E49" i="10"/>
  <c r="C26" i="10"/>
  <c r="C3" i="7"/>
  <c r="C17" i="10"/>
  <c r="E17" i="10"/>
  <c r="C19" i="10"/>
  <c r="C15" i="10"/>
  <c r="E19" i="10"/>
  <c r="E15" i="10"/>
  <c r="C18" i="10"/>
  <c r="E18" i="10"/>
  <c r="C16" i="10"/>
  <c r="E16" i="10"/>
  <c r="E14" i="10"/>
  <c r="C14" i="10"/>
</calcChain>
</file>

<file path=xl/sharedStrings.xml><?xml version="1.0" encoding="utf-8"?>
<sst xmlns="http://schemas.openxmlformats.org/spreadsheetml/2006/main" count="12318" uniqueCount="1400">
  <si>
    <t>Date Appel</t>
  </si>
  <si>
    <t>Titre</t>
  </si>
  <si>
    <t>Nom Equipe</t>
  </si>
  <si>
    <t>Nom Agent</t>
  </si>
  <si>
    <t>Matricule</t>
  </si>
  <si>
    <t>Nom Coach</t>
  </si>
  <si>
    <t>note</t>
  </si>
  <si>
    <t>ID Abonné</t>
  </si>
  <si>
    <t>Origine</t>
  </si>
  <si>
    <t>Type de traitement</t>
  </si>
  <si>
    <t>Type d'évaluation</t>
  </si>
  <si>
    <t>Directivité - Maîtrise de l'entretien</t>
  </si>
  <si>
    <t>Phrase d'accueil et présentation complète</t>
  </si>
  <si>
    <t>Pose du contact - PRN</t>
  </si>
  <si>
    <t>Reformulation</t>
  </si>
  <si>
    <t>Verrouillage</t>
  </si>
  <si>
    <t>Procédure</t>
  </si>
  <si>
    <t>Utilisation de l'historique client</t>
  </si>
  <si>
    <t>Commentaires de contacts</t>
  </si>
  <si>
    <t>Ecoute active/implication</t>
  </si>
  <si>
    <t>Identification client</t>
  </si>
  <si>
    <t>Questionnement</t>
  </si>
  <si>
    <t>Remerciement</t>
  </si>
  <si>
    <t>Discours</t>
  </si>
  <si>
    <t>Communication sortante</t>
  </si>
  <si>
    <t>Accompagnement et valorisation du client</t>
  </si>
  <si>
    <t>Réponse correcte et complète - Résolution au premier contact</t>
  </si>
  <si>
    <t>Souhaite quelque chose d'agréable</t>
  </si>
  <si>
    <t>Ton, débit, volume, empathie</t>
  </si>
  <si>
    <t>Vérification et MAJ de l'adresse postale</t>
  </si>
  <si>
    <t>Traitement des objections</t>
  </si>
  <si>
    <t>Vérification et MAJ du numéro de téléphone</t>
  </si>
  <si>
    <t>Valorisation du service et/ou du produit</t>
  </si>
  <si>
    <t>Vocabulaire, jargon, utilisation du JE et du présent, syntaxe</t>
  </si>
  <si>
    <t>Amabilité, courtoisie, sourire</t>
  </si>
  <si>
    <t>Fiabilisation</t>
  </si>
  <si>
    <t>Vérification et MAJ de l'adresse électronique</t>
  </si>
  <si>
    <t>Mise en attente</t>
  </si>
  <si>
    <t>Actions nécessaires effectuées - Respect des procédures</t>
  </si>
  <si>
    <t>02/01/2018</t>
  </si>
  <si>
    <t>GLM Grille FO</t>
  </si>
  <si>
    <t>Bisiaux Corinne</t>
  </si>
  <si>
    <t>DUQUESNOY LAURA</t>
  </si>
  <si>
    <t>23703</t>
  </si>
  <si>
    <t>SADOCKI JIMMY</t>
  </si>
  <si>
    <t>0002200959</t>
  </si>
  <si>
    <t>Formation</t>
  </si>
  <si>
    <t>SEM</t>
  </si>
  <si>
    <t>SUSPENSION D'ABONNEMENT</t>
  </si>
  <si>
    <t>Distance</t>
  </si>
  <si>
    <t>OUI</t>
  </si>
  <si>
    <t>NA</t>
  </si>
  <si>
    <t>LIGENZA CYNTHIA</t>
  </si>
  <si>
    <t>MOUACI LEILA</t>
  </si>
  <si>
    <t>20994</t>
  </si>
  <si>
    <t>0002964762</t>
  </si>
  <si>
    <t>NON RECEPTION MQ</t>
  </si>
  <si>
    <t>MASCLET ANNIE LAURE</t>
  </si>
  <si>
    <t>0010531461</t>
  </si>
  <si>
    <t xml:space="preserve">Non réception </t>
  </si>
  <si>
    <t>04/01/2018</t>
  </si>
  <si>
    <t>LUNEAU JULIEN</t>
  </si>
  <si>
    <t>LEMPIRE EMELINE</t>
  </si>
  <si>
    <t>25086</t>
  </si>
  <si>
    <t>0010431217</t>
  </si>
  <si>
    <t>1951238</t>
  </si>
  <si>
    <t>Supervision</t>
  </si>
  <si>
    <t xml:space="preserve">changement d'offre </t>
  </si>
  <si>
    <t>VANCAEYZEELE DELPHINE</t>
  </si>
  <si>
    <t>25084</t>
  </si>
  <si>
    <t>10939832</t>
  </si>
  <si>
    <t xml:space="preserve">portage </t>
  </si>
  <si>
    <t>03/01/2018</t>
  </si>
  <si>
    <t>0011149583</t>
  </si>
  <si>
    <t>CO</t>
  </si>
  <si>
    <t>N TRIPLE</t>
  </si>
  <si>
    <t>10412411</t>
  </si>
  <si>
    <t>Non réception</t>
  </si>
  <si>
    <t>HAMMOUDI SAMIR</t>
  </si>
  <si>
    <t>21330</t>
  </si>
  <si>
    <t>0000859238</t>
  </si>
  <si>
    <t xml:space="preserve">probleme de portage </t>
  </si>
  <si>
    <t>PETITPREZ MAUREEN</t>
  </si>
  <si>
    <t>23704</t>
  </si>
  <si>
    <t>0000797040</t>
  </si>
  <si>
    <t>0011086432</t>
  </si>
  <si>
    <t xml:space="preserve">COMMANDE HS </t>
  </si>
  <si>
    <t>10705944</t>
  </si>
  <si>
    <t xml:space="preserve">DEMANDE DE PORTAGE </t>
  </si>
  <si>
    <t>YEZLI DJAMILA</t>
  </si>
  <si>
    <t>25085</t>
  </si>
  <si>
    <t>0010257703</t>
  </si>
  <si>
    <t xml:space="preserve">ABONNEMENT </t>
  </si>
  <si>
    <t>GUFFROY MORGANE</t>
  </si>
  <si>
    <t>19896</t>
  </si>
  <si>
    <t>0010297751</t>
  </si>
  <si>
    <t>AKADAR FATIHA</t>
  </si>
  <si>
    <t>23707</t>
  </si>
  <si>
    <t>5000412611</t>
  </si>
  <si>
    <t>LMFR</t>
  </si>
  <si>
    <t>Demande d'accès sur le monde.fr</t>
  </si>
  <si>
    <t>DELPIERRE SANDRINE</t>
  </si>
  <si>
    <t>25545</t>
  </si>
  <si>
    <t>238972</t>
  </si>
  <si>
    <t>reabo</t>
  </si>
  <si>
    <t>552376</t>
  </si>
  <si>
    <t xml:space="preserve">chgt de formule </t>
  </si>
  <si>
    <t>1928416</t>
  </si>
  <si>
    <t>Demande client livraison par Portage</t>
  </si>
  <si>
    <t>DELASSUS SYLVIE</t>
  </si>
  <si>
    <t>25543</t>
  </si>
  <si>
    <t>2105221</t>
  </si>
  <si>
    <t>RESILIATION</t>
  </si>
  <si>
    <t>695326</t>
  </si>
  <si>
    <t>Comité externe</t>
  </si>
  <si>
    <t>SUSPENSION TEMPORAIRE</t>
  </si>
  <si>
    <t>0000639996</t>
  </si>
  <si>
    <t>DEMANDE INFO COLLECTION RBA</t>
  </si>
  <si>
    <t>0001035101</t>
  </si>
  <si>
    <t>DEMANDE CONFIRMATION REABO</t>
  </si>
  <si>
    <t>TENCHON LAURENCE</t>
  </si>
  <si>
    <t>25090</t>
  </si>
  <si>
    <t>0000629101</t>
  </si>
  <si>
    <t>10711901</t>
  </si>
  <si>
    <t>0011295541</t>
  </si>
  <si>
    <t>NON RECEPTION VPC</t>
  </si>
  <si>
    <t>NON</t>
  </si>
  <si>
    <t>05/01/2018</t>
  </si>
  <si>
    <t>0011295092</t>
  </si>
  <si>
    <t xml:space="preserve">commande article </t>
  </si>
  <si>
    <t>DUCARIN Corinne</t>
  </si>
  <si>
    <t>5858</t>
  </si>
  <si>
    <t>0011292539</t>
  </si>
  <si>
    <t>demande d'abo</t>
  </si>
  <si>
    <t>08/01/2018</t>
  </si>
  <si>
    <t>DISTINGUIN FLORIAN</t>
  </si>
  <si>
    <t>25088</t>
  </si>
  <si>
    <t>0011273340</t>
  </si>
  <si>
    <t>Non réception &amp; confirmation de mode de livraison</t>
  </si>
  <si>
    <t>MAJ des con issances produit (intranet, etc.)</t>
  </si>
  <si>
    <t xml:space="preserve"> </t>
  </si>
  <si>
    <t>Total général</t>
  </si>
  <si>
    <t>SEMAINE</t>
  </si>
  <si>
    <t>MOIS</t>
  </si>
  <si>
    <t>(vide)</t>
  </si>
  <si>
    <t>RESULTATS SEMAINE VS MOIS</t>
  </si>
  <si>
    <t>NBRE</t>
  </si>
  <si>
    <t>TAUX</t>
  </si>
  <si>
    <t>ACCUEIL</t>
  </si>
  <si>
    <t>ATTITUDE</t>
  </si>
  <si>
    <t>TRAITEMENT DE L'APPEL</t>
  </si>
  <si>
    <t>VALORISATION</t>
  </si>
  <si>
    <t>CLOTURE DE L'APPEL</t>
  </si>
  <si>
    <t>POSE DU CONTACT</t>
  </si>
  <si>
    <t>Numéro Contact</t>
  </si>
  <si>
    <t>Analyse de la demande, des commandes et de l'historique des échanges</t>
  </si>
  <si>
    <t>Aucune faute de grammaire ou d'orthographe</t>
  </si>
  <si>
    <t>Identification (ou création) du dossier</t>
  </si>
  <si>
    <t>Respect des procédures</t>
  </si>
  <si>
    <t>MAJ des coordonnées postales</t>
  </si>
  <si>
    <t>Commentaire</t>
  </si>
  <si>
    <t>Respect des règles de gestion (cm, anomalie portage, etc.)</t>
  </si>
  <si>
    <t>Syntaxe claire et ponctuée</t>
  </si>
  <si>
    <t>Appel à l'assistance/cellule prio - Escalade vers le niveau 2</t>
  </si>
  <si>
    <t>MAJ des moyens de communication (téléphone, adresse électronique)</t>
  </si>
  <si>
    <t xml:space="preserve">Entête nominative - formule de politesse et prise de congé adaptées </t>
  </si>
  <si>
    <t>Accompagnement client - sens du service</t>
  </si>
  <si>
    <t>Présentation et mise en valeur des offres</t>
  </si>
  <si>
    <t>Valorisation client</t>
  </si>
  <si>
    <t>GLM Grille BO</t>
  </si>
  <si>
    <t>21891</t>
  </si>
  <si>
    <t>0010357705</t>
  </si>
  <si>
    <t>43</t>
  </si>
  <si>
    <t>0011296506</t>
  </si>
  <si>
    <t>1</t>
  </si>
  <si>
    <t>MD</t>
  </si>
  <si>
    <t xml:space="preserve">LIVRAISON MAUVAISE ADRESSE </t>
  </si>
  <si>
    <t xml:space="preserve">11267741 </t>
  </si>
  <si>
    <t>CHANGEMENT D OFFRE</t>
  </si>
  <si>
    <t>LEROUX FANNY</t>
  </si>
  <si>
    <t>23979</t>
  </si>
  <si>
    <t>0011266588</t>
  </si>
  <si>
    <t xml:space="preserve">ACCES COMPTE </t>
  </si>
  <si>
    <t>0002166864</t>
  </si>
  <si>
    <t>48</t>
  </si>
  <si>
    <t>SEPA</t>
  </si>
  <si>
    <t>0000916218</t>
  </si>
  <si>
    <t>Demande de résiliation</t>
  </si>
  <si>
    <t xml:space="preserve">RESILIATION </t>
  </si>
  <si>
    <t>0010448132</t>
  </si>
  <si>
    <t>9</t>
  </si>
  <si>
    <t>MARUITTE INGRID</t>
  </si>
  <si>
    <t>24754</t>
  </si>
  <si>
    <t>0010746946</t>
  </si>
  <si>
    <t>22348</t>
  </si>
  <si>
    <t>0011298746</t>
  </si>
  <si>
    <t>DEMANDE ID / MP</t>
  </si>
  <si>
    <t>AUBURTIN SANDRINE</t>
  </si>
  <si>
    <t>16209</t>
  </si>
  <si>
    <t>0011181747</t>
  </si>
  <si>
    <t xml:space="preserve">résiliation </t>
  </si>
  <si>
    <t>BOUGE MAURINE</t>
  </si>
  <si>
    <t>21893</t>
  </si>
  <si>
    <t>0001809123</t>
  </si>
  <si>
    <t>Demande information sur abo offert</t>
  </si>
  <si>
    <t>0000249256</t>
  </si>
  <si>
    <t>85</t>
  </si>
  <si>
    <t>NON RECEPTION</t>
  </si>
  <si>
    <t>9573</t>
  </si>
  <si>
    <t>5003807343</t>
  </si>
  <si>
    <t>0010991229</t>
  </si>
  <si>
    <t>15</t>
  </si>
  <si>
    <t xml:space="preserve">BDC </t>
  </si>
  <si>
    <t>0010788956</t>
  </si>
  <si>
    <t>0011303107</t>
  </si>
  <si>
    <t>2</t>
  </si>
  <si>
    <t>Demande procédure pour accèder à son espace client</t>
  </si>
  <si>
    <t>0011107520</t>
  </si>
  <si>
    <t>0011310325</t>
  </si>
  <si>
    <t>Problème de connexion</t>
  </si>
  <si>
    <t>0011289700</t>
  </si>
  <si>
    <t>Modification adresse de livraison</t>
  </si>
  <si>
    <t>3014294</t>
  </si>
  <si>
    <t>3</t>
  </si>
  <si>
    <t>MAJ coordonnées bancaires</t>
  </si>
  <si>
    <t>0011309873</t>
  </si>
  <si>
    <t>Problème de connexion espace client</t>
  </si>
  <si>
    <t>11298764</t>
  </si>
  <si>
    <t>Procédure connexion au site</t>
  </si>
  <si>
    <t>MEZINE LOTFI</t>
  </si>
  <si>
    <t>25258</t>
  </si>
  <si>
    <t>5003122358</t>
  </si>
  <si>
    <t>Demande client changement de formule</t>
  </si>
  <si>
    <t>DELATTRE JULIEN</t>
  </si>
  <si>
    <t>24750</t>
  </si>
  <si>
    <t>GENGEMBRE MAGALIE</t>
  </si>
  <si>
    <t>5002910228</t>
  </si>
  <si>
    <t>8</t>
  </si>
  <si>
    <t>Controleur</t>
  </si>
  <si>
    <t>impayé</t>
  </si>
  <si>
    <t>5000648279</t>
  </si>
  <si>
    <t xml:space="preserve">activation iTunes </t>
  </si>
  <si>
    <t>0010987835</t>
  </si>
  <si>
    <t xml:space="preserve">connexion </t>
  </si>
  <si>
    <t>0003014294</t>
  </si>
  <si>
    <t>4</t>
  </si>
  <si>
    <t xml:space="preserve">paiement </t>
  </si>
  <si>
    <t>BROSEMER PHILIPPE</t>
  </si>
  <si>
    <t>25257</t>
  </si>
  <si>
    <t>0001110815</t>
  </si>
  <si>
    <t>278</t>
  </si>
  <si>
    <t xml:space="preserve">récla nouvelle offre </t>
  </si>
  <si>
    <t>5001576412</t>
  </si>
  <si>
    <t>EQUIPE</t>
  </si>
  <si>
    <t>ASF</t>
  </si>
  <si>
    <t>DIONGUE Astou</t>
  </si>
  <si>
    <t>5677</t>
  </si>
  <si>
    <t>0000504045</t>
  </si>
  <si>
    <t>Demande d'accès à l'Edition abonnés du Monde.fr 7j</t>
  </si>
  <si>
    <t>06/01/2018</t>
  </si>
  <si>
    <t>20328</t>
  </si>
  <si>
    <t>LEPINE ANNIE</t>
  </si>
  <si>
    <t>0010719260</t>
  </si>
  <si>
    <t>14</t>
  </si>
  <si>
    <t>Application mobile</t>
  </si>
  <si>
    <t>0011319385</t>
  </si>
  <si>
    <t>EL GHAZI Karima</t>
  </si>
  <si>
    <t>11107</t>
  </si>
  <si>
    <t>0010594950</t>
  </si>
  <si>
    <t>Délai de réception</t>
  </si>
  <si>
    <t>0010608991</t>
  </si>
  <si>
    <t>Consignes de dépôt</t>
  </si>
  <si>
    <t>GAMMANE Houda</t>
  </si>
  <si>
    <t>12466</t>
  </si>
  <si>
    <t>0001326726</t>
  </si>
  <si>
    <t>Résiliation</t>
  </si>
  <si>
    <t>0010912887</t>
  </si>
  <si>
    <t>EL ABSI Yahya</t>
  </si>
  <si>
    <t>ELMOUMI Mariam</t>
  </si>
  <si>
    <t>18513</t>
  </si>
  <si>
    <t>0010809417</t>
  </si>
  <si>
    <t>0010978850</t>
  </si>
  <si>
    <t>Non récpetion M</t>
  </si>
  <si>
    <t>LAAROUCH Riham</t>
  </si>
  <si>
    <t>11110</t>
  </si>
  <si>
    <t>0000583721</t>
  </si>
  <si>
    <t>33</t>
  </si>
  <si>
    <t>Résiliation rétention</t>
  </si>
  <si>
    <t>PHONE</t>
  </si>
  <si>
    <t xml:space="preserve">ID MANSOUR Hass </t>
  </si>
  <si>
    <t>BOUA NE Samia Sofia</t>
  </si>
  <si>
    <t xml:space="preserve">OUHSAIN Mi </t>
  </si>
  <si>
    <t>Choix du modèle-type</t>
  </si>
  <si>
    <t>Adresse mail expéditeur et destinataire</t>
  </si>
  <si>
    <t>Valorisation des gestes co/dédommagement - valorisation de la marque</t>
  </si>
  <si>
    <t>IDENTIFICATION</t>
  </si>
  <si>
    <t>ANALYSE</t>
  </si>
  <si>
    <t>TRAITEMENT</t>
  </si>
  <si>
    <t>REPONSE</t>
  </si>
  <si>
    <t>CONTACT</t>
  </si>
  <si>
    <t>DILMI Redouane</t>
  </si>
  <si>
    <t>24719</t>
  </si>
  <si>
    <t>5003676107</t>
  </si>
  <si>
    <t>resiliation</t>
  </si>
  <si>
    <t>10/01/2018</t>
  </si>
  <si>
    <t>0011206421</t>
  </si>
  <si>
    <t xml:space="preserve">Demande client confirmation coordonnées bancaires </t>
  </si>
  <si>
    <t>11319904</t>
  </si>
  <si>
    <t>reception justif etudiant</t>
  </si>
  <si>
    <t>09/01/2018</t>
  </si>
  <si>
    <t>11298312</t>
  </si>
  <si>
    <t>demande de resil</t>
  </si>
  <si>
    <t>11318740</t>
  </si>
  <si>
    <t>5000446167</t>
  </si>
  <si>
    <t>demande de conf abo</t>
  </si>
  <si>
    <t>5004214996</t>
  </si>
  <si>
    <t>changement de formule</t>
  </si>
  <si>
    <t>5003118660</t>
  </si>
  <si>
    <t>5004327156</t>
  </si>
  <si>
    <t>11194187</t>
  </si>
  <si>
    <t>Comité Interne</t>
  </si>
  <si>
    <t>11191283</t>
  </si>
  <si>
    <t>demande de resil.</t>
  </si>
  <si>
    <t>DEVIENNE MANON</t>
  </si>
  <si>
    <t>25755</t>
  </si>
  <si>
    <t>11199907</t>
  </si>
  <si>
    <t>Demande de factures</t>
  </si>
  <si>
    <t>5002892602</t>
  </si>
  <si>
    <t>Impayé</t>
  </si>
  <si>
    <t>10296025</t>
  </si>
  <si>
    <t>MAJ coordonnées postales</t>
  </si>
  <si>
    <t>11321434</t>
  </si>
  <si>
    <t>reception justif</t>
  </si>
  <si>
    <t>SITE</t>
  </si>
  <si>
    <t>0001446399</t>
  </si>
  <si>
    <t>Problème accès sur l'application depuis tablette</t>
  </si>
  <si>
    <t>10534035</t>
  </si>
  <si>
    <t>Client ne parvient pas à accèder à l'espace abonné</t>
  </si>
  <si>
    <t>10459056</t>
  </si>
  <si>
    <t>Demande client relance Reab automatique</t>
  </si>
  <si>
    <t>0010643074</t>
  </si>
  <si>
    <t>Information sur absence de parution</t>
  </si>
  <si>
    <t>NOYELLE MYLENE</t>
  </si>
  <si>
    <t>23902</t>
  </si>
  <si>
    <t>10539298</t>
  </si>
  <si>
    <t>Demande de facture</t>
  </si>
  <si>
    <t>12/01/2018</t>
  </si>
  <si>
    <t>0002170013</t>
  </si>
  <si>
    <t>Confirmation d'un abonnement en cours</t>
  </si>
  <si>
    <t>0003100464</t>
  </si>
  <si>
    <t>Confirmation réab</t>
  </si>
  <si>
    <t>Valeurs</t>
  </si>
  <si>
    <t>BEN KIRANE Fatima zahra</t>
  </si>
  <si>
    <t>KHALLOU Jihane</t>
  </si>
  <si>
    <t>MAJ consignes de dépôts</t>
  </si>
  <si>
    <t>MAJ du prénom</t>
  </si>
  <si>
    <t>AIT EL ANTRI Farah</t>
  </si>
  <si>
    <t>Confirmation résiliation Abo</t>
  </si>
  <si>
    <t>Non réception suite au REAB</t>
  </si>
  <si>
    <t>BOULAL Hajar</t>
  </si>
  <si>
    <t>EL AYOUBI Imad</t>
  </si>
  <si>
    <t>Souscription de réabonnement payant</t>
  </si>
  <si>
    <t>Reabonnement suite retention</t>
  </si>
  <si>
    <t>530</t>
  </si>
  <si>
    <t>11147123</t>
  </si>
  <si>
    <t>6</t>
  </si>
  <si>
    <t>11208382</t>
  </si>
  <si>
    <t>11191118</t>
  </si>
  <si>
    <t>5</t>
  </si>
  <si>
    <t>19241</t>
  </si>
  <si>
    <t>10527662</t>
  </si>
  <si>
    <t>5000820016</t>
  </si>
  <si>
    <t>3648</t>
  </si>
  <si>
    <t>0011319087</t>
  </si>
  <si>
    <t>0010565360</t>
  </si>
  <si>
    <t>0010821034</t>
  </si>
  <si>
    <t>11/01/2018</t>
  </si>
  <si>
    <t>0000111272</t>
  </si>
  <si>
    <t>REDACTION - PERSONNALISATION</t>
  </si>
  <si>
    <t>\\svlvfs07.vlv.arvato.fr\services7\Suivi_De_Production_MS\</t>
  </si>
  <si>
    <t>01</t>
  </si>
  <si>
    <t>janvier</t>
  </si>
  <si>
    <t>02</t>
  </si>
  <si>
    <t>février</t>
  </si>
  <si>
    <t>03</t>
  </si>
  <si>
    <t>mars</t>
  </si>
  <si>
    <t>04</t>
  </si>
  <si>
    <t>avril</t>
  </si>
  <si>
    <t>05</t>
  </si>
  <si>
    <t>mai</t>
  </si>
  <si>
    <t>07</t>
  </si>
  <si>
    <t>06</t>
  </si>
  <si>
    <t>juin</t>
  </si>
  <si>
    <t>juillet</t>
  </si>
  <si>
    <t>08</t>
  </si>
  <si>
    <t>août</t>
  </si>
  <si>
    <t>Code client :</t>
  </si>
  <si>
    <t>09</t>
  </si>
  <si>
    <t>septembre</t>
  </si>
  <si>
    <t>10</t>
  </si>
  <si>
    <t>octobre</t>
  </si>
  <si>
    <t>11</t>
  </si>
  <si>
    <t>novembre</t>
  </si>
  <si>
    <t>décembre</t>
  </si>
  <si>
    <t>GLM</t>
  </si>
  <si>
    <t>PRISMA</t>
  </si>
  <si>
    <t>TYPE :</t>
  </si>
  <si>
    <t>Valeur :</t>
  </si>
  <si>
    <t>Mois</t>
  </si>
  <si>
    <t>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</si>
  <si>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</si>
  <si>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</si>
  <si>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</si>
  <si>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</si>
  <si>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</si>
  <si>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</si>
  <si>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</si>
  <si>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</si>
  <si>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</si>
  <si>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</si>
  <si>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</si>
  <si>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</si>
  <si>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source</t>
  </si>
  <si>
    <t>Année</t>
  </si>
  <si>
    <t>Étiquettes de lignes</t>
  </si>
  <si>
    <t>MOIS (n°)</t>
  </si>
  <si>
    <t>Date Signature</t>
  </si>
  <si>
    <t>Personalisation de la réponse</t>
  </si>
  <si>
    <t>MOIS :</t>
  </si>
  <si>
    <t>Semaine :</t>
  </si>
  <si>
    <t>Identification (ou création) du dossier.</t>
  </si>
  <si>
    <t>MAJ des coordonnées postales.</t>
  </si>
  <si>
    <t>MAJ des moyens de communication (téléphone, adresse électronique).</t>
  </si>
  <si>
    <t>Analyse de la demande, des commandes et de l'historique des échanges.</t>
  </si>
  <si>
    <t>Respect des procédures.</t>
  </si>
  <si>
    <t>Respect des règles de gestion (cm, anomalie portage, etc.).</t>
  </si>
  <si>
    <t>Appel à l'assistance/cellule prio - Escalade vers le niveau 2.</t>
  </si>
  <si>
    <t>Choix du modèle-type.</t>
  </si>
  <si>
    <t>Réponse correcte et complète - Résolution au premier contact.</t>
  </si>
  <si>
    <t>Aucune faute de grammaire ou d'orthographe.</t>
  </si>
  <si>
    <t>Syntaxe claire et ponctuée.</t>
  </si>
  <si>
    <t>Adresse mail expéditeur et destinataire.</t>
  </si>
  <si>
    <t>Personnalisation de la réponse.</t>
  </si>
  <si>
    <t>Accompagnement client - sens du service.</t>
  </si>
  <si>
    <t>Présentation et mise en valeur des offres.</t>
  </si>
  <si>
    <t>Valorisation des gestes co/dédommagement - valorisation de la marque.</t>
  </si>
  <si>
    <t>Valorisation client.</t>
  </si>
  <si>
    <t>Pose du contact - PRN.</t>
  </si>
  <si>
    <t>Commentaire.</t>
  </si>
  <si>
    <t>Entête nominative - formule de politesse et prise de congé adaptées.</t>
  </si>
  <si>
    <t>Procédure.</t>
  </si>
  <si>
    <t>MAJ des con issances produit (intranet, etc.).</t>
  </si>
  <si>
    <t>Discours.</t>
  </si>
  <si>
    <t>Moyenne de note</t>
  </si>
  <si>
    <t>Personalisation</t>
  </si>
  <si>
    <t>Phrase d'accueil et présentation complète.</t>
  </si>
  <si>
    <t>Identification client.</t>
  </si>
  <si>
    <t xml:space="preserve"> Vérification et MAJ de l'adresse électronique.</t>
  </si>
  <si>
    <t>Vérification et MAJ du numéro de téléphone.</t>
  </si>
  <si>
    <t>Vérification et MAJ de l'adresse postale.</t>
  </si>
  <si>
    <t>Directivité - Maîtrise de l'entretien.</t>
  </si>
  <si>
    <t>Ecoute active/implication.</t>
  </si>
  <si>
    <t>Ton, débit, volume, empathie.</t>
  </si>
  <si>
    <t>Vocabulaire, jargon, utilisation du JE et du présent, syntaxe.</t>
  </si>
  <si>
    <t>Amabilité, courtoisie, sourire.</t>
  </si>
  <si>
    <t>Reformulation.</t>
  </si>
  <si>
    <t>Questionnement.</t>
  </si>
  <si>
    <t>Traitement des objections.</t>
  </si>
  <si>
    <t>Fiabilisation.</t>
  </si>
  <si>
    <t>Mise en attente.</t>
  </si>
  <si>
    <t>Actions nécessaires effectuées - Respect des procédures.</t>
  </si>
  <si>
    <t>Personnalisation.</t>
  </si>
  <si>
    <t>Utilisation de l'historique client.</t>
  </si>
  <si>
    <t>Accompagnement et valorisation du client.</t>
  </si>
  <si>
    <t>Valorisation du service et/ou du produit.</t>
  </si>
  <si>
    <t>Verrouillage.</t>
  </si>
  <si>
    <t>Remerciement.</t>
  </si>
  <si>
    <t>Souhaite quelque chose d'agréable.</t>
  </si>
  <si>
    <t>Commentaires de contacts.</t>
  </si>
  <si>
    <t>Communication sortante.</t>
  </si>
  <si>
    <t>Vérification et MAJ de l'adresse électronique.</t>
  </si>
  <si>
    <t>MAJ des conaissances produit (intranet, etc.).</t>
  </si>
  <si>
    <t>M-1</t>
  </si>
  <si>
    <t>M-2</t>
  </si>
  <si>
    <t>BOCQUET PRESCILIA</t>
  </si>
  <si>
    <t>23702</t>
  </si>
  <si>
    <t>PRELEVEMENT</t>
  </si>
  <si>
    <t>NON RECEPTION PORTAGE</t>
  </si>
  <si>
    <t>CHAD TEMPO</t>
  </si>
  <si>
    <t>SUSPENSION TEMPO</t>
  </si>
  <si>
    <t xml:space="preserve">NON RECEPTION </t>
  </si>
  <si>
    <t>Proximité</t>
  </si>
  <si>
    <t xml:space="preserve">SUSPENSION </t>
  </si>
  <si>
    <t>non recep</t>
  </si>
  <si>
    <t>CHAD DEFINITIF</t>
  </si>
  <si>
    <t>REABONNEMENT</t>
  </si>
  <si>
    <t>DEMANDE DE FACTURE</t>
  </si>
  <si>
    <t>CHANGEMENT DE FORMULE</t>
  </si>
  <si>
    <t>IMPAYE</t>
  </si>
  <si>
    <t>suspension</t>
  </si>
  <si>
    <t>0010924033</t>
  </si>
  <si>
    <t>CHAD</t>
  </si>
  <si>
    <t>Changement de formule</t>
  </si>
  <si>
    <t>Changement de formules</t>
  </si>
  <si>
    <t>Réabonnement</t>
  </si>
  <si>
    <t>WAGON LEA</t>
  </si>
  <si>
    <t>25546</t>
  </si>
  <si>
    <t>Suspension temporaire</t>
  </si>
  <si>
    <t>Confirmation d'abonnement</t>
  </si>
  <si>
    <t>18</t>
  </si>
  <si>
    <t>ZIDOUNI  ssima</t>
  </si>
  <si>
    <t>11660</t>
  </si>
  <si>
    <t>Confirmation réabonnement</t>
  </si>
  <si>
    <t>44</t>
  </si>
  <si>
    <t>Chad définitif</t>
  </si>
  <si>
    <t>12</t>
  </si>
  <si>
    <t>Non réception CO</t>
  </si>
  <si>
    <t>TARQUI Fairouz</t>
  </si>
  <si>
    <t>22040</t>
  </si>
  <si>
    <t>TOUAMA Ilham</t>
  </si>
  <si>
    <t>22039</t>
  </si>
  <si>
    <t>25</t>
  </si>
  <si>
    <t>LAMKHIDA Abderrahman</t>
  </si>
  <si>
    <t>21214</t>
  </si>
  <si>
    <t>Correction d'adresse</t>
  </si>
  <si>
    <t>19</t>
  </si>
  <si>
    <t>7</t>
  </si>
  <si>
    <t>Druon Amandine</t>
  </si>
  <si>
    <t>4594</t>
  </si>
  <si>
    <t>LECOINTE VINCENT</t>
  </si>
  <si>
    <t>6464</t>
  </si>
  <si>
    <t>37</t>
  </si>
  <si>
    <t>Andrzejewski Melanie</t>
  </si>
  <si>
    <t>3629</t>
  </si>
  <si>
    <t>PORTAGE</t>
  </si>
  <si>
    <t xml:space="preserve">connexion appli </t>
  </si>
  <si>
    <t>29</t>
  </si>
  <si>
    <t>16</t>
  </si>
  <si>
    <t>Non réception MQ</t>
  </si>
  <si>
    <t>Demande de facture acquittée</t>
  </si>
  <si>
    <t>Modification des coordonnées bancaires</t>
  </si>
  <si>
    <t>Changement d'adresse définitif</t>
  </si>
  <si>
    <t>34</t>
  </si>
  <si>
    <t>Demande de portage</t>
  </si>
  <si>
    <t>51</t>
  </si>
  <si>
    <t>24</t>
  </si>
  <si>
    <t>CHAD Temporaire</t>
  </si>
  <si>
    <t>CHAD Définitif</t>
  </si>
  <si>
    <t>Changement d'adresse temporaire</t>
  </si>
  <si>
    <t xml:space="preserve">confirmation abo </t>
  </si>
  <si>
    <t>27</t>
  </si>
  <si>
    <t xml:space="preserve">changement de formule </t>
  </si>
  <si>
    <t>13</t>
  </si>
  <si>
    <t>Délai de livraison</t>
  </si>
  <si>
    <t>Demande procédure de résiliation</t>
  </si>
  <si>
    <t>Courrier Internationnal</t>
  </si>
  <si>
    <t>Le Monde.FR</t>
  </si>
  <si>
    <t>Le Monde Diplomatique</t>
  </si>
  <si>
    <t>BILAN MENSUEL COPIL</t>
  </si>
  <si>
    <t>BILAN MENSUEL 3 MOIS</t>
  </si>
  <si>
    <t>BILAN HEBDOMADAIRE</t>
  </si>
  <si>
    <t>31/01/2018</t>
  </si>
  <si>
    <t>25/01/2018</t>
  </si>
  <si>
    <t>19/01/2018</t>
  </si>
  <si>
    <t>18/01/2018</t>
  </si>
  <si>
    <t>17/01/2018</t>
  </si>
  <si>
    <t>29/01/2018</t>
  </si>
  <si>
    <t>23/01/2018</t>
  </si>
  <si>
    <t>15/01/2018</t>
  </si>
  <si>
    <t>0010539833</t>
  </si>
  <si>
    <t>Procédure d'annulation</t>
  </si>
  <si>
    <t>0010931328</t>
  </si>
  <si>
    <t>0011328825</t>
  </si>
  <si>
    <t>Souscription d'abonnement payant</t>
  </si>
  <si>
    <t>0010626409</t>
  </si>
  <si>
    <t>Confirmation enregistrement règlement</t>
  </si>
  <si>
    <t>002139556</t>
  </si>
  <si>
    <t>Non réception en France ou à l'étranger</t>
  </si>
  <si>
    <t>0011303736</t>
  </si>
  <si>
    <t>commande VPC</t>
  </si>
  <si>
    <t>2457575</t>
  </si>
  <si>
    <t>0002985312</t>
  </si>
  <si>
    <t>0000103205</t>
  </si>
  <si>
    <t>5002874526</t>
  </si>
  <si>
    <t>11214015</t>
  </si>
  <si>
    <t xml:space="preserve">paiement facture </t>
  </si>
  <si>
    <t>16/01/2018</t>
  </si>
  <si>
    <t>0011189565</t>
  </si>
  <si>
    <t xml:space="preserve"> Non réception en France ou à l'étranger</t>
  </si>
  <si>
    <t>0000236992</t>
  </si>
  <si>
    <t>0010485534</t>
  </si>
  <si>
    <t>Demande client information sur son abonnement</t>
  </si>
  <si>
    <t>0010476841</t>
  </si>
  <si>
    <t>Demande client information sur abonnement doublon</t>
  </si>
  <si>
    <t>0010607710</t>
  </si>
  <si>
    <t xml:space="preserve"> Procédure d'annulation</t>
  </si>
  <si>
    <t>0010765908</t>
  </si>
  <si>
    <t>Demande client information sur les abos en cours</t>
  </si>
  <si>
    <t>5003362341</t>
  </si>
  <si>
    <t>0002325205</t>
  </si>
  <si>
    <t>0010770900</t>
  </si>
  <si>
    <t>0002507498</t>
  </si>
  <si>
    <t>Non réception hors séries</t>
  </si>
  <si>
    <t>0011193833</t>
  </si>
  <si>
    <t>Problème accès sur le site le monde événément</t>
  </si>
  <si>
    <t>0010293156</t>
  </si>
  <si>
    <t>0001791661</t>
  </si>
  <si>
    <t>Accès au Monde Evénements abonnés</t>
  </si>
  <si>
    <t>2924935</t>
  </si>
  <si>
    <t>CROISEMENT DE COURRIER</t>
  </si>
  <si>
    <t>22/01/2018</t>
  </si>
  <si>
    <t>11251471</t>
  </si>
  <si>
    <t>Demande client procédure de résiliation</t>
  </si>
  <si>
    <t>0010476234</t>
  </si>
  <si>
    <t>0010565245</t>
  </si>
  <si>
    <t>30/01/2018</t>
  </si>
  <si>
    <t>0000332808</t>
  </si>
  <si>
    <t xml:space="preserve"> Impossibilité de se connecter à l'Edition abonnés</t>
  </si>
  <si>
    <t>11323213</t>
  </si>
  <si>
    <t>Demande client procédure de création de son compte</t>
  </si>
  <si>
    <t>0002946731</t>
  </si>
  <si>
    <t>936342</t>
  </si>
  <si>
    <t>Information sur facture impayé</t>
  </si>
  <si>
    <t>876538</t>
  </si>
  <si>
    <t>Non réception routage</t>
  </si>
  <si>
    <t>0010989551</t>
  </si>
  <si>
    <t>Information prélèvement</t>
  </si>
  <si>
    <t>0002530782</t>
  </si>
  <si>
    <t>Demande client procédure d'annulation</t>
  </si>
  <si>
    <t>0000639803</t>
  </si>
  <si>
    <t>CHAD + REABO</t>
  </si>
  <si>
    <t>0011337165</t>
  </si>
  <si>
    <t>0001944001</t>
  </si>
  <si>
    <t xml:space="preserve"> Souscription d'abonnement payant</t>
  </si>
  <si>
    <t>2887306</t>
  </si>
  <si>
    <t xml:space="preserve"> Info produit VPC</t>
  </si>
  <si>
    <t>548144</t>
  </si>
  <si>
    <t xml:space="preserve"> Portage en Banlieue</t>
  </si>
  <si>
    <t xml:space="preserve"> Info produit</t>
  </si>
  <si>
    <t>0000733265</t>
  </si>
  <si>
    <t>0000327054</t>
  </si>
  <si>
    <t xml:space="preserve"> Réception tardive  France et étranger</t>
  </si>
  <si>
    <t>0638155</t>
  </si>
  <si>
    <t>Demande portage</t>
  </si>
  <si>
    <t>0011165217</t>
  </si>
  <si>
    <t>Portage à Paris</t>
  </si>
  <si>
    <t>0010680519</t>
  </si>
  <si>
    <t xml:space="preserve">Portage à Paris </t>
  </si>
  <si>
    <t>0011319678</t>
  </si>
  <si>
    <t>893397</t>
  </si>
  <si>
    <t>0002574046</t>
  </si>
  <si>
    <t>Perso lisation</t>
  </si>
  <si>
    <t>MAJ des co issances produit (intranet, etc.)</t>
  </si>
  <si>
    <t>Date Sig ture</t>
  </si>
  <si>
    <t>MAJ des connaissances produit (intranet, etc.)</t>
  </si>
  <si>
    <t>0011169314</t>
  </si>
  <si>
    <t xml:space="preserve"> CHAD définitif étranger</t>
  </si>
  <si>
    <t>0011024410</t>
  </si>
  <si>
    <t>Confirmation abo/réabo</t>
  </si>
  <si>
    <t>0010595449</t>
  </si>
  <si>
    <t>11279393</t>
  </si>
  <si>
    <t>0011298819</t>
  </si>
  <si>
    <t>1836273</t>
  </si>
  <si>
    <t>0002353094</t>
  </si>
  <si>
    <t>10970637</t>
  </si>
  <si>
    <t>RETENTION</t>
  </si>
  <si>
    <t>0000102335</t>
  </si>
  <si>
    <t>0010605342</t>
  </si>
  <si>
    <t>PB RECEPTION VPC</t>
  </si>
  <si>
    <t>107883233</t>
  </si>
  <si>
    <t>10727605</t>
  </si>
  <si>
    <t>DEMANDE INFORMATION ABO</t>
  </si>
  <si>
    <t>0011237148</t>
  </si>
  <si>
    <t>DEMANDE DE SUSPENSION</t>
  </si>
  <si>
    <t xml:space="preserve"> Satisfaction du service client</t>
  </si>
  <si>
    <t>0010790901</t>
  </si>
  <si>
    <t>Réclamation suite augmentation tarifaire</t>
  </si>
  <si>
    <t>0010702126</t>
  </si>
  <si>
    <t xml:space="preserve"> CHAD définitif</t>
  </si>
  <si>
    <t>0010658112</t>
  </si>
  <si>
    <t>Procèdure d'annulation</t>
  </si>
  <si>
    <t>0011289061</t>
  </si>
  <si>
    <t>0011104602</t>
  </si>
  <si>
    <t>0011261438</t>
  </si>
  <si>
    <t>0000801140</t>
  </si>
  <si>
    <t xml:space="preserve">accés </t>
  </si>
  <si>
    <t>0011188636</t>
  </si>
  <si>
    <t xml:space="preserve"> Impayé / rejet paiement</t>
  </si>
  <si>
    <t>5000808178</t>
  </si>
  <si>
    <t>Demande annulation newsletters du Monde</t>
  </si>
  <si>
    <t>10384706</t>
  </si>
  <si>
    <t>0001340307</t>
  </si>
  <si>
    <t xml:space="preserve"> Demande de facture acquittée</t>
  </si>
  <si>
    <t>5004234495</t>
  </si>
  <si>
    <t>Reste-Autre motif / Sans motif</t>
  </si>
  <si>
    <t>Reste-Procédure d'annulation</t>
  </si>
  <si>
    <t xml:space="preserve">LAR Demande de résiliation </t>
  </si>
  <si>
    <t>0011148660</t>
  </si>
  <si>
    <t>Nouvelle appli JE</t>
  </si>
  <si>
    <t>0011335389</t>
  </si>
  <si>
    <t xml:space="preserve"> Infos sur articles</t>
  </si>
  <si>
    <t>0010906102</t>
  </si>
  <si>
    <t>Demande d'abonnement gratuit</t>
  </si>
  <si>
    <t>24/01/2018</t>
  </si>
  <si>
    <t>0010988467</t>
  </si>
  <si>
    <t>résiliation</t>
  </si>
  <si>
    <t>5003406247</t>
  </si>
  <si>
    <t xml:space="preserve">rétention LMFR </t>
  </si>
  <si>
    <t>0011331779</t>
  </si>
  <si>
    <t xml:space="preserve">souscription abo </t>
  </si>
  <si>
    <t>5000709320</t>
  </si>
  <si>
    <t>0011326799</t>
  </si>
  <si>
    <t>5000973025</t>
  </si>
  <si>
    <t>0011106318</t>
  </si>
  <si>
    <t xml:space="preserve">augmentation tarifaire </t>
  </si>
  <si>
    <t>5001918777</t>
  </si>
  <si>
    <t>23</t>
  </si>
  <si>
    <t xml:space="preserve">appli </t>
  </si>
  <si>
    <t>0000221625</t>
  </si>
  <si>
    <t xml:space="preserve">appli JE </t>
  </si>
  <si>
    <t>5000537971</t>
  </si>
  <si>
    <t>36</t>
  </si>
  <si>
    <t xml:space="preserve">newsletters </t>
  </si>
  <si>
    <t>5000671544</t>
  </si>
  <si>
    <t xml:space="preserve">MAJ coordonnés bancaires </t>
  </si>
  <si>
    <t>5000674294</t>
  </si>
  <si>
    <t xml:space="preserve">demande facture </t>
  </si>
  <si>
    <t>Confirmation résiliation</t>
  </si>
  <si>
    <t>0001162222</t>
  </si>
  <si>
    <t>11441585</t>
  </si>
  <si>
    <t>RAHMAT Issam</t>
  </si>
  <si>
    <t>0011181431</t>
  </si>
  <si>
    <t>Info échéancier de prélèvement</t>
  </si>
  <si>
    <t>0002010997</t>
  </si>
  <si>
    <t>0000015912</t>
  </si>
  <si>
    <t>1585155</t>
  </si>
  <si>
    <t>10582634</t>
  </si>
  <si>
    <t>RESILIATION ETRANGER</t>
  </si>
  <si>
    <t>10487140</t>
  </si>
  <si>
    <t>2517303</t>
  </si>
  <si>
    <t>2895085</t>
  </si>
  <si>
    <t>11295640</t>
  </si>
  <si>
    <t>PB RECEPTION</t>
  </si>
  <si>
    <t>5000832101</t>
  </si>
  <si>
    <t>10237768</t>
  </si>
  <si>
    <t>10910838</t>
  </si>
  <si>
    <t>1030381</t>
  </si>
  <si>
    <t>10284914</t>
  </si>
  <si>
    <t>0010785654</t>
  </si>
  <si>
    <t xml:space="preserve"> Prélèvement abusif (erreur prélèvement)</t>
  </si>
  <si>
    <t>0003183672</t>
  </si>
  <si>
    <t>0011049855</t>
  </si>
  <si>
    <t>0001333282</t>
  </si>
  <si>
    <t>0010773486</t>
  </si>
  <si>
    <t>Règlement d'impayé</t>
  </si>
  <si>
    <t>0000429076</t>
  </si>
  <si>
    <t>0002112388</t>
  </si>
  <si>
    <t>Demande de n° d'abonné ou n° de client</t>
  </si>
  <si>
    <t>0010777580</t>
  </si>
  <si>
    <t>0002552073</t>
  </si>
  <si>
    <t>Création compte sur le site</t>
  </si>
  <si>
    <t>0000115476</t>
  </si>
  <si>
    <t>Problème distribution postale</t>
  </si>
  <si>
    <t>0001171635</t>
  </si>
  <si>
    <t>803771</t>
  </si>
  <si>
    <t>0000416241</t>
  </si>
  <si>
    <t>50</t>
  </si>
  <si>
    <t xml:space="preserve"> CHAD temporaire</t>
  </si>
  <si>
    <t>0001993815</t>
  </si>
  <si>
    <t>1ère demande d'annulation prélèvement</t>
  </si>
  <si>
    <t>0001426449</t>
  </si>
  <si>
    <t>Enregistrement d un paiement - chèque seul</t>
  </si>
  <si>
    <t>26/01/2018</t>
  </si>
  <si>
    <t>0000764392</t>
  </si>
  <si>
    <t>Confirmation enregistrement abo / réabo</t>
  </si>
  <si>
    <t>0000969506</t>
  </si>
  <si>
    <t>Changement de desti taire</t>
  </si>
  <si>
    <t>0002155217</t>
  </si>
  <si>
    <t>0001656615</t>
  </si>
  <si>
    <t>Demande la date de fin d'abonnement</t>
  </si>
  <si>
    <t>0010588137</t>
  </si>
  <si>
    <t>0003062709</t>
  </si>
  <si>
    <t>CHAD définitif</t>
  </si>
  <si>
    <t>0001734065</t>
  </si>
  <si>
    <t>0001758438</t>
  </si>
  <si>
    <t>129</t>
  </si>
  <si>
    <t>Portage en Banlieue</t>
  </si>
  <si>
    <t>0010460388</t>
  </si>
  <si>
    <t>0000446735</t>
  </si>
  <si>
    <t>39</t>
  </si>
  <si>
    <t>moyenne</t>
  </si>
  <si>
    <t>Objectif (90%)</t>
  </si>
  <si>
    <t>02/03/2018</t>
  </si>
  <si>
    <t>08/03/2018</t>
  </si>
  <si>
    <t>12/03/2018</t>
  </si>
  <si>
    <t>17/03/2018</t>
  </si>
  <si>
    <t>19/03/2018</t>
  </si>
  <si>
    <t>20/03/2018</t>
  </si>
  <si>
    <t>21/03/2018</t>
  </si>
  <si>
    <t>0010903711</t>
  </si>
  <si>
    <t xml:space="preserve"> Règlement d'impayé</t>
  </si>
  <si>
    <t>0010297728</t>
  </si>
  <si>
    <t>0010476844</t>
  </si>
  <si>
    <t>0000350145</t>
  </si>
  <si>
    <t>Règlement d'abonnement</t>
  </si>
  <si>
    <t>0003043852</t>
  </si>
  <si>
    <t>0011139587</t>
  </si>
  <si>
    <t>Mise à jour RIB</t>
  </si>
  <si>
    <t>0011320557</t>
  </si>
  <si>
    <t>0001390315</t>
  </si>
  <si>
    <t>5001162641</t>
  </si>
  <si>
    <t>0000198822</t>
  </si>
  <si>
    <t>5004121919</t>
  </si>
  <si>
    <t>2235315</t>
  </si>
  <si>
    <t>35</t>
  </si>
  <si>
    <t>11304786</t>
  </si>
  <si>
    <t>3122566</t>
  </si>
  <si>
    <t>Demande ou enregistrement RIB &amp; CB</t>
  </si>
  <si>
    <t>10249162</t>
  </si>
  <si>
    <t>11223543</t>
  </si>
  <si>
    <t>198891</t>
  </si>
  <si>
    <t>KHALIL Imane</t>
  </si>
  <si>
    <t>19185</t>
  </si>
  <si>
    <t>671981</t>
  </si>
  <si>
    <t>1107478</t>
  </si>
  <si>
    <t>259141</t>
  </si>
  <si>
    <t>Achat au numéro</t>
  </si>
  <si>
    <t>11361611</t>
  </si>
  <si>
    <t>Enregistrement d'un remboursement</t>
  </si>
  <si>
    <t>0002105802</t>
  </si>
  <si>
    <t>0010493963</t>
  </si>
  <si>
    <t>0002082994</t>
  </si>
  <si>
    <t>0000633536</t>
  </si>
  <si>
    <t xml:space="preserve"> Enregistrement d'une commande VPC</t>
  </si>
  <si>
    <t>0011071319</t>
  </si>
  <si>
    <t>0011133747</t>
  </si>
  <si>
    <t>0010032667</t>
  </si>
  <si>
    <t>5004438528</t>
  </si>
  <si>
    <t>0010043923</t>
  </si>
  <si>
    <t>0011266289</t>
  </si>
  <si>
    <t>Impayé / rejet paiement</t>
  </si>
  <si>
    <t>0011306071</t>
  </si>
  <si>
    <t>0011128792</t>
  </si>
  <si>
    <t>Difficulté de connexion</t>
  </si>
  <si>
    <t>0000199579</t>
  </si>
  <si>
    <t>0002412187</t>
  </si>
  <si>
    <t>0010775068</t>
  </si>
  <si>
    <t>0000210421</t>
  </si>
  <si>
    <t>0011374883</t>
  </si>
  <si>
    <t>0011374884</t>
  </si>
  <si>
    <t>0010981411</t>
  </si>
  <si>
    <t>0010353554</t>
  </si>
  <si>
    <t>Enregistrement d'une commande VPC</t>
  </si>
  <si>
    <t>11376126</t>
  </si>
  <si>
    <t>194</t>
  </si>
  <si>
    <t>Résiliation MW</t>
  </si>
  <si>
    <t>0000897435</t>
  </si>
  <si>
    <t>0011330214</t>
  </si>
  <si>
    <t xml:space="preserve">Chad </t>
  </si>
  <si>
    <t>10968270</t>
  </si>
  <si>
    <t>Non réception MW</t>
  </si>
  <si>
    <t>5000401816</t>
  </si>
  <si>
    <t>21953</t>
  </si>
  <si>
    <t>122</t>
  </si>
  <si>
    <t>11253682</t>
  </si>
  <si>
    <t>10296561</t>
  </si>
  <si>
    <t>1240395</t>
  </si>
  <si>
    <t>10326600</t>
  </si>
  <si>
    <t>CHANGEMENT CBC</t>
  </si>
  <si>
    <t>10119240</t>
  </si>
  <si>
    <t>11370344</t>
  </si>
  <si>
    <t>DELAI DE LIVRAISON</t>
  </si>
  <si>
    <t>28/03/2018</t>
  </si>
  <si>
    <t>29/03/2018</t>
  </si>
  <si>
    <t>15/03/2018</t>
  </si>
  <si>
    <t>05/03/2018</t>
  </si>
  <si>
    <t>0010872782</t>
  </si>
  <si>
    <t>0011213512</t>
  </si>
  <si>
    <t xml:space="preserve">gestion abo </t>
  </si>
  <si>
    <t>0010435846</t>
  </si>
  <si>
    <t>0011075903</t>
  </si>
  <si>
    <t xml:space="preserve">achat article </t>
  </si>
  <si>
    <t>5003044036</t>
  </si>
  <si>
    <t>5001734912</t>
  </si>
  <si>
    <t xml:space="preserve">GESTION d'abo </t>
  </si>
  <si>
    <t>0011333807</t>
  </si>
  <si>
    <t>07/03/2018</t>
  </si>
  <si>
    <t>0011359789</t>
  </si>
  <si>
    <t>0000612775</t>
  </si>
  <si>
    <t>11215138</t>
  </si>
  <si>
    <t>11212839</t>
  </si>
  <si>
    <t>11364445</t>
  </si>
  <si>
    <t>10230438</t>
  </si>
  <si>
    <t>62</t>
  </si>
  <si>
    <t>NEWSLETTERS</t>
  </si>
  <si>
    <t>5003045087</t>
  </si>
  <si>
    <t>219711</t>
  </si>
  <si>
    <t>11170023</t>
  </si>
  <si>
    <t>11268241</t>
  </si>
  <si>
    <t>Enregistrement du règlement de facture</t>
  </si>
  <si>
    <t>5000275144</t>
  </si>
  <si>
    <t>RETOUR RETENTION</t>
  </si>
  <si>
    <t>5000795551</t>
  </si>
  <si>
    <t>10810671</t>
  </si>
  <si>
    <t>31</t>
  </si>
  <si>
    <t>D HONDT TRACY</t>
  </si>
  <si>
    <t>0011371606</t>
  </si>
  <si>
    <t>Demande de tarifs / devis</t>
  </si>
  <si>
    <t>0010594464</t>
  </si>
  <si>
    <t>0011031292</t>
  </si>
  <si>
    <t>0010833281</t>
  </si>
  <si>
    <t>0000313815</t>
  </si>
  <si>
    <t>54</t>
  </si>
  <si>
    <t>Non réception Newsletters</t>
  </si>
  <si>
    <t>0010707142</t>
  </si>
  <si>
    <t>5002269041</t>
  </si>
  <si>
    <t>0010988990</t>
  </si>
  <si>
    <t>14/03/2018</t>
  </si>
  <si>
    <t>0010114749</t>
  </si>
  <si>
    <t xml:space="preserve">réception NL </t>
  </si>
  <si>
    <t>5002874139</t>
  </si>
  <si>
    <t>0011051142</t>
  </si>
  <si>
    <t xml:space="preserve"> Réclamation nouvelle offre 9.90€/mois</t>
  </si>
  <si>
    <t>11005871</t>
  </si>
  <si>
    <t>10302269</t>
  </si>
  <si>
    <t>107302</t>
  </si>
  <si>
    <t>REABONNEMEN</t>
  </si>
  <si>
    <t>11334650</t>
  </si>
  <si>
    <t>11303501</t>
  </si>
  <si>
    <t>REMBOURSEMENT</t>
  </si>
  <si>
    <t>10791437</t>
  </si>
  <si>
    <t>CHAD ETR</t>
  </si>
  <si>
    <t>10599725</t>
  </si>
  <si>
    <t>118192</t>
  </si>
  <si>
    <t>NON RECEPTION MD</t>
  </si>
  <si>
    <t>3086852</t>
  </si>
  <si>
    <t>113768</t>
  </si>
  <si>
    <t>22/03/2018</t>
  </si>
  <si>
    <t>5000129824</t>
  </si>
  <si>
    <t>0011215265</t>
  </si>
  <si>
    <t>LITIGE RESILIATION</t>
  </si>
  <si>
    <t>23/03/2018</t>
  </si>
  <si>
    <t xml:space="preserve">10635863 </t>
  </si>
  <si>
    <t xml:space="preserve">REABONNEMENT </t>
  </si>
  <si>
    <t>0000432936</t>
  </si>
  <si>
    <t xml:space="preserve">COMMANDE </t>
  </si>
  <si>
    <t>0011053881</t>
  </si>
  <si>
    <t xml:space="preserve">PROCESS GOOGLE </t>
  </si>
  <si>
    <t>27/03/2018</t>
  </si>
  <si>
    <t>0010904339</t>
  </si>
  <si>
    <t>0002012346</t>
  </si>
  <si>
    <t>0011115173</t>
  </si>
  <si>
    <t>CHAD DEF</t>
  </si>
  <si>
    <t>13/03/2018</t>
  </si>
  <si>
    <t>0003114272</t>
  </si>
  <si>
    <t>196621</t>
  </si>
  <si>
    <t>0010183529</t>
  </si>
  <si>
    <t>1627553</t>
  </si>
  <si>
    <t>2992018</t>
  </si>
  <si>
    <t>0000280841</t>
  </si>
  <si>
    <t>0010446932</t>
  </si>
  <si>
    <t>243300</t>
  </si>
  <si>
    <t>11300395</t>
  </si>
  <si>
    <t>2310140</t>
  </si>
  <si>
    <t>560811</t>
  </si>
  <si>
    <t>205989</t>
  </si>
  <si>
    <t>0000198863</t>
  </si>
  <si>
    <t>1965350</t>
  </si>
  <si>
    <t>10654108</t>
  </si>
  <si>
    <t>2135068</t>
  </si>
  <si>
    <t>2197746</t>
  </si>
  <si>
    <t>11307035</t>
  </si>
  <si>
    <t>Demande validation remboursement</t>
  </si>
  <si>
    <t>06/03/2018</t>
  </si>
  <si>
    <t>2024450</t>
  </si>
  <si>
    <t>Modification de coordonnées bancaires</t>
  </si>
  <si>
    <t>0011271392</t>
  </si>
  <si>
    <t>10161434</t>
  </si>
  <si>
    <t>0001936877</t>
  </si>
  <si>
    <t xml:space="preserve">Réponse ANO </t>
  </si>
  <si>
    <t>308160</t>
  </si>
  <si>
    <t>5004384302</t>
  </si>
  <si>
    <t>0002155696</t>
  </si>
  <si>
    <t>Demande de facture à payer ou administrative</t>
  </si>
  <si>
    <t>10210928</t>
  </si>
  <si>
    <t xml:space="preserve"> Demande de facture à payer ou administrative</t>
  </si>
  <si>
    <t>0011346692</t>
  </si>
  <si>
    <t>Refus de portage</t>
  </si>
  <si>
    <t>0011274383</t>
  </si>
  <si>
    <t>0000550728</t>
  </si>
  <si>
    <t>5002564079</t>
  </si>
  <si>
    <t xml:space="preserve"> Rejet de prélèvement CB</t>
  </si>
  <si>
    <t>0010210329</t>
  </si>
  <si>
    <t>Demande identifiant et mot de passe</t>
  </si>
  <si>
    <t>maj adresse mail</t>
  </si>
  <si>
    <t>0010525152</t>
  </si>
  <si>
    <t xml:space="preserve">non reception </t>
  </si>
  <si>
    <t>0000212521</t>
  </si>
  <si>
    <t>CHAD temporaire</t>
  </si>
  <si>
    <t>0001159661</t>
  </si>
  <si>
    <t>5002712203</t>
  </si>
  <si>
    <t>0011368162</t>
  </si>
  <si>
    <t>0011373169</t>
  </si>
  <si>
    <t>1310191</t>
  </si>
  <si>
    <t>10680717</t>
  </si>
  <si>
    <t>0011358019</t>
  </si>
  <si>
    <t>1576161</t>
  </si>
  <si>
    <t>0000551285</t>
  </si>
  <si>
    <t xml:space="preserve">Armande pierette </t>
  </si>
  <si>
    <t>5003548380</t>
  </si>
  <si>
    <t xml:space="preserve">non reception via la poste </t>
  </si>
  <si>
    <t>16/03/2018</t>
  </si>
  <si>
    <t>0002837741</t>
  </si>
  <si>
    <t>0000212779</t>
  </si>
  <si>
    <t>211548</t>
  </si>
  <si>
    <t>ECHEANCE ABONNEMENT</t>
  </si>
  <si>
    <t>10573219</t>
  </si>
  <si>
    <t>11372573</t>
  </si>
  <si>
    <t>Problème ou oubli de login/password</t>
  </si>
  <si>
    <t>970009</t>
  </si>
  <si>
    <t>547098</t>
  </si>
  <si>
    <t>10490048</t>
  </si>
  <si>
    <t xml:space="preserve"> Difficulté de connexion</t>
  </si>
  <si>
    <t>10673269</t>
  </si>
  <si>
    <t>Réception en double exemplaire</t>
  </si>
  <si>
    <t>11307514</t>
  </si>
  <si>
    <t>0011361641</t>
  </si>
  <si>
    <t>10512501</t>
  </si>
  <si>
    <t>résilia</t>
  </si>
  <si>
    <t>10450588</t>
  </si>
  <si>
    <t>11043367</t>
  </si>
  <si>
    <t>2983096</t>
  </si>
  <si>
    <t>5002226973</t>
  </si>
  <si>
    <t>10613386</t>
  </si>
  <si>
    <t>1147755</t>
  </si>
  <si>
    <t>233000</t>
  </si>
  <si>
    <t xml:space="preserve">suspension </t>
  </si>
  <si>
    <t>10382221</t>
  </si>
  <si>
    <t>2156079</t>
  </si>
  <si>
    <t>Demande de Facture</t>
  </si>
  <si>
    <t>0002224536</t>
  </si>
  <si>
    <t>10401566</t>
  </si>
  <si>
    <t>1945657</t>
  </si>
  <si>
    <t>10815636</t>
  </si>
  <si>
    <t>0011217771</t>
  </si>
  <si>
    <t>0011247763</t>
  </si>
  <si>
    <t>0010371743</t>
  </si>
  <si>
    <t>0001327437</t>
  </si>
  <si>
    <t>0004000160</t>
  </si>
  <si>
    <t>Commande d'abonnement</t>
  </si>
  <si>
    <t>0000528926</t>
  </si>
  <si>
    <t>0000236406</t>
  </si>
  <si>
    <t>0010601808</t>
  </si>
  <si>
    <t>26/03/2018</t>
  </si>
  <si>
    <t>0010924845</t>
  </si>
  <si>
    <t>0010483407</t>
  </si>
  <si>
    <t>RECEPTION EN DOUBLE</t>
  </si>
  <si>
    <t>0010728478</t>
  </si>
  <si>
    <t>0010688368</t>
  </si>
  <si>
    <t>0000846344</t>
  </si>
  <si>
    <t>DEMANDE ACCES NUMERIQUE</t>
  </si>
  <si>
    <t>0010192455</t>
  </si>
  <si>
    <t>CONFIRMATION ABO</t>
  </si>
  <si>
    <t>0003112626</t>
  </si>
  <si>
    <t>NON RECEPTION JOURNAL</t>
  </si>
  <si>
    <t>Problème accès à la matinale</t>
  </si>
  <si>
    <t>01/02/2018</t>
  </si>
  <si>
    <t>0000787158</t>
  </si>
  <si>
    <t>Portage en Province</t>
  </si>
  <si>
    <t>06/02/2018</t>
  </si>
  <si>
    <t>0000305668</t>
  </si>
  <si>
    <t>21/02/2018</t>
  </si>
  <si>
    <t>710453</t>
  </si>
  <si>
    <t>09/02/2018</t>
  </si>
  <si>
    <t>10610687</t>
  </si>
  <si>
    <t>non reception</t>
  </si>
  <si>
    <t>02/02/2018</t>
  </si>
  <si>
    <t>0000309018</t>
  </si>
  <si>
    <t xml:space="preserve">non recep </t>
  </si>
  <si>
    <t>23/02/2018</t>
  </si>
  <si>
    <t>0628131</t>
  </si>
  <si>
    <t>05/02/2018</t>
  </si>
  <si>
    <t>576718</t>
  </si>
  <si>
    <t>0011055155</t>
  </si>
  <si>
    <t>DECES</t>
  </si>
  <si>
    <t>13/02/2018</t>
  </si>
  <si>
    <t>0011066649</t>
  </si>
  <si>
    <t>0010979957</t>
  </si>
  <si>
    <t>0011345433</t>
  </si>
  <si>
    <t xml:space="preserve">activation </t>
  </si>
  <si>
    <t>5003183652</t>
  </si>
  <si>
    <t>Problème d'identification appli journal électroniq</t>
  </si>
  <si>
    <t>205147</t>
  </si>
  <si>
    <t>0010635732</t>
  </si>
  <si>
    <t>0010658301</t>
  </si>
  <si>
    <t>20/02/2018</t>
  </si>
  <si>
    <t>07/02/2018</t>
  </si>
  <si>
    <t>0011264609</t>
  </si>
  <si>
    <t>0011218673</t>
  </si>
  <si>
    <t>Recherche et/ou/ aide à la navigation</t>
  </si>
  <si>
    <t>0011011467</t>
  </si>
  <si>
    <t xml:space="preserve"> Intermédiaire - libraire collecteur</t>
  </si>
  <si>
    <t>0000265894</t>
  </si>
  <si>
    <t xml:space="preserve">reception sms portage </t>
  </si>
  <si>
    <t>08/02/2018</t>
  </si>
  <si>
    <t>2257267</t>
  </si>
  <si>
    <t>0011287050</t>
  </si>
  <si>
    <t xml:space="preserve">Portage en Province </t>
  </si>
  <si>
    <t>0011269886</t>
  </si>
  <si>
    <t>26/02/2018</t>
  </si>
  <si>
    <t>0010827791</t>
  </si>
  <si>
    <t>Reste - Procédure d'annulation</t>
  </si>
  <si>
    <t>0002352826</t>
  </si>
  <si>
    <t>12/02/2018</t>
  </si>
  <si>
    <t>0000863861</t>
  </si>
  <si>
    <t>PORTEUR</t>
  </si>
  <si>
    <t>0002512334</t>
  </si>
  <si>
    <t>10471088</t>
  </si>
  <si>
    <t>2632517</t>
  </si>
  <si>
    <t>Croisement relance</t>
  </si>
  <si>
    <t>10641870</t>
  </si>
  <si>
    <t>0010609203</t>
  </si>
  <si>
    <t>110259</t>
  </si>
  <si>
    <t>2111325</t>
  </si>
  <si>
    <t>Relance réabonnement</t>
  </si>
  <si>
    <t>10118329</t>
  </si>
  <si>
    <t>987914</t>
  </si>
  <si>
    <t>11350133</t>
  </si>
  <si>
    <t>Connexion</t>
  </si>
  <si>
    <t>1337775</t>
  </si>
  <si>
    <t>10354231</t>
  </si>
  <si>
    <t>Connexion via tablette</t>
  </si>
  <si>
    <t>2947884</t>
  </si>
  <si>
    <t>14/02/2018</t>
  </si>
  <si>
    <t>10404427</t>
  </si>
  <si>
    <t>10480292</t>
  </si>
  <si>
    <t>2203966</t>
  </si>
  <si>
    <t>0010571114</t>
  </si>
  <si>
    <t xml:space="preserve">résiliiation </t>
  </si>
  <si>
    <t>0011348521</t>
  </si>
  <si>
    <t>0000617906</t>
  </si>
  <si>
    <t>0003197538</t>
  </si>
  <si>
    <t>Demande de réexpédition</t>
  </si>
  <si>
    <t>0000252010</t>
  </si>
  <si>
    <t>5004317158</t>
  </si>
  <si>
    <t xml:space="preserve"> Demande la date de début d'abonnement</t>
  </si>
  <si>
    <t>0002958733</t>
  </si>
  <si>
    <t>0001932040</t>
  </si>
  <si>
    <t>0003114931</t>
  </si>
  <si>
    <t>0010273845</t>
  </si>
  <si>
    <t>0001639241</t>
  </si>
  <si>
    <t>19/02/2018</t>
  </si>
  <si>
    <t>520859</t>
  </si>
  <si>
    <t>11133774</t>
  </si>
  <si>
    <t>5000201078</t>
  </si>
  <si>
    <t>3056993</t>
  </si>
  <si>
    <t>10555067</t>
  </si>
  <si>
    <t>0001792201</t>
  </si>
  <si>
    <t xml:space="preserve"> Portage en Province </t>
  </si>
  <si>
    <t>0002093807</t>
  </si>
  <si>
    <t>0000918786</t>
  </si>
  <si>
    <t>0010640277</t>
  </si>
  <si>
    <t>Rétention OK</t>
  </si>
  <si>
    <t>0011355266</t>
  </si>
  <si>
    <t>0011277036</t>
  </si>
  <si>
    <t>0002644635</t>
  </si>
  <si>
    <t xml:space="preserve"> Suspension temporaire</t>
  </si>
  <si>
    <t>5001561053</t>
  </si>
  <si>
    <t>Probblème de connexion</t>
  </si>
  <si>
    <t>5003144399</t>
  </si>
  <si>
    <t xml:space="preserve">MAJ appli </t>
  </si>
  <si>
    <t>0010397893</t>
  </si>
  <si>
    <t>Modification / ajout / correction des informations</t>
  </si>
  <si>
    <t>0002203332</t>
  </si>
  <si>
    <t>Impossibilité de se connecter à l'Edition abonnés</t>
  </si>
  <si>
    <t>22/02/2018</t>
  </si>
  <si>
    <t>259056</t>
  </si>
  <si>
    <t>27/02/2018</t>
  </si>
  <si>
    <t>10829094</t>
  </si>
  <si>
    <t>5003077809</t>
  </si>
  <si>
    <t>5000447564</t>
  </si>
  <si>
    <t xml:space="preserve"> Consultation/recherche articles</t>
  </si>
  <si>
    <t>10930472</t>
  </si>
  <si>
    <t>28/02/2018</t>
  </si>
  <si>
    <t>11298237</t>
  </si>
  <si>
    <t>1470421</t>
  </si>
  <si>
    <t>296335</t>
  </si>
  <si>
    <t>Changement de destinataire</t>
  </si>
  <si>
    <t>03/04/2018</t>
  </si>
  <si>
    <t>0011053492</t>
  </si>
  <si>
    <t>0000217266</t>
  </si>
  <si>
    <t>DEMADE INFO ABO</t>
  </si>
  <si>
    <t>0000194543</t>
  </si>
  <si>
    <t>0000337639</t>
  </si>
  <si>
    <t>0000204784</t>
  </si>
  <si>
    <t>5001285900</t>
  </si>
  <si>
    <t>0000848711</t>
  </si>
  <si>
    <t>0002007109</t>
  </si>
  <si>
    <t>RECEPTION PORTAGE</t>
  </si>
  <si>
    <t>0000871734</t>
  </si>
  <si>
    <t>0001747446</t>
  </si>
  <si>
    <t>0000914458</t>
  </si>
  <si>
    <t>PB PORTAGE</t>
  </si>
  <si>
    <t>RICART JONATHAN</t>
  </si>
  <si>
    <t>Szczotkowski Patrick</t>
  </si>
  <si>
    <t xml:space="preserve">gestion abo la matinale </t>
  </si>
  <si>
    <t>Demande annulation abo matinale</t>
  </si>
  <si>
    <t>PB NAVIGATION WEB</t>
  </si>
  <si>
    <t>Résiliation  Client-Problème financier</t>
  </si>
  <si>
    <t>connexion appli La Matinale</t>
  </si>
  <si>
    <t>5004088847</t>
  </si>
  <si>
    <t>0000677347</t>
  </si>
  <si>
    <t>Confirmation de changement de formule d'abonnement</t>
  </si>
  <si>
    <t>1710090</t>
  </si>
  <si>
    <t>11343252</t>
  </si>
  <si>
    <t>0011343249</t>
  </si>
  <si>
    <t>5001870191</t>
  </si>
  <si>
    <t>Gestion compte inscrit</t>
  </si>
  <si>
    <t>3104385</t>
  </si>
  <si>
    <t>60</t>
  </si>
  <si>
    <t>Dit avoir payé avec justif</t>
  </si>
  <si>
    <t>5001768764</t>
  </si>
  <si>
    <t>2981201</t>
  </si>
  <si>
    <t>11163848</t>
  </si>
  <si>
    <t>10886996</t>
  </si>
  <si>
    <t>Présentation formules d'abonnements</t>
  </si>
  <si>
    <t>10962906</t>
  </si>
  <si>
    <t>Problème d'identification appli lemonde.fr</t>
  </si>
  <si>
    <t>11343408</t>
  </si>
  <si>
    <t>11335684</t>
  </si>
  <si>
    <t>10367997</t>
  </si>
  <si>
    <t>0000383581</t>
  </si>
  <si>
    <t xml:space="preserve">NON RECEPETION </t>
  </si>
  <si>
    <t>0011302122</t>
  </si>
  <si>
    <t>5002839308</t>
  </si>
  <si>
    <t xml:space="preserve">achat à l'unité </t>
  </si>
  <si>
    <t>15/02/2018</t>
  </si>
  <si>
    <t>5003912190</t>
  </si>
  <si>
    <t>0011010343</t>
  </si>
  <si>
    <t>5002355895</t>
  </si>
  <si>
    <t xml:space="preserve">rétention </t>
  </si>
  <si>
    <t>0011346316</t>
  </si>
  <si>
    <t>11339671</t>
  </si>
  <si>
    <t>5003441712</t>
  </si>
  <si>
    <t>rétention</t>
  </si>
  <si>
    <t>5003059417</t>
  </si>
  <si>
    <t xml:space="preserve">nvle appli JE </t>
  </si>
  <si>
    <t>0003041134</t>
  </si>
  <si>
    <t>connexion</t>
  </si>
  <si>
    <t>5000455344</t>
  </si>
  <si>
    <t xml:space="preserve">suppression compte inscrit </t>
  </si>
  <si>
    <t>0011142393</t>
  </si>
  <si>
    <t>résil iTunes</t>
  </si>
  <si>
    <t>0011332499</t>
  </si>
  <si>
    <t>0010958518</t>
  </si>
  <si>
    <t>0011224258</t>
  </si>
  <si>
    <t>5000182322</t>
  </si>
  <si>
    <t>17</t>
  </si>
  <si>
    <t xml:space="preserve">remarque appli </t>
  </si>
  <si>
    <t>0011268817</t>
  </si>
  <si>
    <t>0010966591</t>
  </si>
  <si>
    <t>reception MDPS</t>
  </si>
  <si>
    <t>5003345655</t>
  </si>
  <si>
    <t>NON RECEPTION DEMANDE GESTE CO</t>
  </si>
  <si>
    <t>0011294613</t>
  </si>
  <si>
    <t>CONF REEXPE</t>
  </si>
  <si>
    <t>0010901792</t>
  </si>
  <si>
    <t>DEMANDE DE PAYER PAR CB</t>
  </si>
  <si>
    <t>0011133623</t>
  </si>
  <si>
    <t>refus retention</t>
  </si>
  <si>
    <t>0010711235</t>
  </si>
  <si>
    <t>0011207156</t>
  </si>
  <si>
    <t xml:space="preserve"> Réclamations itunes</t>
  </si>
  <si>
    <t>5004056312</t>
  </si>
  <si>
    <t>0011194899</t>
  </si>
  <si>
    <t>5000334705</t>
  </si>
  <si>
    <t>0011224891</t>
  </si>
  <si>
    <t>5004079235</t>
  </si>
  <si>
    <t>0010688709</t>
  </si>
  <si>
    <t xml:space="preserve"> Changement de formules</t>
  </si>
  <si>
    <t>5001503946</t>
  </si>
  <si>
    <t>Demande de frais de port</t>
  </si>
  <si>
    <t>0011163937</t>
  </si>
  <si>
    <t>0011001993</t>
  </si>
  <si>
    <t xml:space="preserve">abonnement Pro </t>
  </si>
  <si>
    <t>5004412676</t>
  </si>
  <si>
    <t>10766520</t>
  </si>
  <si>
    <t>0011215217</t>
  </si>
  <si>
    <t>0011328375</t>
  </si>
  <si>
    <t>5002964371</t>
  </si>
  <si>
    <t xml:space="preserve">SUSPENDU PAIEMENT </t>
  </si>
  <si>
    <t>0011310351</t>
  </si>
  <si>
    <t xml:space="preserve">CONFIRMATION ABONNEMENT </t>
  </si>
  <si>
    <t>Molmy Virginie</t>
  </si>
  <si>
    <t>8882</t>
  </si>
  <si>
    <t xml:space="preserve">10667642 </t>
  </si>
  <si>
    <t>0010692436</t>
  </si>
  <si>
    <t>226851</t>
  </si>
  <si>
    <t>10605312</t>
  </si>
  <si>
    <t>10448080</t>
  </si>
  <si>
    <t>10573899</t>
  </si>
  <si>
    <t>11353350</t>
  </si>
  <si>
    <t>Mot de passe</t>
  </si>
  <si>
    <t>11329510</t>
  </si>
  <si>
    <t>10752446</t>
  </si>
  <si>
    <t>10598304</t>
  </si>
  <si>
    <t>11102089</t>
  </si>
  <si>
    <t>16/02/2018</t>
  </si>
  <si>
    <t>0011350642</t>
  </si>
  <si>
    <t>5000871085</t>
  </si>
  <si>
    <t>5000883435</t>
  </si>
  <si>
    <t xml:space="preserve"> Reste-Procédure d'annulation</t>
  </si>
  <si>
    <t>5002829410</t>
  </si>
  <si>
    <t xml:space="preserve">Demande de réactivation d'abonnement avec le même </t>
  </si>
  <si>
    <t>0011122047</t>
  </si>
  <si>
    <t>Changement d adresse mail</t>
  </si>
  <si>
    <t>0011333814</t>
  </si>
  <si>
    <t>5002680865</t>
  </si>
  <si>
    <t>Gérer son abonnement</t>
  </si>
  <si>
    <t>5002256366</t>
  </si>
  <si>
    <t>5000791205</t>
  </si>
  <si>
    <t>0010619147</t>
  </si>
  <si>
    <t>0010945312</t>
  </si>
  <si>
    <t>Demande coordonnées bancaires Editeur</t>
  </si>
  <si>
    <t>0010444877</t>
  </si>
  <si>
    <t xml:space="preserve"> Confirmation enregistrement abo / réabo</t>
  </si>
  <si>
    <t>0011061094</t>
  </si>
  <si>
    <t>11152446</t>
  </si>
  <si>
    <t>Résiliation motif contenu éditorial</t>
  </si>
  <si>
    <t>5001176466</t>
  </si>
  <si>
    <t>Correction adresse</t>
  </si>
  <si>
    <t>ID MANSOUR Hassna</t>
  </si>
  <si>
    <t>BOUANANE Samia Sofia</t>
  </si>
  <si>
    <t>OUHSAIN Mina</t>
  </si>
  <si>
    <t>ZIDOUNI Nassima</t>
  </si>
  <si>
    <t>0010562275</t>
  </si>
  <si>
    <t>Changement RIB</t>
  </si>
  <si>
    <t>0001689132</t>
  </si>
  <si>
    <t>0010352703</t>
  </si>
  <si>
    <t>66</t>
  </si>
  <si>
    <t>0010451188</t>
  </si>
  <si>
    <t>Réabonnement CO</t>
  </si>
  <si>
    <t>5000250085</t>
  </si>
  <si>
    <t>Suspension pour non-paiement</t>
  </si>
  <si>
    <t>10216456</t>
  </si>
  <si>
    <t xml:space="preserve"> Modification / ajout / correction des information</t>
  </si>
  <si>
    <t>226006</t>
  </si>
  <si>
    <t>916825</t>
  </si>
  <si>
    <t xml:space="preserve"> Enregistrement du règlement de facture</t>
  </si>
  <si>
    <t>11322496</t>
  </si>
  <si>
    <t>0011318593</t>
  </si>
  <si>
    <t xml:space="preserve"> Portage à Paris</t>
  </si>
  <si>
    <t>0002568515</t>
  </si>
  <si>
    <t>0011343683</t>
  </si>
  <si>
    <t>10564731</t>
  </si>
  <si>
    <t>0010507287</t>
  </si>
  <si>
    <t>0010825132</t>
  </si>
  <si>
    <t>Paiement - impayé</t>
  </si>
  <si>
    <t>0010587588</t>
  </si>
  <si>
    <t>Demande d'information tarif</t>
  </si>
  <si>
    <t>0011297459</t>
  </si>
  <si>
    <t>0010982999</t>
  </si>
  <si>
    <t xml:space="preserve"> Portage à Paris </t>
  </si>
  <si>
    <t>Résiliation autre motif / Sans motif</t>
  </si>
  <si>
    <t>0002519104</t>
  </si>
  <si>
    <t xml:space="preserve"> Modification de coordonnées bancaires</t>
  </si>
  <si>
    <t>0011311927</t>
  </si>
  <si>
    <t>0011252525</t>
  </si>
  <si>
    <t>0010750002</t>
  </si>
  <si>
    <t>0011350760</t>
  </si>
  <si>
    <t>0001733293</t>
  </si>
  <si>
    <t>0001300036</t>
  </si>
  <si>
    <t>0010723875</t>
  </si>
  <si>
    <t>0011339690</t>
  </si>
  <si>
    <t>0011174994</t>
  </si>
  <si>
    <t>11345864</t>
  </si>
  <si>
    <t>Délai de livraison VPC</t>
  </si>
  <si>
    <t>10439818</t>
  </si>
  <si>
    <t>2048685</t>
  </si>
  <si>
    <t>1941276</t>
  </si>
  <si>
    <t>129304</t>
  </si>
  <si>
    <t>Réabonnment</t>
  </si>
  <si>
    <t>10970160</t>
  </si>
  <si>
    <t>10516335</t>
  </si>
  <si>
    <t>Information Tarif</t>
  </si>
  <si>
    <t>10728396</t>
  </si>
  <si>
    <t>11317320</t>
  </si>
  <si>
    <t>10475193</t>
  </si>
  <si>
    <t>11354627</t>
  </si>
  <si>
    <t>10657853</t>
  </si>
  <si>
    <t xml:space="preserve">Rétention </t>
  </si>
  <si>
    <t>Rétention ok</t>
  </si>
  <si>
    <t>Rétention KO</t>
  </si>
  <si>
    <t>Moyenne de Perso lisation</t>
  </si>
  <si>
    <t>Moyenne de MAJ des co issances produit (intranet, etc.)</t>
  </si>
  <si>
    <t>Étiquettes de colonnes</t>
  </si>
  <si>
    <t>Total Nombre</t>
  </si>
  <si>
    <t>Nombre</t>
  </si>
  <si>
    <t>Total %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</si>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</sst>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1040C]0.00;\(0.00\)"/>
    <numFmt numFmtId="165" formatCode="[$-40C]d\-mmm;@"/>
    <numFmt numFmtId="166" formatCode="dd/mm/yy\ h:mm;@"/>
  </numFmts>
  <fonts count="20" x14ac:knownFonts="1">
    <font>
      <sz val="10"/>
      <name val="Arial"/>
    </font>
    <font>
      <sz val="10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u/>
      <sz val="10"/>
      <color indexed="12"/>
      <name val="Arial"/>
      <family val="2"/>
    </font>
    <font>
      <b/>
      <sz val="20"/>
      <name val="Arial"/>
      <family val="2"/>
    </font>
    <font>
      <sz val="22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sz val="16"/>
      <color theme="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36"/>
      <name val="Arial"/>
      <family val="2"/>
    </font>
    <font>
      <b/>
      <sz val="12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0"/>
      </patternFill>
    </fill>
    <fill>
      <patternFill patternType="solid">
        <fgColor indexed="12"/>
        <bgColor indexed="0"/>
      </patternFill>
    </fill>
    <fill>
      <patternFill patternType="solid">
        <fgColor indexed="13"/>
        <bgColor indexed="0"/>
      </patternFill>
    </fill>
    <fill>
      <patternFill patternType="solid">
        <fgColor indexed="9"/>
        <bgColor indexed="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0"/>
      </patternFill>
    </fill>
  </fills>
  <borders count="40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9" fontId="1" fillId="0" borderId="0" applyFont="0" applyFill="0" applyBorder="0" applyAlignment="0" applyProtection="0"/>
  </cellStyleXfs>
  <cellXfs count="136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 readingOrder="1"/>
      <protection locked="0"/>
    </xf>
    <xf numFmtId="0" fontId="3" fillId="3" borderId="1" xfId="0" applyFont="1" applyFill="1" applyBorder="1" applyAlignment="1" applyProtection="1">
      <alignment horizontal="center" vertical="center" wrapText="1" readingOrder="1"/>
      <protection locked="0"/>
    </xf>
    <xf numFmtId="0" fontId="3" fillId="4" borderId="1" xfId="0" applyFont="1" applyFill="1" applyBorder="1" applyAlignment="1" applyProtection="1">
      <alignment horizontal="center" vertical="center" wrapText="1" readingOrder="1"/>
      <protection locked="0"/>
    </xf>
    <xf numFmtId="0" fontId="3" fillId="0" borderId="1" xfId="0" applyFont="1" applyBorder="1" applyAlignment="1" applyProtection="1">
      <alignment horizontal="center" vertical="center" wrapText="1" readingOrder="1"/>
      <protection locked="0"/>
    </xf>
    <xf numFmtId="0" fontId="3" fillId="0" borderId="1" xfId="0" applyFont="1" applyBorder="1" applyAlignment="1" applyProtection="1">
      <alignment vertical="top" wrapText="1" readingOrder="1"/>
      <protection locked="0"/>
    </xf>
    <xf numFmtId="164" fontId="3" fillId="0" borderId="1" xfId="0" applyNumberFormat="1" applyFont="1" applyBorder="1" applyAlignment="1" applyProtection="1">
      <alignment horizontal="center" vertical="center" wrapText="1" readingOrder="1"/>
      <protection locked="0"/>
    </xf>
    <xf numFmtId="0" fontId="0" fillId="0" borderId="0" xfId="0" applyAlignment="1">
      <alignment horizontal="center" textRotation="45" readingOrder="1"/>
    </xf>
    <xf numFmtId="0" fontId="0" fillId="0" borderId="0" xfId="0" applyNumberFormat="1" applyFill="1" applyAlignment="1" applyProtection="1"/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  <xf numFmtId="0" fontId="0" fillId="0" borderId="0" xfId="0" applyAlignment="1">
      <alignment textRotation="90"/>
    </xf>
    <xf numFmtId="0" fontId="3" fillId="0" borderId="1" xfId="0" applyFont="1" applyBorder="1" applyAlignment="1" applyProtection="1">
      <alignment horizontal="center" vertical="center" readingOrder="1"/>
      <protection locked="0"/>
    </xf>
    <xf numFmtId="0" fontId="0" fillId="0" borderId="0" xfId="0" applyAlignment="1"/>
    <xf numFmtId="0" fontId="6" fillId="0" borderId="1" xfId="0" applyFont="1" applyBorder="1" applyAlignment="1" applyProtection="1">
      <alignment horizontal="center" vertical="center" readingOrder="1"/>
      <protection locked="0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7" fillId="0" borderId="0" xfId="1" applyAlignment="1" applyProtection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4" xfId="0" applyNumberFormat="1" applyFont="1" applyBorder="1" applyAlignment="1">
      <alignment horizontal="center"/>
    </xf>
    <xf numFmtId="0" fontId="6" fillId="4" borderId="2" xfId="2" applyFont="1" applyFill="1" applyBorder="1" applyAlignment="1" applyProtection="1">
      <alignment horizontal="center" vertical="center"/>
      <protection locked="0"/>
    </xf>
    <xf numFmtId="0" fontId="6" fillId="8" borderId="2" xfId="2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" fillId="5" borderId="1" xfId="0" applyFont="1" applyFill="1" applyBorder="1" applyAlignment="1" applyProtection="1">
      <alignment horizontal="center" textRotation="90" readingOrder="1"/>
      <protection locked="0"/>
    </xf>
    <xf numFmtId="0" fontId="5" fillId="5" borderId="1" xfId="0" applyFont="1" applyFill="1" applyBorder="1" applyAlignment="1" applyProtection="1">
      <alignment horizontal="center" textRotation="90" readingOrder="1"/>
      <protection locked="0"/>
    </xf>
    <xf numFmtId="0" fontId="5" fillId="5" borderId="1" xfId="2" applyFont="1" applyFill="1" applyBorder="1" applyAlignment="1" applyProtection="1">
      <alignment horizontal="center" textRotation="90" readingOrder="1"/>
      <protection locked="0"/>
    </xf>
    <xf numFmtId="0" fontId="2" fillId="5" borderId="1" xfId="0" applyFont="1" applyFill="1" applyBorder="1" applyAlignment="1" applyProtection="1">
      <alignment horizontal="center" textRotation="90" wrapText="1" readingOrder="1"/>
      <protection locked="0"/>
    </xf>
    <xf numFmtId="0" fontId="0" fillId="0" borderId="0" xfId="0" applyAlignment="1">
      <alignment horizontal="center" textRotation="90" readingOrder="1"/>
    </xf>
    <xf numFmtId="0" fontId="0" fillId="0" borderId="0" xfId="0" applyAlignment="1">
      <alignment horizontal="left" indent="1"/>
    </xf>
    <xf numFmtId="0" fontId="0" fillId="0" borderId="8" xfId="0" applyNumberFormat="1" applyFill="1" applyBorder="1" applyAlignment="1" applyProtection="1">
      <alignment textRotation="45"/>
    </xf>
    <xf numFmtId="0" fontId="10" fillId="0" borderId="2" xfId="0" applyNumberFormat="1" applyFont="1" applyFill="1" applyBorder="1" applyAlignment="1" applyProtection="1"/>
    <xf numFmtId="0" fontId="10" fillId="0" borderId="7" xfId="0" applyNumberFormat="1" applyFont="1" applyFill="1" applyBorder="1" applyAlignment="1" applyProtection="1"/>
    <xf numFmtId="0" fontId="10" fillId="0" borderId="8" xfId="0" applyNumberFormat="1" applyFont="1" applyFill="1" applyBorder="1" applyAlignment="1" applyProtection="1"/>
    <xf numFmtId="0" fontId="11" fillId="0" borderId="2" xfId="0" applyNumberFormat="1" applyFont="1" applyFill="1" applyBorder="1" applyAlignment="1" applyProtection="1"/>
    <xf numFmtId="9" fontId="11" fillId="0" borderId="2" xfId="0" applyNumberFormat="1" applyFont="1" applyFill="1" applyBorder="1" applyAlignment="1" applyProtection="1"/>
    <xf numFmtId="0" fontId="11" fillId="0" borderId="7" xfId="0" applyNumberFormat="1" applyFont="1" applyFill="1" applyBorder="1" applyAlignment="1" applyProtection="1"/>
    <xf numFmtId="0" fontId="11" fillId="0" borderId="2" xfId="0" applyNumberFormat="1" applyFont="1" applyFill="1" applyBorder="1" applyAlignment="1" applyProtection="1">
      <alignment horizontal="center" vertical="center" textRotation="45"/>
    </xf>
    <xf numFmtId="0" fontId="11" fillId="0" borderId="6" xfId="0" applyNumberFormat="1" applyFont="1" applyFill="1" applyBorder="1" applyAlignment="1" applyProtection="1">
      <alignment horizontal="center" vertical="center" textRotation="45"/>
    </xf>
    <xf numFmtId="0" fontId="12" fillId="0" borderId="0" xfId="0" applyFont="1"/>
    <xf numFmtId="0" fontId="10" fillId="0" borderId="0" xfId="0" applyFont="1"/>
    <xf numFmtId="0" fontId="13" fillId="7" borderId="2" xfId="0" applyFont="1" applyFill="1" applyBorder="1"/>
    <xf numFmtId="2" fontId="0" fillId="0" borderId="0" xfId="0" applyNumberFormat="1"/>
    <xf numFmtId="0" fontId="9" fillId="0" borderId="2" xfId="0" applyFont="1" applyBorder="1" applyAlignment="1">
      <alignment horizontal="center" vertical="center"/>
    </xf>
    <xf numFmtId="0" fontId="5" fillId="5" borderId="1" xfId="0" applyFont="1" applyFill="1" applyBorder="1" applyAlignment="1" applyProtection="1">
      <alignment horizontal="center" textRotation="90" wrapText="1" readingOrder="1"/>
      <protection locked="0"/>
    </xf>
    <xf numFmtId="2" fontId="0" fillId="0" borderId="0" xfId="0" pivotButton="1" applyNumberFormat="1" applyAlignment="1">
      <alignment textRotation="90"/>
    </xf>
    <xf numFmtId="2" fontId="0" fillId="0" borderId="0" xfId="0" applyNumberFormat="1" applyAlignment="1">
      <alignment textRotation="90"/>
    </xf>
    <xf numFmtId="10" fontId="0" fillId="0" borderId="0" xfId="0" applyNumberFormat="1"/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5" fillId="0" borderId="0" xfId="0" applyFont="1"/>
    <xf numFmtId="0" fontId="9" fillId="0" borderId="2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9" fontId="11" fillId="0" borderId="12" xfId="0" applyNumberFormat="1" applyFont="1" applyFill="1" applyBorder="1" applyAlignment="1" applyProtection="1"/>
    <xf numFmtId="9" fontId="11" fillId="0" borderId="13" xfId="0" applyNumberFormat="1" applyFont="1" applyFill="1" applyBorder="1" applyAlignment="1" applyProtection="1"/>
    <xf numFmtId="9" fontId="11" fillId="0" borderId="14" xfId="0" applyNumberFormat="1" applyFont="1" applyFill="1" applyBorder="1" applyAlignment="1" applyProtection="1"/>
    <xf numFmtId="9" fontId="11" fillId="0" borderId="15" xfId="0" applyNumberFormat="1" applyFont="1" applyFill="1" applyBorder="1" applyAlignment="1" applyProtection="1"/>
    <xf numFmtId="9" fontId="11" fillId="0" borderId="16" xfId="0" applyNumberFormat="1" applyFont="1" applyFill="1" applyBorder="1" applyAlignment="1" applyProtection="1"/>
    <xf numFmtId="0" fontId="0" fillId="0" borderId="0" xfId="0" applyNumberFormat="1" applyFill="1" applyBorder="1" applyAlignment="1" applyProtection="1">
      <alignment textRotation="45"/>
    </xf>
    <xf numFmtId="0" fontId="11" fillId="0" borderId="17" xfId="0" applyNumberFormat="1" applyFont="1" applyFill="1" applyBorder="1" applyAlignment="1" applyProtection="1"/>
    <xf numFmtId="0" fontId="11" fillId="0" borderId="18" xfId="0" applyNumberFormat="1" applyFont="1" applyFill="1" applyBorder="1" applyAlignment="1" applyProtection="1"/>
    <xf numFmtId="0" fontId="11" fillId="0" borderId="19" xfId="0" applyNumberFormat="1" applyFont="1" applyFill="1" applyBorder="1" applyAlignment="1" applyProtection="1"/>
    <xf numFmtId="0" fontId="11" fillId="0" borderId="20" xfId="0" applyNumberFormat="1" applyFont="1" applyFill="1" applyBorder="1" applyAlignment="1" applyProtection="1"/>
    <xf numFmtId="0" fontId="11" fillId="0" borderId="21" xfId="0" applyNumberFormat="1" applyFont="1" applyFill="1" applyBorder="1" applyAlignment="1" applyProtection="1"/>
    <xf numFmtId="0" fontId="11" fillId="0" borderId="22" xfId="0" applyNumberFormat="1" applyFont="1" applyFill="1" applyBorder="1" applyAlignment="1" applyProtection="1"/>
    <xf numFmtId="0" fontId="11" fillId="0" borderId="23" xfId="0" applyNumberFormat="1" applyFont="1" applyFill="1" applyBorder="1" applyAlignment="1" applyProtection="1"/>
    <xf numFmtId="0" fontId="11" fillId="0" borderId="24" xfId="0" applyNumberFormat="1" applyFont="1" applyFill="1" applyBorder="1" applyAlignment="1" applyProtection="1">
      <alignment horizontal="center" vertical="center" textRotation="45"/>
    </xf>
    <xf numFmtId="0" fontId="11" fillId="0" borderId="25" xfId="0" applyNumberFormat="1" applyFont="1" applyFill="1" applyBorder="1" applyAlignment="1" applyProtection="1">
      <alignment horizontal="center" vertical="center" textRotation="45"/>
    </xf>
    <xf numFmtId="0" fontId="11" fillId="0" borderId="26" xfId="0" applyNumberFormat="1" applyFont="1" applyFill="1" applyBorder="1" applyAlignment="1" applyProtection="1">
      <alignment horizontal="center" vertical="center" textRotation="45"/>
    </xf>
    <xf numFmtId="9" fontId="11" fillId="0" borderId="9" xfId="0" applyNumberFormat="1" applyFont="1" applyFill="1" applyBorder="1" applyAlignment="1" applyProtection="1"/>
    <xf numFmtId="9" fontId="11" fillId="0" borderId="10" xfId="0" applyNumberFormat="1" applyFont="1" applyFill="1" applyBorder="1" applyAlignment="1" applyProtection="1"/>
    <xf numFmtId="9" fontId="11" fillId="0" borderId="11" xfId="0" applyNumberFormat="1" applyFont="1" applyFill="1" applyBorder="1" applyAlignment="1" applyProtection="1"/>
    <xf numFmtId="9" fontId="11" fillId="0" borderId="27" xfId="0" applyNumberFormat="1" applyFont="1" applyFill="1" applyBorder="1" applyAlignment="1" applyProtection="1"/>
    <xf numFmtId="9" fontId="11" fillId="0" borderId="7" xfId="0" applyNumberFormat="1" applyFont="1" applyFill="1" applyBorder="1" applyAlignment="1" applyProtection="1"/>
    <xf numFmtId="9" fontId="11" fillId="0" borderId="28" xfId="0" applyNumberFormat="1" applyFont="1" applyFill="1" applyBorder="1" applyAlignment="1" applyProtection="1"/>
    <xf numFmtId="0" fontId="0" fillId="0" borderId="29" xfId="0" applyBorder="1" applyAlignment="1">
      <alignment horizontal="center" vertical="center" textRotation="45"/>
    </xf>
    <xf numFmtId="0" fontId="0" fillId="0" borderId="30" xfId="0" applyBorder="1" applyAlignment="1">
      <alignment horizontal="center" vertical="center" textRotation="45"/>
    </xf>
    <xf numFmtId="0" fontId="0" fillId="0" borderId="31" xfId="0" applyBorder="1" applyAlignment="1">
      <alignment horizontal="center" vertical="center" textRotation="45"/>
    </xf>
    <xf numFmtId="0" fontId="18" fillId="0" borderId="0" xfId="0" applyFont="1"/>
    <xf numFmtId="9" fontId="17" fillId="0" borderId="7" xfId="0" applyNumberFormat="1" applyFont="1" applyFill="1" applyBorder="1" applyAlignment="1" applyProtection="1"/>
    <xf numFmtId="0" fontId="19" fillId="0" borderId="0" xfId="0" applyFont="1"/>
    <xf numFmtId="9" fontId="17" fillId="0" borderId="27" xfId="0" applyNumberFormat="1" applyFont="1" applyFill="1" applyBorder="1" applyAlignment="1" applyProtection="1"/>
    <xf numFmtId="9" fontId="17" fillId="0" borderId="28" xfId="0" applyNumberFormat="1" applyFont="1" applyFill="1" applyBorder="1" applyAlignment="1" applyProtection="1"/>
    <xf numFmtId="9" fontId="17" fillId="0" borderId="9" xfId="0" applyNumberFormat="1" applyFont="1" applyFill="1" applyBorder="1" applyAlignment="1" applyProtection="1"/>
    <xf numFmtId="9" fontId="17" fillId="0" borderId="10" xfId="0" applyNumberFormat="1" applyFont="1" applyFill="1" applyBorder="1" applyAlignment="1" applyProtection="1"/>
    <xf numFmtId="9" fontId="17" fillId="0" borderId="11" xfId="0" applyNumberFormat="1" applyFont="1" applyFill="1" applyBorder="1" applyAlignment="1" applyProtection="1"/>
    <xf numFmtId="0" fontId="0" fillId="0" borderId="32" xfId="0" applyNumberFormat="1" applyFill="1" applyBorder="1" applyAlignment="1" applyProtection="1">
      <alignment textRotation="45"/>
    </xf>
    <xf numFmtId="0" fontId="4" fillId="0" borderId="0" xfId="0" quotePrefix="1" applyFont="1"/>
    <xf numFmtId="9" fontId="17" fillId="0" borderId="30" xfId="0" applyNumberFormat="1" applyFont="1" applyFill="1" applyBorder="1" applyAlignment="1" applyProtection="1"/>
    <xf numFmtId="9" fontId="17" fillId="0" borderId="31" xfId="0" applyNumberFormat="1" applyFont="1" applyFill="1" applyBorder="1" applyAlignment="1" applyProtection="1"/>
    <xf numFmtId="0" fontId="17" fillId="0" borderId="3" xfId="0" applyNumberFormat="1" applyFont="1" applyFill="1" applyBorder="1" applyAlignment="1" applyProtection="1"/>
    <xf numFmtId="0" fontId="11" fillId="0" borderId="33" xfId="0" applyNumberFormat="1" applyFont="1" applyFill="1" applyBorder="1" applyAlignment="1" applyProtection="1"/>
    <xf numFmtId="0" fontId="11" fillId="0" borderId="34" xfId="0" applyNumberFormat="1" applyFont="1" applyFill="1" applyBorder="1" applyAlignment="1" applyProtection="1"/>
    <xf numFmtId="0" fontId="11" fillId="0" borderId="35" xfId="0" applyNumberFormat="1" applyFont="1" applyFill="1" applyBorder="1" applyAlignment="1" applyProtection="1">
      <alignment horizontal="center" vertical="center" textRotation="45"/>
    </xf>
    <xf numFmtId="9" fontId="17" fillId="0" borderId="36" xfId="0" applyNumberFormat="1" applyFont="1" applyFill="1" applyBorder="1" applyAlignment="1" applyProtection="1"/>
    <xf numFmtId="9" fontId="11" fillId="0" borderId="8" xfId="0" applyNumberFormat="1" applyFont="1" applyFill="1" applyBorder="1" applyAlignment="1" applyProtection="1"/>
    <xf numFmtId="9" fontId="11" fillId="0" borderId="6" xfId="0" applyNumberFormat="1" applyFont="1" applyFill="1" applyBorder="1" applyAlignment="1" applyProtection="1"/>
    <xf numFmtId="9" fontId="11" fillId="0" borderId="37" xfId="0" applyNumberFormat="1" applyFont="1" applyFill="1" applyBorder="1" applyAlignment="1" applyProtection="1"/>
    <xf numFmtId="9" fontId="11" fillId="0" borderId="38" xfId="0" applyNumberFormat="1" applyFont="1" applyFill="1" applyBorder="1" applyAlignment="1" applyProtection="1"/>
    <xf numFmtId="9" fontId="17" fillId="0" borderId="29" xfId="0" applyNumberFormat="1" applyFont="1" applyFill="1" applyBorder="1" applyAlignment="1" applyProtection="1"/>
    <xf numFmtId="0" fontId="0" fillId="0" borderId="0" xfId="0" applyNumberFormat="1"/>
    <xf numFmtId="0" fontId="4" fillId="0" borderId="8" xfId="0" applyNumberFormat="1" applyFont="1" applyFill="1" applyBorder="1" applyAlignment="1" applyProtection="1">
      <alignment textRotation="45"/>
    </xf>
    <xf numFmtId="1" fontId="0" fillId="0" borderId="0" xfId="0" applyNumberFormat="1"/>
    <xf numFmtId="9" fontId="11" fillId="0" borderId="5" xfId="0" applyNumberFormat="1" applyFont="1" applyFill="1" applyBorder="1" applyAlignment="1" applyProtection="1"/>
    <xf numFmtId="0" fontId="11" fillId="0" borderId="39" xfId="0" applyNumberFormat="1" applyFont="1" applyFill="1" applyBorder="1" applyAlignment="1" applyProtection="1">
      <alignment horizontal="center" vertical="center" textRotation="45"/>
    </xf>
    <xf numFmtId="10" fontId="0" fillId="0" borderId="17" xfId="0" applyNumberFormat="1" applyBorder="1"/>
    <xf numFmtId="10" fontId="0" fillId="0" borderId="18" xfId="0" applyNumberFormat="1" applyBorder="1"/>
    <xf numFmtId="10" fontId="0" fillId="0" borderId="19" xfId="0" applyNumberFormat="1" applyBorder="1"/>
    <xf numFmtId="0" fontId="3" fillId="2" borderId="1" xfId="2" applyFont="1" applyFill="1" applyBorder="1" applyAlignment="1" applyProtection="1">
      <alignment horizontal="center" vertical="center" wrapText="1" readingOrder="1"/>
      <protection locked="0"/>
    </xf>
    <xf numFmtId="0" fontId="3" fillId="3" borderId="1" xfId="2" applyFont="1" applyFill="1" applyBorder="1" applyAlignment="1" applyProtection="1">
      <alignment horizontal="center" vertical="center" wrapText="1" readingOrder="1"/>
      <protection locked="0"/>
    </xf>
    <xf numFmtId="0" fontId="3" fillId="4" borderId="1" xfId="2" applyFont="1" applyFill="1" applyBorder="1" applyAlignment="1" applyProtection="1">
      <alignment horizontal="center" vertical="center" wrapText="1" readingOrder="1"/>
      <protection locked="0"/>
    </xf>
    <xf numFmtId="0" fontId="3" fillId="0" borderId="1" xfId="2" applyFont="1" applyBorder="1" applyAlignment="1" applyProtection="1">
      <alignment horizontal="center" vertical="center" wrapText="1" readingOrder="1"/>
      <protection locked="0"/>
    </xf>
    <xf numFmtId="0" fontId="3" fillId="0" borderId="1" xfId="2" applyFont="1" applyBorder="1" applyAlignment="1" applyProtection="1">
      <alignment vertical="top" wrapText="1" readingOrder="1"/>
      <protection locked="0"/>
    </xf>
    <xf numFmtId="164" fontId="3" fillId="0" borderId="1" xfId="2" applyNumberFormat="1" applyFont="1" applyBorder="1" applyAlignment="1" applyProtection="1">
      <alignment horizontal="center" vertical="center" wrapText="1" readingOrder="1"/>
      <protection locked="0"/>
    </xf>
    <xf numFmtId="0" fontId="0" fillId="0" borderId="0" xfId="0" pivotButton="1" applyAlignment="1">
      <alignment textRotation="90"/>
    </xf>
    <xf numFmtId="0" fontId="0" fillId="0" borderId="0" xfId="0" pivotButton="1" applyAlignment="1"/>
    <xf numFmtId="0" fontId="9" fillId="0" borderId="0" xfId="0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10" fillId="0" borderId="5" xfId="0" applyNumberFormat="1" applyFont="1" applyFill="1" applyBorder="1" applyAlignment="1" applyProtection="1">
      <alignment horizontal="center" vertical="center"/>
    </xf>
    <xf numFmtId="0" fontId="10" fillId="0" borderId="6" xfId="0" applyNumberFormat="1" applyFont="1" applyFill="1" applyBorder="1" applyAlignment="1" applyProtection="1">
      <alignment horizontal="center" vertical="center"/>
    </xf>
    <xf numFmtId="9" fontId="10" fillId="0" borderId="5" xfId="0" applyNumberFormat="1" applyFont="1" applyFill="1" applyBorder="1" applyAlignment="1" applyProtection="1">
      <alignment horizontal="center" vertical="center"/>
    </xf>
    <xf numFmtId="9" fontId="10" fillId="0" borderId="6" xfId="0" applyNumberFormat="1" applyFont="1" applyFill="1" applyBorder="1" applyAlignment="1" applyProtection="1">
      <alignment horizontal="center" vertical="center"/>
    </xf>
    <xf numFmtId="9" fontId="10" fillId="0" borderId="2" xfId="0" applyNumberFormat="1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10" fontId="10" fillId="0" borderId="2" xfId="3" applyNumberFormat="1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4">
    <cellStyle name="Lien hypertexte 2" xfId="1"/>
    <cellStyle name="Normal" xfId="0" builtinId="0"/>
    <cellStyle name="Normal 2" xfId="2"/>
    <cellStyle name="Pourcentage" xfId="3" builtinId="5"/>
  </cellStyles>
  <dxfs count="312">
    <dxf>
      <numFmt numFmtId="13" formatCode="0%"/>
    </dxf>
    <dxf>
      <alignment textRotation="90" readingOrder="0"/>
    </dxf>
    <dxf>
      <numFmt numFmtId="2" formatCode="0.00"/>
    </dxf>
    <dxf>
      <numFmt numFmtId="13" formatCode="0%"/>
    </dxf>
    <dxf>
      <alignment textRotation="90" readingOrder="0"/>
    </dxf>
    <dxf>
      <numFmt numFmtId="2" formatCode="0.00"/>
    </dxf>
    <dxf>
      <numFmt numFmtId="13" formatCode="0%"/>
    </dxf>
    <dxf>
      <alignment textRotation="90" readingOrder="0"/>
    </dxf>
    <dxf>
      <numFmt numFmtId="2" formatCode="0.00"/>
    </dxf>
    <dxf>
      <numFmt numFmtId="1" formatCode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numFmt numFmtId="2" formatCode="0.00"/>
      <alignment textRotation="90" readingOrder="0"/>
    </dxf>
    <dxf>
      <numFmt numFmtId="2" formatCode="0.00"/>
      <alignment textRotation="90" readingOrder="0"/>
    </dxf>
    <dxf>
      <numFmt numFmtId="13" formatCode="0%"/>
    </dxf>
    <dxf>
      <numFmt numFmtId="13" formatCode="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2" formatCode="0.00"/>
    </dxf>
    <dxf>
      <alignment textRotation="90" readingOrder="0"/>
    </dxf>
    <dxf>
      <numFmt numFmtId="2" formatCode="0.00"/>
      <alignment textRotation="90" readingOrder="0"/>
    </dxf>
    <dxf>
      <numFmt numFmtId="2" formatCode="0.00"/>
      <alignment textRotation="90" readingOrder="0"/>
    </dxf>
    <dxf>
      <numFmt numFmtId="13" formatCode="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2" formatCode="0.00"/>
    </dxf>
    <dxf>
      <alignment textRotation="90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2" formatCode="0.00"/>
      <alignment textRotation="90" readingOrder="0"/>
    </dxf>
    <dxf>
      <numFmt numFmtId="2" formatCode="0.00"/>
      <alignment textRotation="90" readingOrder="0"/>
    </dxf>
    <dxf>
      <numFmt numFmtId="13" formatCode="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2" formatCode="0.00"/>
    </dxf>
    <dxf>
      <numFmt numFmtId="1" formatCode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textRotation="90" readingOrder="0"/>
    </dxf>
    <dxf>
      <numFmt numFmtId="2" formatCode="0.0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3" formatCode="0%"/>
    </dxf>
    <dxf>
      <numFmt numFmtId="13" formatCode="0%"/>
    </dxf>
    <dxf>
      <numFmt numFmtId="2" formatCode="0.00"/>
      <alignment textRotation="90" readingOrder="0"/>
    </dxf>
    <dxf>
      <numFmt numFmtId="2" formatCode="0.00"/>
      <alignment textRotation="90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textRotation="90" readingOrder="0"/>
    </dxf>
    <dxf>
      <numFmt numFmtId="2" formatCode="0.0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3" formatCode="0%"/>
    </dxf>
    <dxf>
      <numFmt numFmtId="2" formatCode="0.00"/>
      <alignment textRotation="90" readingOrder="0"/>
    </dxf>
    <dxf>
      <numFmt numFmtId="2" formatCode="0.00"/>
      <alignment textRotation="90" readingOrder="0"/>
    </dxf>
    <dxf>
      <numFmt numFmtId="2" formatCode="0.0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3" formatCode="0%"/>
    </dxf>
    <dxf>
      <numFmt numFmtId="2" formatCode="0.00"/>
      <alignment textRotation="90" readingOrder="0"/>
    </dxf>
    <dxf>
      <numFmt numFmtId="2" formatCode="0.00"/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numFmt numFmtId="1" formatCode="0"/>
    </dxf>
    <dxf>
      <numFmt numFmtId="2" formatCode="0.00"/>
    </dxf>
    <dxf>
      <alignment textRotation="90" readingOrder="0"/>
    </dxf>
    <dxf>
      <numFmt numFmtId="13" formatCode="0%"/>
    </dxf>
    <dxf>
      <numFmt numFmtId="2" formatCode="0.00"/>
    </dxf>
    <dxf>
      <alignment textRotation="90" readingOrder="0"/>
    </dxf>
    <dxf>
      <numFmt numFmtId="13" formatCode="0%"/>
    </dxf>
    <dxf>
      <numFmt numFmtId="2" formatCode="0.00"/>
    </dxf>
    <dxf>
      <alignment textRotation="90" readingOrder="0"/>
    </dxf>
    <dxf>
      <numFmt numFmtId="13" formatCode="0%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numFmt numFmtId="1" formatCode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CE9ED"/>
      <rgbColor rgb="00D3D3D3"/>
      <rgbColor rgb="00B0C4DE"/>
      <rgbColor rgb="00CADFFD"/>
      <rgbColor rgb="00DEDEDE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400"/>
            </a:pPr>
            <a:r>
              <a:rPr lang="fr-FR" sz="2400"/>
              <a:t>Identification</a:t>
            </a:r>
            <a:r>
              <a:rPr lang="fr-FR" sz="2400" baseline="0"/>
              <a:t> : Global</a:t>
            </a:r>
            <a:endParaRPr lang="fr-FR" sz="2400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'Bilan Trimestiel par Item'!$D$3:$G$3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</c:dPt>
          <c:cat>
            <c:strRef>
              <c:f>'Bilan Trimestiel par Item'!$C$8:$E$8</c:f>
              <c:strCache>
                <c:ptCount val="3"/>
                <c:pt idx="0">
                  <c:v>Identification (ou création) du dossier.</c:v>
                </c:pt>
                <c:pt idx="1">
                  <c:v>MAJ des coordonnées postales.</c:v>
                </c:pt>
                <c:pt idx="2">
                  <c:v>MAJ des moyens de communication (téléphone, adresse électronique).</c:v>
                </c:pt>
              </c:strCache>
            </c:strRef>
          </c:cat>
          <c:val>
            <c:numRef>
              <c:f>'Bilan Trimestiel par Item'!$C$9:$E$9</c:f>
              <c:numCache>
                <c:formatCode>0%</c:formatCode>
                <c:ptCount val="3"/>
                <c:pt idx="0">
                  <c:v>1</c:v>
                </c:pt>
                <c:pt idx="1">
                  <c:v>0.97916666666666663</c:v>
                </c:pt>
                <c:pt idx="2">
                  <c:v>0.84313725490196079</c:v>
                </c:pt>
              </c:numCache>
            </c:numRef>
          </c:val>
        </c:ser>
        <c:ser>
          <c:idx val="1"/>
          <c:order val="1"/>
          <c:tx>
            <c:strRef>
              <c:f>'Bilan Trimestiel par Item'!$J$4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'Bilan Trimestiel par Item'!$C$8:$E$8</c:f>
              <c:strCache>
                <c:ptCount val="3"/>
                <c:pt idx="0">
                  <c:v>Identification (ou création) du dossier.</c:v>
                </c:pt>
                <c:pt idx="1">
                  <c:v>MAJ des coordonnées postales.</c:v>
                </c:pt>
                <c:pt idx="2">
                  <c:v>MAJ des moyens de communication (téléphone, adresse électronique).</c:v>
                </c:pt>
              </c:strCache>
            </c:strRef>
          </c:cat>
          <c:val>
            <c:numRef>
              <c:f>'Bilan Trimestiel par Item'!$C$14:$E$14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strRef>
              <c:f>'Bilan Trimestiel par Item'!$K$4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tx2">
                <a:lumMod val="75000"/>
              </a:schemeClr>
            </a:solidFill>
          </c:spPr>
          <c:invertIfNegative val="0"/>
          <c:cat>
            <c:strRef>
              <c:f>'Bilan Trimestiel par Item'!$C$8:$E$8</c:f>
              <c:strCache>
                <c:ptCount val="3"/>
                <c:pt idx="0">
                  <c:v>Identification (ou création) du dossier.</c:v>
                </c:pt>
                <c:pt idx="1">
                  <c:v>MAJ des coordonnées postales.</c:v>
                </c:pt>
                <c:pt idx="2">
                  <c:v>MAJ des moyens de communication (téléphone, adresse électronique).</c:v>
                </c:pt>
              </c:strCache>
            </c:strRef>
          </c:cat>
          <c:val>
            <c:numRef>
              <c:f>'Bilan Trimestiel par Item'!$C$19:$E$19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119001088"/>
        <c:axId val="121438208"/>
      </c:barChart>
      <c:catAx>
        <c:axId val="119001088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21438208"/>
        <c:crosses val="autoZero"/>
        <c:auto val="1"/>
        <c:lblAlgn val="ctr"/>
        <c:lblOffset val="100"/>
        <c:noMultiLvlLbl val="0"/>
      </c:catAx>
      <c:valAx>
        <c:axId val="121438208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119001088"/>
        <c:crosses val="autoZero"/>
        <c:crossBetween val="between"/>
      </c:valAx>
    </c:plotArea>
    <c:legend>
      <c:legendPos val="t"/>
      <c:overlay val="0"/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400"/>
            </a:pPr>
            <a:r>
              <a:rPr lang="fr-FR" sz="2400"/>
              <a:t>Accueil : global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'Bilan Trimestiel par Item'!$D$3:$G$3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</c:dPt>
          <c:cat>
            <c:strRef>
              <c:f>'Bilan Trimestiel par Item'!$C$30:$G$30</c:f>
              <c:strCache>
                <c:ptCount val="5"/>
                <c:pt idx="0">
                  <c:v>Phrase d'accueil et présentation complète.</c:v>
                </c:pt>
                <c:pt idx="1">
                  <c:v>Identification client.</c:v>
                </c:pt>
                <c:pt idx="2">
                  <c:v> Vérification et MAJ de l'adresse électronique.</c:v>
                </c:pt>
                <c:pt idx="3">
                  <c:v>Vérification et MAJ du numéro de téléphone.</c:v>
                </c:pt>
                <c:pt idx="4">
                  <c:v>Vérification et MAJ de l'adresse postale.</c:v>
                </c:pt>
              </c:strCache>
            </c:strRef>
          </c:cat>
          <c:val>
            <c:numRef>
              <c:f>'Bilan Trimestiel par Item'!$C$31:$G$31</c:f>
              <c:numCache>
                <c:formatCode>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0.83132530120481929</c:v>
                </c:pt>
                <c:pt idx="3">
                  <c:v>0.82926829268292679</c:v>
                </c:pt>
                <c:pt idx="4">
                  <c:v>0.9642857142857143</c:v>
                </c:pt>
              </c:numCache>
            </c:numRef>
          </c:val>
        </c:ser>
        <c:ser>
          <c:idx val="1"/>
          <c:order val="1"/>
          <c:tx>
            <c:strRef>
              <c:f>'Bilan Trimestiel par Item'!$J$4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'Bilan Trimestiel par Item'!$C$30:$G$30</c:f>
              <c:strCache>
                <c:ptCount val="5"/>
                <c:pt idx="0">
                  <c:v>Phrase d'accueil et présentation complète.</c:v>
                </c:pt>
                <c:pt idx="1">
                  <c:v>Identification client.</c:v>
                </c:pt>
                <c:pt idx="2">
                  <c:v> Vérification et MAJ de l'adresse électronique.</c:v>
                </c:pt>
                <c:pt idx="3">
                  <c:v>Vérification et MAJ du numéro de téléphone.</c:v>
                </c:pt>
                <c:pt idx="4">
                  <c:v>Vérification et MAJ de l'adresse postale.</c:v>
                </c:pt>
              </c:strCache>
            </c:strRef>
          </c:cat>
          <c:val>
            <c:numRef>
              <c:f>'Bilan Trimestiel par Item'!$C$36:$G$36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'Bilan Trimestiel par Item'!$K$4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tx2">
                <a:lumMod val="75000"/>
              </a:schemeClr>
            </a:solidFill>
          </c:spPr>
          <c:invertIfNegative val="0"/>
          <c:cat>
            <c:strRef>
              <c:f>'Bilan Trimestiel par Item'!$C$30:$G$30</c:f>
              <c:strCache>
                <c:ptCount val="5"/>
                <c:pt idx="0">
                  <c:v>Phrase d'accueil et présentation complète.</c:v>
                </c:pt>
                <c:pt idx="1">
                  <c:v>Identification client.</c:v>
                </c:pt>
                <c:pt idx="2">
                  <c:v> Vérification et MAJ de l'adresse électronique.</c:v>
                </c:pt>
                <c:pt idx="3">
                  <c:v>Vérification et MAJ du numéro de téléphone.</c:v>
                </c:pt>
                <c:pt idx="4">
                  <c:v>Vérification et MAJ de l'adresse postale.</c:v>
                </c:pt>
              </c:strCache>
            </c:strRef>
          </c:cat>
          <c:val>
            <c:numRef>
              <c:f>'Bilan Trimestiel par Item'!$C$41:$G$41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119002112"/>
        <c:axId val="121440512"/>
      </c:barChart>
      <c:catAx>
        <c:axId val="119002112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21440512"/>
        <c:crosses val="autoZero"/>
        <c:auto val="1"/>
        <c:lblAlgn val="ctr"/>
        <c:lblOffset val="100"/>
        <c:noMultiLvlLbl val="0"/>
      </c:catAx>
      <c:valAx>
        <c:axId val="121440512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119002112"/>
        <c:crosses val="autoZero"/>
        <c:crossBetween val="between"/>
      </c:valAx>
    </c:plotArea>
    <c:legend>
      <c:legendPos val="t"/>
      <c:overlay val="0"/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Courrier</a:t>
            </a:r>
            <a:r>
              <a:rPr lang="fr-FR" baseline="0"/>
              <a:t> internationnal BO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COPIL'!$E$17</c:f>
              <c:strCache>
                <c:ptCount val="1"/>
                <c:pt idx="0">
                  <c:v>Courrier Internationnal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</c:dLbls>
          <c:cat>
            <c:strRef>
              <c:f>'Bilan mensuel COPIL'!$B$18:$B$23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mensuel COPIL'!$E$18:$E$23</c:f>
              <c:numCache>
                <c:formatCode>0%</c:formatCode>
                <c:ptCount val="6"/>
                <c:pt idx="0">
                  <c:v>0.90476190476190477</c:v>
                </c:pt>
                <c:pt idx="1">
                  <c:v>0.95454545454545459</c:v>
                </c:pt>
                <c:pt idx="2">
                  <c:v>0.66666666666666663</c:v>
                </c:pt>
                <c:pt idx="3">
                  <c:v>0.86363636363636365</c:v>
                </c:pt>
                <c:pt idx="4">
                  <c:v>0.98148148148148151</c:v>
                </c:pt>
                <c:pt idx="5">
                  <c:v>0.97727272727272729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19003648"/>
        <c:axId val="121443392"/>
      </c:barChart>
      <c:lineChart>
        <c:grouping val="standard"/>
        <c:varyColors val="0"/>
        <c:ser>
          <c:idx val="1"/>
          <c:order val="1"/>
          <c:tx>
            <c:strRef>
              <c:f>'Bilan mensuel COPIL'!$M$17:$N$17</c:f>
              <c:strCache>
                <c:ptCount val="1"/>
                <c:pt idx="0">
                  <c:v>Objectif (90%)</c:v>
                </c:pt>
              </c:strCache>
            </c:strRef>
          </c:tx>
          <c:spPr>
            <a:ln>
              <a:prstDash val="sysDash"/>
            </a:ln>
          </c:spPr>
          <c:marker>
            <c:symbol val="none"/>
          </c:marker>
          <c:val>
            <c:numRef>
              <c:f>'Bilan mensuel COPIL'!$M$18:$M$23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003648"/>
        <c:axId val="121443392"/>
      </c:lineChart>
      <c:catAx>
        <c:axId val="11900364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1443392"/>
        <c:crosses val="autoZero"/>
        <c:auto val="1"/>
        <c:lblAlgn val="ctr"/>
        <c:lblOffset val="100"/>
        <c:noMultiLvlLbl val="0"/>
      </c:catAx>
      <c:valAx>
        <c:axId val="121443392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19003648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Le Monde.fr </a:t>
            </a:r>
            <a:r>
              <a:rPr lang="fr-FR" baseline="0"/>
              <a:t>BO</a:t>
            </a: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COPIL'!$G$17:$H$17</c:f>
              <c:strCache>
                <c:ptCount val="1"/>
                <c:pt idx="0">
                  <c:v>Le Monde.FR</c:v>
                </c:pt>
              </c:strCache>
            </c:strRef>
          </c:tx>
          <c:invertIfNegative val="0"/>
          <c:dLbls>
            <c:dLblPos val="ctr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</c:dLbls>
          <c:cat>
            <c:strRef>
              <c:f>'Bilan mensuel COPIL'!$B$18:$B$23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mensuel COPIL'!$G$18:$G$23</c:f>
              <c:numCache>
                <c:formatCode>0%</c:formatCode>
                <c:ptCount val="6"/>
                <c:pt idx="0">
                  <c:v>1</c:v>
                </c:pt>
                <c:pt idx="1">
                  <c:v>0.98275862068965525</c:v>
                </c:pt>
                <c:pt idx="2">
                  <c:v>1</c:v>
                </c:pt>
                <c:pt idx="3">
                  <c:v>0.94827586206896552</c:v>
                </c:pt>
                <c:pt idx="4">
                  <c:v>0.9846743295019158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3769344"/>
        <c:axId val="121445696"/>
      </c:barChart>
      <c:lineChart>
        <c:grouping val="standard"/>
        <c:varyColors val="0"/>
        <c:ser>
          <c:idx val="1"/>
          <c:order val="1"/>
          <c:tx>
            <c:strRef>
              <c:f>'Bilan mensuel COPIL'!$M$17:$N$17</c:f>
              <c:strCache>
                <c:ptCount val="1"/>
                <c:pt idx="0">
                  <c:v>Objectif (90%)</c:v>
                </c:pt>
              </c:strCache>
            </c:strRef>
          </c:tx>
          <c:spPr>
            <a:ln>
              <a:prstDash val="sysDash"/>
            </a:ln>
          </c:spPr>
          <c:marker>
            <c:symbol val="none"/>
          </c:marker>
          <c:val>
            <c:numRef>
              <c:f>'Bilan mensuel COPIL'!$M$18:$M$23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3769344"/>
        <c:axId val="121445696"/>
      </c:lineChart>
      <c:catAx>
        <c:axId val="1237693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1445696"/>
        <c:crosses val="autoZero"/>
        <c:auto val="1"/>
        <c:lblAlgn val="ctr"/>
        <c:lblOffset val="100"/>
        <c:noMultiLvlLbl val="0"/>
      </c:catAx>
      <c:valAx>
        <c:axId val="121445696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23769344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Le Monde Diplomatique BO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COPIL'!$I$17:$J$17</c:f>
              <c:strCache>
                <c:ptCount val="1"/>
                <c:pt idx="0">
                  <c:v>Le Monde Diplomatique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mensuel COPIL'!$B$18:$B$23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mensuel COPIL'!$I$18:$I$23</c:f>
              <c:numCache>
                <c:formatCode>0%</c:formatCode>
                <c:ptCount val="6"/>
                <c:pt idx="0">
                  <c:v>0.95215311004784686</c:v>
                </c:pt>
                <c:pt idx="1">
                  <c:v>0.97826086956521741</c:v>
                </c:pt>
                <c:pt idx="2">
                  <c:v>1</c:v>
                </c:pt>
                <c:pt idx="3">
                  <c:v>0.84782608695652173</c:v>
                </c:pt>
                <c:pt idx="4">
                  <c:v>0.9808709808709809</c:v>
                </c:pt>
                <c:pt idx="5">
                  <c:v>0.95652173913043481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3770368"/>
        <c:axId val="123561664"/>
      </c:barChart>
      <c:lineChart>
        <c:grouping val="standard"/>
        <c:varyColors val="0"/>
        <c:ser>
          <c:idx val="1"/>
          <c:order val="1"/>
          <c:tx>
            <c:strRef>
              <c:f>'Bilan mensuel COPIL'!$M$17:$N$17</c:f>
              <c:strCache>
                <c:ptCount val="1"/>
                <c:pt idx="0">
                  <c:v>Objectif (90%)</c:v>
                </c:pt>
              </c:strCache>
            </c:strRef>
          </c:tx>
          <c:spPr>
            <a:ln>
              <a:prstDash val="sysDash"/>
            </a:ln>
          </c:spPr>
          <c:marker>
            <c:symbol val="none"/>
          </c:marker>
          <c:val>
            <c:numRef>
              <c:f>'Bilan mensuel COPIL'!$M$18:$M$23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3770368"/>
        <c:axId val="123561664"/>
      </c:lineChart>
      <c:catAx>
        <c:axId val="123770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00"/>
            </a:pPr>
            <a:endParaRPr lang="fr-FR"/>
          </a:p>
        </c:txPr>
        <c:crossAx val="123561664"/>
        <c:crosses val="autoZero"/>
        <c:auto val="1"/>
        <c:lblAlgn val="ctr"/>
        <c:lblOffset val="100"/>
        <c:noMultiLvlLbl val="0"/>
      </c:catAx>
      <c:valAx>
        <c:axId val="123561664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23770368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Courrier</a:t>
            </a:r>
            <a:r>
              <a:rPr lang="fr-FR" baseline="0"/>
              <a:t> internationnal FO</a:t>
            </a:r>
            <a:endParaRPr lang="fr-FR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COPIL'!$E$46</c:f>
              <c:strCache>
                <c:ptCount val="1"/>
                <c:pt idx="0">
                  <c:v>Courrier Internationnal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COPIL'!$E$47:$E$52</c:f>
              <c:numCache>
                <c:formatCode>0%</c:formatCode>
                <c:ptCount val="6"/>
                <c:pt idx="0">
                  <c:v>0.89411764705882357</c:v>
                </c:pt>
                <c:pt idx="1">
                  <c:v>0.9764705882352942</c:v>
                </c:pt>
                <c:pt idx="2">
                  <c:v>0.98039215686274517</c:v>
                </c:pt>
                <c:pt idx="3">
                  <c:v>0.94117647058823528</c:v>
                </c:pt>
                <c:pt idx="4">
                  <c:v>0.96078431372549022</c:v>
                </c:pt>
                <c:pt idx="5">
                  <c:v>0.98039215686274517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3771392"/>
        <c:axId val="123563968"/>
      </c:barChart>
      <c:lineChart>
        <c:grouping val="standard"/>
        <c:varyColors val="0"/>
        <c:ser>
          <c:idx val="1"/>
          <c:order val="1"/>
          <c:tx>
            <c:strRef>
              <c:f>'Bilan mensuel COPIL'!$F$46</c:f>
              <c:strCache>
                <c:ptCount val="1"/>
              </c:strCache>
            </c:strRef>
          </c:tx>
          <c:spPr>
            <a:ln>
              <a:prstDash val="sysDash"/>
            </a:ln>
          </c:spPr>
          <c:marker>
            <c:symbol val="none"/>
          </c:marker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COPIL'!$F$47:$F$52</c:f>
              <c:numCache>
                <c:formatCode>0%</c:formatCode>
                <c:ptCount val="6"/>
              </c:numCache>
            </c:numRef>
          </c:val>
          <c:smooth val="0"/>
        </c:ser>
        <c:ser>
          <c:idx val="2"/>
          <c:order val="2"/>
          <c:tx>
            <c:strRef>
              <c:f>'Bilan mensuel COPIL'!$M$46</c:f>
              <c:strCache>
                <c:ptCount val="1"/>
                <c:pt idx="0">
                  <c:v>Objectif (90%)</c:v>
                </c:pt>
              </c:strCache>
            </c:strRef>
          </c:tx>
          <c:marker>
            <c:symbol val="none"/>
          </c:marker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COPIL'!$M$47:$M$52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'Bilan mensuel COPIL'!$N$46</c:f>
              <c:strCache>
                <c:ptCount val="1"/>
              </c:strCache>
            </c:strRef>
          </c:tx>
          <c:marker>
            <c:symbol val="none"/>
          </c:marker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COPIL'!$N$47:$N$52</c:f>
              <c:numCache>
                <c:formatCode>0%</c:formatCode>
                <c:ptCount val="6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3771392"/>
        <c:axId val="123563968"/>
      </c:lineChart>
      <c:catAx>
        <c:axId val="123771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00"/>
            </a:pPr>
            <a:endParaRPr lang="fr-FR"/>
          </a:p>
        </c:txPr>
        <c:crossAx val="123563968"/>
        <c:crosses val="autoZero"/>
        <c:auto val="1"/>
        <c:lblAlgn val="ctr"/>
        <c:lblOffset val="100"/>
        <c:noMultiLvlLbl val="0"/>
      </c:catAx>
      <c:valAx>
        <c:axId val="123563968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23771392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Le Monde.fr </a:t>
            </a:r>
            <a:r>
              <a:rPr lang="fr-FR" baseline="0"/>
              <a:t>FO</a:t>
            </a:r>
            <a:endParaRPr lang="fr-FR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COPIL'!$G$46</c:f>
              <c:strCache>
                <c:ptCount val="1"/>
                <c:pt idx="0">
                  <c:v>Le Monde.FR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COPIL'!$G$47:$G$52</c:f>
              <c:numCache>
                <c:formatCode>0%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0.9642857142857143</c:v>
                </c:pt>
                <c:pt idx="3">
                  <c:v>0.9375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1"/>
          <c:order val="1"/>
          <c:tx>
            <c:strRef>
              <c:f>'Bilan mensuel COPIL'!$H$46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COPIL'!$H$47:$H$52</c:f>
              <c:numCache>
                <c:formatCode>0%</c:formatCode>
                <c:ptCount val="6"/>
              </c:numCache>
            </c:numRef>
          </c:val>
        </c:ser>
        <c:ser>
          <c:idx val="3"/>
          <c:order val="3"/>
          <c:tx>
            <c:strRef>
              <c:f>'Bilan mensuel COPIL'!$N$46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COPIL'!$N$47:$N$52</c:f>
              <c:numCache>
                <c:formatCode>0%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3772416"/>
        <c:axId val="123566272"/>
      </c:barChart>
      <c:lineChart>
        <c:grouping val="standard"/>
        <c:varyColors val="0"/>
        <c:ser>
          <c:idx val="2"/>
          <c:order val="2"/>
          <c:tx>
            <c:strRef>
              <c:f>'Bilan mensuel COPIL'!$M$46</c:f>
              <c:strCache>
                <c:ptCount val="1"/>
                <c:pt idx="0">
                  <c:v>Objectif (90%)</c:v>
                </c:pt>
              </c:strCache>
            </c:strRef>
          </c:tx>
          <c:marker>
            <c:symbol val="none"/>
          </c:marker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COPIL'!$M$47:$M$52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3772416"/>
        <c:axId val="123566272"/>
      </c:lineChart>
      <c:catAx>
        <c:axId val="1237724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00"/>
            </a:pPr>
            <a:endParaRPr lang="fr-FR"/>
          </a:p>
        </c:txPr>
        <c:crossAx val="123566272"/>
        <c:crosses val="autoZero"/>
        <c:auto val="1"/>
        <c:lblAlgn val="ctr"/>
        <c:lblOffset val="100"/>
        <c:noMultiLvlLbl val="0"/>
      </c:catAx>
      <c:valAx>
        <c:axId val="123566272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23772416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Le Monde Diplomatique FO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COPIL'!$I$46</c:f>
              <c:strCache>
                <c:ptCount val="1"/>
                <c:pt idx="0">
                  <c:v>Le Monde Diplomatique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COPIL'!$I$47:$I$52</c:f>
              <c:numCache>
                <c:formatCode>0%</c:formatCode>
                <c:ptCount val="6"/>
                <c:pt idx="0">
                  <c:v>0.87083333333333324</c:v>
                </c:pt>
                <c:pt idx="1">
                  <c:v>1</c:v>
                </c:pt>
                <c:pt idx="2">
                  <c:v>0.99019607843137258</c:v>
                </c:pt>
                <c:pt idx="3">
                  <c:v>0.95588235294117652</c:v>
                </c:pt>
                <c:pt idx="4">
                  <c:v>0.96078431372549022</c:v>
                </c:pt>
                <c:pt idx="5">
                  <c:v>0.96078431372549022</c:v>
                </c:pt>
              </c:numCache>
            </c:numRef>
          </c:val>
        </c:ser>
        <c:ser>
          <c:idx val="1"/>
          <c:order val="1"/>
          <c:tx>
            <c:strRef>
              <c:f>'Bilan mensuel COPIL'!$J$46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COPIL'!$J$47:$J$52</c:f>
              <c:numCache>
                <c:formatCode>0%</c:formatCode>
                <c:ptCount val="6"/>
              </c:numCache>
            </c:numRef>
          </c:val>
        </c:ser>
        <c:ser>
          <c:idx val="3"/>
          <c:order val="3"/>
          <c:tx>
            <c:strRef>
              <c:f>'Bilan mensuel COPIL'!$N$46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COPIL'!$N$47:$N$52</c:f>
              <c:numCache>
                <c:formatCode>0%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9942016"/>
        <c:axId val="125387328"/>
      </c:barChart>
      <c:lineChart>
        <c:grouping val="standard"/>
        <c:varyColors val="0"/>
        <c:ser>
          <c:idx val="2"/>
          <c:order val="2"/>
          <c:tx>
            <c:strRef>
              <c:f>'Bilan mensuel COPIL'!$M$46</c:f>
              <c:strCache>
                <c:ptCount val="1"/>
                <c:pt idx="0">
                  <c:v>Objectif (90%)</c:v>
                </c:pt>
              </c:strCache>
            </c:strRef>
          </c:tx>
          <c:marker>
            <c:symbol val="none"/>
          </c:marker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COPIL'!$M$47:$M$52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942016"/>
        <c:axId val="125387328"/>
      </c:lineChart>
      <c:catAx>
        <c:axId val="129942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00"/>
            </a:pPr>
            <a:endParaRPr lang="fr-FR"/>
          </a:p>
        </c:txPr>
        <c:crossAx val="125387328"/>
        <c:crosses val="autoZero"/>
        <c:auto val="1"/>
        <c:lblAlgn val="ctr"/>
        <c:lblOffset val="100"/>
        <c:noMultiLvlLbl val="0"/>
      </c:catAx>
      <c:valAx>
        <c:axId val="125387328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29942016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SEM BO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COPIL'!$K$17:$L$17</c:f>
              <c:strCache>
                <c:ptCount val="1"/>
                <c:pt idx="0">
                  <c:v>SEM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mensuel COPIL'!$B$18:$B$23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mensuel COPIL'!$K$18:$K$23</c:f>
              <c:numCache>
                <c:formatCode>0%</c:formatCode>
                <c:ptCount val="6"/>
                <c:pt idx="0">
                  <c:v>0.95042735042735049</c:v>
                </c:pt>
                <c:pt idx="1">
                  <c:v>0.98333333333333339</c:v>
                </c:pt>
                <c:pt idx="2">
                  <c:v>0.9814814814814814</c:v>
                </c:pt>
                <c:pt idx="3">
                  <c:v>0.92976190476190479</c:v>
                </c:pt>
                <c:pt idx="4">
                  <c:v>0.98393025709367543</c:v>
                </c:pt>
                <c:pt idx="5">
                  <c:v>0.96666666666666667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9943040"/>
        <c:axId val="125389632"/>
      </c:barChart>
      <c:lineChart>
        <c:grouping val="standard"/>
        <c:varyColors val="0"/>
        <c:ser>
          <c:idx val="1"/>
          <c:order val="1"/>
          <c:tx>
            <c:strRef>
              <c:f>'Bilan mensuel COPIL'!$M$17:$N$17</c:f>
              <c:strCache>
                <c:ptCount val="1"/>
                <c:pt idx="0">
                  <c:v>Objectif (90%)</c:v>
                </c:pt>
              </c:strCache>
            </c:strRef>
          </c:tx>
          <c:spPr>
            <a:ln>
              <a:prstDash val="sysDash"/>
            </a:ln>
          </c:spPr>
          <c:marker>
            <c:symbol val="none"/>
          </c:marker>
          <c:val>
            <c:numRef>
              <c:f>'Bilan mensuel COPIL'!$M$18:$M$23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943040"/>
        <c:axId val="125389632"/>
      </c:lineChart>
      <c:catAx>
        <c:axId val="129943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00"/>
            </a:pPr>
            <a:endParaRPr lang="fr-FR"/>
          </a:p>
        </c:txPr>
        <c:crossAx val="125389632"/>
        <c:crosses val="autoZero"/>
        <c:auto val="1"/>
        <c:lblAlgn val="ctr"/>
        <c:lblOffset val="100"/>
        <c:noMultiLvlLbl val="0"/>
      </c:catAx>
      <c:valAx>
        <c:axId val="125389632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29943040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SEM FO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COPIL'!$K$46</c:f>
              <c:strCache>
                <c:ptCount val="1"/>
                <c:pt idx="0">
                  <c:v>SEM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COPIL'!$K$47:$K$52</c:f>
              <c:numCache>
                <c:formatCode>0%</c:formatCode>
                <c:ptCount val="6"/>
                <c:pt idx="0">
                  <c:v>0.90400000000000014</c:v>
                </c:pt>
                <c:pt idx="1">
                  <c:v>0.98000000000000009</c:v>
                </c:pt>
                <c:pt idx="2">
                  <c:v>0.94500000000000006</c:v>
                </c:pt>
                <c:pt idx="3">
                  <c:v>0.92399999999999982</c:v>
                </c:pt>
                <c:pt idx="4">
                  <c:v>0.90666666666666662</c:v>
                </c:pt>
                <c:pt idx="5">
                  <c:v>0.99333333333333329</c:v>
                </c:pt>
              </c:numCache>
            </c:numRef>
          </c:val>
        </c:ser>
        <c:ser>
          <c:idx val="1"/>
          <c:order val="1"/>
          <c:tx>
            <c:strRef>
              <c:f>'Bilan mensuel COPIL'!$L$46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COPIL'!$L$47:$L$52</c:f>
              <c:numCache>
                <c:formatCode>0%</c:formatCode>
                <c:ptCount val="6"/>
              </c:numCache>
            </c:numRef>
          </c:val>
        </c:ser>
        <c:ser>
          <c:idx val="3"/>
          <c:order val="3"/>
          <c:tx>
            <c:strRef>
              <c:f>'Bilan mensuel COPIL'!$N$46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COPIL'!$N$47:$N$52</c:f>
              <c:numCache>
                <c:formatCode>0%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9944064"/>
        <c:axId val="125391936"/>
      </c:barChart>
      <c:lineChart>
        <c:grouping val="standard"/>
        <c:varyColors val="0"/>
        <c:ser>
          <c:idx val="2"/>
          <c:order val="2"/>
          <c:tx>
            <c:strRef>
              <c:f>'Bilan mensuel COPIL'!$M$46</c:f>
              <c:strCache>
                <c:ptCount val="1"/>
                <c:pt idx="0">
                  <c:v>Objectif (90%)</c:v>
                </c:pt>
              </c:strCache>
            </c:strRef>
          </c:tx>
          <c:marker>
            <c:symbol val="none"/>
          </c:marker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COPIL'!$M$47:$M$52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944064"/>
        <c:axId val="125391936"/>
      </c:lineChart>
      <c:catAx>
        <c:axId val="129944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00"/>
            </a:pPr>
            <a:endParaRPr lang="fr-FR"/>
          </a:p>
        </c:txPr>
        <c:crossAx val="125391936"/>
        <c:crosses val="autoZero"/>
        <c:auto val="1"/>
        <c:lblAlgn val="ctr"/>
        <c:lblOffset val="100"/>
        <c:noMultiLvlLbl val="0"/>
      </c:catAx>
      <c:valAx>
        <c:axId val="125391936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29944064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SEM FO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1.6666668655054718E-2"/>
          <c:y val="0.15802669456738574"/>
          <c:w val="0.96666666268989054"/>
          <c:h val="0.7268312022611959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'Bilan mensuel COPIL'!$K$46</c:f>
              <c:strCache>
                <c:ptCount val="1"/>
                <c:pt idx="0">
                  <c:v>SEM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COPIL'!$K$47:$K$52</c:f>
              <c:numCache>
                <c:formatCode>0%</c:formatCode>
                <c:ptCount val="6"/>
                <c:pt idx="0">
                  <c:v>0.90400000000000014</c:v>
                </c:pt>
                <c:pt idx="1">
                  <c:v>0.98000000000000009</c:v>
                </c:pt>
                <c:pt idx="2">
                  <c:v>0.94500000000000006</c:v>
                </c:pt>
                <c:pt idx="3">
                  <c:v>0.92399999999999982</c:v>
                </c:pt>
                <c:pt idx="4">
                  <c:v>0.90666666666666662</c:v>
                </c:pt>
                <c:pt idx="5">
                  <c:v>0.99333333333333329</c:v>
                </c:pt>
              </c:numCache>
            </c:numRef>
          </c:val>
        </c:ser>
        <c:ser>
          <c:idx val="1"/>
          <c:order val="1"/>
          <c:tx>
            <c:strRef>
              <c:f>'Bilan mensuel COPIL'!$L$46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COPIL'!$L$47:$L$52</c:f>
              <c:numCache>
                <c:formatCode>0%</c:formatCode>
                <c:ptCount val="6"/>
              </c:numCache>
            </c:numRef>
          </c:val>
        </c:ser>
        <c:ser>
          <c:idx val="3"/>
          <c:order val="3"/>
          <c:tx>
            <c:strRef>
              <c:f>'Bilan mensuel COPIL'!$N$46</c:f>
              <c:strCache>
                <c:ptCount val="1"/>
              </c:strCache>
            </c:strRef>
          </c:tx>
          <c:invertIfNegative val="0"/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COPIL'!$N$47:$N$52</c:f>
              <c:numCache>
                <c:formatCode>0%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19003136"/>
        <c:axId val="125394240"/>
      </c:barChart>
      <c:lineChart>
        <c:grouping val="standard"/>
        <c:varyColors val="0"/>
        <c:ser>
          <c:idx val="2"/>
          <c:order val="2"/>
          <c:tx>
            <c:strRef>
              <c:f>'Bilan mensuel COPIL'!$M$46</c:f>
              <c:strCache>
                <c:ptCount val="1"/>
                <c:pt idx="0">
                  <c:v>Objectif (90%)</c:v>
                </c:pt>
              </c:strCache>
            </c:strRef>
          </c:tx>
          <c:marker>
            <c:symbol val="none"/>
          </c:marker>
          <c:cat>
            <c:strRef>
              <c:f>'Bilan mensuel COPIL'!$B$47:$B$52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COPIL'!$M$47:$M$52</c:f>
              <c:numCache>
                <c:formatCode>0%</c:formatCode>
                <c:ptCount val="6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003136"/>
        <c:axId val="125394240"/>
      </c:lineChart>
      <c:catAx>
        <c:axId val="119003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000"/>
            </a:pPr>
            <a:endParaRPr lang="fr-FR"/>
          </a:p>
        </c:txPr>
        <c:crossAx val="125394240"/>
        <c:crosses val="autoZero"/>
        <c:auto val="1"/>
        <c:lblAlgn val="ctr"/>
        <c:lblOffset val="100"/>
        <c:noMultiLvlLbl val="0"/>
      </c:catAx>
      <c:valAx>
        <c:axId val="125394240"/>
        <c:scaling>
          <c:orientation val="minMax"/>
          <c:max val="1"/>
          <c:min val="0"/>
        </c:scaling>
        <c:delete val="1"/>
        <c:axPos val="l"/>
        <c:numFmt formatCode="0%" sourceLinked="1"/>
        <c:majorTickMark val="none"/>
        <c:minorTickMark val="none"/>
        <c:tickLblPos val="nextTo"/>
        <c:crossAx val="119003136"/>
        <c:crosses val="autoZero"/>
        <c:crossBetween val="between"/>
        <c:majorUnit val="0.1500000000000000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'Bilan mensuel sur 3 mois'!$C$14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mensuel sur 3 mois'!$B$15:$B$20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mensuel sur 3 mois'!$C$15:$C$20</c:f>
              <c:numCache>
                <c:formatCode>0%</c:formatCode>
                <c:ptCount val="6"/>
                <c:pt idx="0">
                  <c:v>0.94076797385620914</c:v>
                </c:pt>
                <c:pt idx="1">
                  <c:v>0.98255813953488369</c:v>
                </c:pt>
                <c:pt idx="2">
                  <c:v>0.98202311314024815</c:v>
                </c:pt>
                <c:pt idx="3">
                  <c:v>0.9200949945195469</c:v>
                </c:pt>
                <c:pt idx="4">
                  <c:v>0.98438657626516524</c:v>
                </c:pt>
                <c:pt idx="5">
                  <c:v>0.97109826589595372</c:v>
                </c:pt>
              </c:numCache>
            </c:numRef>
          </c:val>
        </c:ser>
        <c:ser>
          <c:idx val="0"/>
          <c:order val="1"/>
          <c:tx>
            <c:strRef>
              <c:f>'Bilan mensuel sur 3 mois'!$E$14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mensuel sur 3 mois'!$B$15:$B$20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mensuel sur 3 mois'!$E$15:$E$20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'Bilan mensuel sur 3 mois'!$G$14:$H$14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val>
            <c:numRef>
              <c:f>'Bilan mensuel sur 3 mois'!$G$15:$G$20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0166272"/>
        <c:axId val="130270912"/>
      </c:barChart>
      <c:catAx>
        <c:axId val="1301662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30270912"/>
        <c:crosses val="autoZero"/>
        <c:auto val="1"/>
        <c:lblAlgn val="ctr"/>
        <c:lblOffset val="100"/>
        <c:noMultiLvlLbl val="0"/>
      </c:catAx>
      <c:valAx>
        <c:axId val="130270912"/>
        <c:scaling>
          <c:orientation val="minMax"/>
          <c:max val="1"/>
          <c:min val="0.8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301662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'Bilan mensuel sur 3 mois'!$C$44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mensuel sur 3 mois'!$B$45:$B$50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sur 3 mois'!$C$45:$C$50</c:f>
              <c:numCache>
                <c:formatCode>0%</c:formatCode>
                <c:ptCount val="6"/>
                <c:pt idx="0">
                  <c:v>0.92497586163469203</c:v>
                </c:pt>
                <c:pt idx="1">
                  <c:v>0.96046511627906983</c:v>
                </c:pt>
                <c:pt idx="2">
                  <c:v>0.88025941897696647</c:v>
                </c:pt>
                <c:pt idx="3">
                  <c:v>0</c:v>
                </c:pt>
                <c:pt idx="4">
                  <c:v>0.92785427423981648</c:v>
                </c:pt>
                <c:pt idx="5">
                  <c:v>0.92370766488413547</c:v>
                </c:pt>
              </c:numCache>
            </c:numRef>
          </c:val>
        </c:ser>
        <c:ser>
          <c:idx val="0"/>
          <c:order val="1"/>
          <c:tx>
            <c:strRef>
              <c:f>'Bilan mensuel sur 3 mois'!$E$44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mensuel sur 3 mois'!$B$45:$B$50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mensuel sur 3 mois'!$E$45:$E$50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'Bilan mensuel sur 3 mois'!$G$44:$H$44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val>
            <c:numRef>
              <c:f>'Bilan mensuel sur 3 mois'!$G$45:$G$50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0212352"/>
        <c:axId val="130273216"/>
      </c:barChart>
      <c:catAx>
        <c:axId val="130212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30273216"/>
        <c:crosses val="autoZero"/>
        <c:auto val="1"/>
        <c:lblAlgn val="ctr"/>
        <c:lblOffset val="100"/>
        <c:noMultiLvlLbl val="0"/>
      </c:catAx>
      <c:valAx>
        <c:axId val="130273216"/>
        <c:scaling>
          <c:orientation val="minMax"/>
          <c:max val="1"/>
          <c:min val="0.8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302123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'Bilan Hebdomadaire'!$C$13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Hebdomadaire'!$B$14:$B$19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Hebdomadaire'!$C$14:$C$19</c:f>
              <c:numCache>
                <c:formatCode>0%</c:formatCode>
                <c:ptCount val="6"/>
                <c:pt idx="0">
                  <c:v>0.94076797385620914</c:v>
                </c:pt>
                <c:pt idx="1">
                  <c:v>0.98255813953488369</c:v>
                </c:pt>
                <c:pt idx="2">
                  <c:v>0.98202311314024815</c:v>
                </c:pt>
                <c:pt idx="3">
                  <c:v>0.9200949945195469</c:v>
                </c:pt>
                <c:pt idx="4">
                  <c:v>0.98438657626516524</c:v>
                </c:pt>
                <c:pt idx="5">
                  <c:v>0.97109826589595372</c:v>
                </c:pt>
              </c:numCache>
            </c:numRef>
          </c:val>
        </c:ser>
        <c:ser>
          <c:idx val="0"/>
          <c:order val="1"/>
          <c:tx>
            <c:strRef>
              <c:f>'Bilan Hebdomadaire'!$E$13</c:f>
              <c:strCache>
                <c:ptCount val="1"/>
                <c:pt idx="0">
                  <c:v>Semaine 01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Hebdomadaire'!$B$14:$B$19</c:f>
              <c:strCache>
                <c:ptCount val="6"/>
                <c:pt idx="0">
                  <c:v>IDENTIFICATION</c:v>
                </c:pt>
                <c:pt idx="1">
                  <c:v>ANALYSE</c:v>
                </c:pt>
                <c:pt idx="2">
                  <c:v>TRAITEMENT</c:v>
                </c:pt>
                <c:pt idx="3">
                  <c:v>REPONSE</c:v>
                </c:pt>
                <c:pt idx="4">
                  <c:v>REDACTION - PERSONNALISATION</c:v>
                </c:pt>
                <c:pt idx="5">
                  <c:v>CONTACT</c:v>
                </c:pt>
              </c:strCache>
            </c:strRef>
          </c:cat>
          <c:val>
            <c:numRef>
              <c:f>'Bilan Hebdomadaire'!$E$14:$E$19</c:f>
              <c:numCache>
                <c:formatCode>0%</c:formatCode>
                <c:ptCount val="6"/>
                <c:pt idx="0">
                  <c:v>0.96103896103896103</c:v>
                </c:pt>
                <c:pt idx="1">
                  <c:v>0.98571428571428577</c:v>
                </c:pt>
                <c:pt idx="2">
                  <c:v>1</c:v>
                </c:pt>
                <c:pt idx="3">
                  <c:v>0.97222222222222221</c:v>
                </c:pt>
                <c:pt idx="4">
                  <c:v>0.98765432098765438</c:v>
                </c:pt>
                <c:pt idx="5">
                  <c:v>0.98611111111111116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0420736"/>
        <c:axId val="130275520"/>
      </c:barChart>
      <c:catAx>
        <c:axId val="1304207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30275520"/>
        <c:crosses val="autoZero"/>
        <c:auto val="1"/>
        <c:lblAlgn val="ctr"/>
        <c:lblOffset val="100"/>
        <c:noMultiLvlLbl val="0"/>
      </c:catAx>
      <c:valAx>
        <c:axId val="130275520"/>
        <c:scaling>
          <c:orientation val="minMax"/>
          <c:max val="1"/>
          <c:min val="0.8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30420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'Bilan Hebdomadaire'!$C$43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Hebdomadaire'!$B$44:$B$49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Hebdomadaire'!$C$44:$C$49</c:f>
              <c:numCache>
                <c:formatCode>0%</c:formatCode>
                <c:ptCount val="6"/>
                <c:pt idx="0">
                  <c:v>0.92497586163469203</c:v>
                </c:pt>
                <c:pt idx="1">
                  <c:v>0.96046511627906983</c:v>
                </c:pt>
                <c:pt idx="2">
                  <c:v>0.88025941897696647</c:v>
                </c:pt>
                <c:pt idx="3">
                  <c:v>0</c:v>
                </c:pt>
                <c:pt idx="4">
                  <c:v>0.92785427423981648</c:v>
                </c:pt>
                <c:pt idx="5">
                  <c:v>0.92370766488413547</c:v>
                </c:pt>
              </c:numCache>
            </c:numRef>
          </c:val>
        </c:ser>
        <c:ser>
          <c:idx val="0"/>
          <c:order val="1"/>
          <c:tx>
            <c:strRef>
              <c:f>'Bilan Hebdomadaire'!$E$43</c:f>
              <c:strCache>
                <c:ptCount val="1"/>
                <c:pt idx="0">
                  <c:v>Semaine 01</c:v>
                </c:pt>
              </c:strCache>
            </c:strRef>
          </c:tx>
          <c:invertIfNegative val="0"/>
          <c:dLbls>
            <c:txPr>
              <a:bodyPr rot="-5400000" vert="horz"/>
              <a:lstStyle/>
              <a:p>
                <a:pPr>
                  <a:defRPr sz="1600" b="0"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</c:dLbls>
          <c:cat>
            <c:strRef>
              <c:f>'Bilan Hebdomadaire'!$B$44:$B$49</c:f>
              <c:strCache>
                <c:ptCount val="6"/>
                <c:pt idx="0">
                  <c:v>ACCUEIL</c:v>
                </c:pt>
                <c:pt idx="1">
                  <c:v>ATTITUDE</c:v>
                </c:pt>
                <c:pt idx="2">
                  <c:v>TRAITEMENT DE L'APPEL</c:v>
                </c:pt>
                <c:pt idx="3">
                  <c:v>VALORISATION</c:v>
                </c:pt>
                <c:pt idx="4">
                  <c:v>CLOTURE DE L'APPEL</c:v>
                </c:pt>
                <c:pt idx="5">
                  <c:v>POSE DU CONTACT</c:v>
                </c:pt>
              </c:strCache>
            </c:strRef>
          </c:cat>
          <c:val>
            <c:numRef>
              <c:f>'Bilan Hebdomadaire'!$E$44:$E$49</c:f>
              <c:numCache>
                <c:formatCode>0%</c:formatCode>
                <c:ptCount val="6"/>
                <c:pt idx="0">
                  <c:v>0.91137566137566139</c:v>
                </c:pt>
                <c:pt idx="1">
                  <c:v>0.9285714285714286</c:v>
                </c:pt>
                <c:pt idx="2">
                  <c:v>0.91295133437990583</c:v>
                </c:pt>
                <c:pt idx="3">
                  <c:v>0</c:v>
                </c:pt>
                <c:pt idx="4">
                  <c:v>0.92592592592592593</c:v>
                </c:pt>
                <c:pt idx="5">
                  <c:v>0.94444444444444453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0421760"/>
        <c:axId val="123970112"/>
      </c:barChart>
      <c:catAx>
        <c:axId val="130421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23970112"/>
        <c:crosses val="autoZero"/>
        <c:auto val="1"/>
        <c:lblAlgn val="ctr"/>
        <c:lblOffset val="100"/>
        <c:noMultiLvlLbl val="0"/>
      </c:catAx>
      <c:valAx>
        <c:axId val="123970112"/>
        <c:scaling>
          <c:orientation val="minMax"/>
          <c:max val="1"/>
          <c:min val="0.8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30421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5" Type="http://schemas.openxmlformats.org/officeDocument/2006/relationships/chart" Target="../charts/chart7.xml"/><Relationship Id="rId4" Type="http://schemas.openxmlformats.org/officeDocument/2006/relationships/chart" Target="../charts/chart6.xml"/><Relationship Id="rId9" Type="http://schemas.openxmlformats.org/officeDocument/2006/relationships/chart" Target="../charts/chart1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3.xml"/><Relationship Id="rId1" Type="http://schemas.openxmlformats.org/officeDocument/2006/relationships/chart" Target="../charts/chart12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5.xml"/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4</xdr:row>
      <xdr:rowOff>57150</xdr:rowOff>
    </xdr:from>
    <xdr:to>
      <xdr:col>15</xdr:col>
      <xdr:colOff>0</xdr:colOff>
      <xdr:row>9</xdr:row>
      <xdr:rowOff>123825</xdr:rowOff>
    </xdr:to>
    <xdr:sp macro="[2]!Import" textlink="">
      <xdr:nvSpPr>
        <xdr:cNvPr id="2" name="AutoShape 6"/>
        <xdr:cNvSpPr>
          <a:spLocks noChangeArrowheads="1"/>
        </xdr:cNvSpPr>
      </xdr:nvSpPr>
      <xdr:spPr bwMode="auto">
        <a:xfrm>
          <a:off x="7743825" y="704850"/>
          <a:ext cx="5915025" cy="1066800"/>
        </a:xfrm>
        <a:prstGeom prst="foldedCorner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72000" tIns="46800" rIns="90000" bIns="46800" anchor="t" upright="1"/>
        <a:lstStyle/>
        <a:p>
          <a:pPr algn="l" rtl="0">
            <a:lnSpc>
              <a:spcPts val="1300"/>
            </a:lnSpc>
            <a:defRPr sz="1000"/>
          </a:pPr>
          <a:r>
            <a:rPr lang="fr-FR" sz="1200" b="0" i="0" u="sng" strike="noStrike" baseline="0">
              <a:solidFill>
                <a:srgbClr val="000000"/>
              </a:solidFill>
              <a:latin typeface="Arial"/>
              <a:cs typeface="Arial"/>
            </a:rPr>
            <a:t>Importation des données et MAJ des TCD :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1000"/>
            </a:lnSpc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lnSpc>
              <a:spcPts val="10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Choisissez le mois en E9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Choisissez votre code client en E12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Cliquez sur ce bouton</a:t>
          </a:r>
        </a:p>
        <a:p>
          <a:pPr algn="l" rtl="0">
            <a:lnSpc>
              <a:spcPts val="1000"/>
            </a:lnSpc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9525</xdr:colOff>
      <xdr:row>11</xdr:row>
      <xdr:rowOff>171450</xdr:rowOff>
    </xdr:from>
    <xdr:to>
      <xdr:col>15</xdr:col>
      <xdr:colOff>9525</xdr:colOff>
      <xdr:row>16</xdr:row>
      <xdr:rowOff>47625</xdr:rowOff>
    </xdr:to>
    <xdr:sp macro="[2]!MAJ_TCD" textlink="">
      <xdr:nvSpPr>
        <xdr:cNvPr id="3" name="AutoShape 11"/>
        <xdr:cNvSpPr>
          <a:spLocks noChangeArrowheads="1"/>
        </xdr:cNvSpPr>
      </xdr:nvSpPr>
      <xdr:spPr bwMode="auto">
        <a:xfrm>
          <a:off x="7724775" y="2152650"/>
          <a:ext cx="5943600" cy="866775"/>
        </a:xfrm>
        <a:prstGeom prst="foldedCorner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72000" tIns="46800" rIns="90000" bIns="46800" anchor="t" upright="1"/>
        <a:lstStyle/>
        <a:p>
          <a:pPr algn="l" rtl="0">
            <a:defRPr sz="1000"/>
          </a:pPr>
          <a:r>
            <a:rPr lang="fr-FR" sz="1200" b="0" i="0" u="sng" strike="noStrike" baseline="0">
              <a:solidFill>
                <a:srgbClr val="000000"/>
              </a:solidFill>
              <a:latin typeface="Arial"/>
              <a:cs typeface="Arial"/>
            </a:rPr>
            <a:t>Mise à jour des  TCD :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Choisissez votre code client en E12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Cliquez sur ce bouton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81643</xdr:colOff>
      <xdr:row>24</xdr:row>
      <xdr:rowOff>84362</xdr:rowOff>
    </xdr:from>
    <xdr:to>
      <xdr:col>10</xdr:col>
      <xdr:colOff>54428</xdr:colOff>
      <xdr:row>24</xdr:row>
      <xdr:rowOff>4912177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149679</xdr:colOff>
      <xdr:row>46</xdr:row>
      <xdr:rowOff>217714</xdr:rowOff>
    </xdr:from>
    <xdr:to>
      <xdr:col>10</xdr:col>
      <xdr:colOff>122464</xdr:colOff>
      <xdr:row>46</xdr:row>
      <xdr:rowOff>5045529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</xdr:colOff>
      <xdr:row>24</xdr:row>
      <xdr:rowOff>312963</xdr:rowOff>
    </xdr:from>
    <xdr:to>
      <xdr:col>8</xdr:col>
      <xdr:colOff>231322</xdr:colOff>
      <xdr:row>32</xdr:row>
      <xdr:rowOff>81642</xdr:rowOff>
    </xdr:to>
    <xdr:graphicFrame macro="">
      <xdr:nvGraphicFramePr>
        <xdr:cNvPr id="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394607</xdr:colOff>
      <xdr:row>24</xdr:row>
      <xdr:rowOff>258537</xdr:rowOff>
    </xdr:from>
    <xdr:to>
      <xdr:col>19</xdr:col>
      <xdr:colOff>394606</xdr:colOff>
      <xdr:row>32</xdr:row>
      <xdr:rowOff>27216</xdr:rowOff>
    </xdr:to>
    <xdr:graphicFrame macro="">
      <xdr:nvGraphicFramePr>
        <xdr:cNvPr id="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544285</xdr:colOff>
      <xdr:row>24</xdr:row>
      <xdr:rowOff>258536</xdr:rowOff>
    </xdr:from>
    <xdr:to>
      <xdr:col>30</xdr:col>
      <xdr:colOff>544284</xdr:colOff>
      <xdr:row>32</xdr:row>
      <xdr:rowOff>27215</xdr:rowOff>
    </xdr:to>
    <xdr:graphicFrame macro="">
      <xdr:nvGraphicFramePr>
        <xdr:cNvPr id="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54</xdr:row>
      <xdr:rowOff>54427</xdr:rowOff>
    </xdr:from>
    <xdr:to>
      <xdr:col>8</xdr:col>
      <xdr:colOff>231320</xdr:colOff>
      <xdr:row>85</xdr:row>
      <xdr:rowOff>163285</xdr:rowOff>
    </xdr:to>
    <xdr:graphicFrame macro="">
      <xdr:nvGraphicFramePr>
        <xdr:cNvPr id="6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394605</xdr:colOff>
      <xdr:row>54</xdr:row>
      <xdr:rowOff>1</xdr:rowOff>
    </xdr:from>
    <xdr:to>
      <xdr:col>19</xdr:col>
      <xdr:colOff>394604</xdr:colOff>
      <xdr:row>85</xdr:row>
      <xdr:rowOff>108859</xdr:rowOff>
    </xdr:to>
    <xdr:graphicFrame macro="">
      <xdr:nvGraphicFramePr>
        <xdr:cNvPr id="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544283</xdr:colOff>
      <xdr:row>54</xdr:row>
      <xdr:rowOff>0</xdr:rowOff>
    </xdr:from>
    <xdr:to>
      <xdr:col>30</xdr:col>
      <xdr:colOff>544282</xdr:colOff>
      <xdr:row>85</xdr:row>
      <xdr:rowOff>108858</xdr:rowOff>
    </xdr:to>
    <xdr:graphicFrame macro="">
      <xdr:nvGraphicFramePr>
        <xdr:cNvPr id="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31</xdr:col>
      <xdr:colOff>27214</xdr:colOff>
      <xdr:row>24</xdr:row>
      <xdr:rowOff>258536</xdr:rowOff>
    </xdr:from>
    <xdr:to>
      <xdr:col>42</xdr:col>
      <xdr:colOff>27213</xdr:colOff>
      <xdr:row>32</xdr:row>
      <xdr:rowOff>27215</xdr:rowOff>
    </xdr:to>
    <xdr:graphicFrame macro="">
      <xdr:nvGraphicFramePr>
        <xdr:cNvPr id="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30</xdr:col>
      <xdr:colOff>705097</xdr:colOff>
      <xdr:row>54</xdr:row>
      <xdr:rowOff>13608</xdr:rowOff>
    </xdr:from>
    <xdr:to>
      <xdr:col>41</xdr:col>
      <xdr:colOff>705096</xdr:colOff>
      <xdr:row>85</xdr:row>
      <xdr:rowOff>122466</xdr:rowOff>
    </xdr:to>
    <xdr:graphicFrame macro="">
      <xdr:nvGraphicFramePr>
        <xdr:cNvPr id="1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0</xdr:colOff>
      <xdr:row>103</xdr:row>
      <xdr:rowOff>0</xdr:rowOff>
    </xdr:from>
    <xdr:to>
      <xdr:col>8</xdr:col>
      <xdr:colOff>231320</xdr:colOff>
      <xdr:row>134</xdr:row>
      <xdr:rowOff>108858</xdr:rowOff>
    </xdr:to>
    <xdr:graphicFrame macro="">
      <xdr:nvGraphicFramePr>
        <xdr:cNvPr id="11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571501</xdr:colOff>
      <xdr:row>12</xdr:row>
      <xdr:rowOff>132871</xdr:rowOff>
    </xdr:from>
    <xdr:to>
      <xdr:col>27</xdr:col>
      <xdr:colOff>128067</xdr:colOff>
      <xdr:row>32</xdr:row>
      <xdr:rowOff>81643</xdr:rowOff>
    </xdr:to>
    <xdr:graphicFrame macro="">
      <xdr:nvGraphicFramePr>
        <xdr:cNvPr id="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612321</xdr:colOff>
      <xdr:row>42</xdr:row>
      <xdr:rowOff>136071</xdr:rowOff>
    </xdr:from>
    <xdr:to>
      <xdr:col>27</xdr:col>
      <xdr:colOff>163285</xdr:colOff>
      <xdr:row>65</xdr:row>
      <xdr:rowOff>144874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437029</xdr:colOff>
      <xdr:row>11</xdr:row>
      <xdr:rowOff>78442</xdr:rowOff>
    </xdr:from>
    <xdr:to>
      <xdr:col>24</xdr:col>
      <xdr:colOff>100852</xdr:colOff>
      <xdr:row>31</xdr:row>
      <xdr:rowOff>122466</xdr:rowOff>
    </xdr:to>
    <xdr:graphicFrame macro="">
      <xdr:nvGraphicFramePr>
        <xdr:cNvPr id="1843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503464</xdr:colOff>
      <xdr:row>41</xdr:row>
      <xdr:rowOff>81643</xdr:rowOff>
    </xdr:from>
    <xdr:to>
      <xdr:col>24</xdr:col>
      <xdr:colOff>167287</xdr:colOff>
      <xdr:row>64</xdr:row>
      <xdr:rowOff>90446</xdr:rowOff>
    </xdr:to>
    <xdr:graphicFrame macro="">
      <xdr:nvGraphicFramePr>
        <xdr:cNvPr id="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180975</xdr:rowOff>
        </xdr:from>
        <xdr:to>
          <xdr:col>4</xdr:col>
          <xdr:colOff>409575</xdr:colOff>
          <xdr:row>0</xdr:row>
          <xdr:rowOff>504825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0</xdr:row>
          <xdr:rowOff>180975</xdr:rowOff>
        </xdr:from>
        <xdr:to>
          <xdr:col>4</xdr:col>
          <xdr:colOff>123825</xdr:colOff>
          <xdr:row>0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vlvfs02.vlv.arvato.fr\Suivi_De_Production_MS\Suivi_production_hors%20CPLUS\suivi_production_T1_200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apport/Reporting%20suivi_de_production_P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Prestation"/>
      <sheetName val="affectation"/>
      <sheetName val="code client"/>
    </sheetNames>
    <sheetDataSet>
      <sheetData sheetId="0"/>
      <sheetData sheetId="1">
        <row r="1">
          <cell r="D1" t="str">
            <v>code comp</v>
          </cell>
          <cell r="E1" t="str">
            <v>Désignation</v>
          </cell>
          <cell r="F1" t="str">
            <v>Mode de Facturation</v>
          </cell>
          <cell r="G1" t="str">
            <v>famille facturation</v>
          </cell>
        </row>
        <row r="2">
          <cell r="D2" t="str">
            <v>26132100</v>
          </cell>
          <cell r="E2" t="str">
            <v>Traitement UNICEF</v>
          </cell>
          <cell r="F2" t="str">
            <v>acte</v>
          </cell>
        </row>
        <row r="3">
          <cell r="D3" t="str">
            <v>26132130</v>
          </cell>
          <cell r="E3" t="str">
            <v>Panne</v>
          </cell>
          <cell r="F3" t="str">
            <v>sans</v>
          </cell>
        </row>
        <row r="4">
          <cell r="D4" t="str">
            <v>26132630</v>
          </cell>
          <cell r="E4" t="str">
            <v>formation interne</v>
          </cell>
          <cell r="F4" t="str">
            <v>sans</v>
          </cell>
        </row>
        <row r="5">
          <cell r="D5" t="str">
            <v>26132900</v>
          </cell>
          <cell r="E5" t="str">
            <v>Formation DIF</v>
          </cell>
          <cell r="F5" t="str">
            <v>sans</v>
          </cell>
        </row>
        <row r="6">
          <cell r="D6" t="str">
            <v>26132911</v>
          </cell>
          <cell r="E6" t="str">
            <v>Reunion de travail</v>
          </cell>
          <cell r="F6" t="str">
            <v>sans</v>
          </cell>
        </row>
        <row r="7">
          <cell r="D7" t="str">
            <v>26132912</v>
          </cell>
          <cell r="E7" t="str">
            <v>Hrs sociales</v>
          </cell>
          <cell r="F7" t="str">
            <v>sans</v>
          </cell>
        </row>
        <row r="8">
          <cell r="D8" t="str">
            <v>26132913</v>
          </cell>
          <cell r="E8" t="str">
            <v>Coordination</v>
          </cell>
          <cell r="F8" t="str">
            <v>acte</v>
          </cell>
        </row>
        <row r="9">
          <cell r="D9" t="str">
            <v>26132915</v>
          </cell>
          <cell r="E9" t="str">
            <v>Formation</v>
          </cell>
          <cell r="F9" t="str">
            <v>sans</v>
          </cell>
        </row>
        <row r="10">
          <cell r="D10" t="str">
            <v>26132916</v>
          </cell>
          <cell r="E10" t="str">
            <v>refacturation heures réaffectation</v>
          </cell>
          <cell r="F10" t="str">
            <v>hrs</v>
          </cell>
        </row>
        <row r="11">
          <cell r="D11" t="str">
            <v>2208100</v>
          </cell>
          <cell r="E11" t="str">
            <v>panne</v>
          </cell>
          <cell r="F11" t="str">
            <v>sans</v>
          </cell>
          <cell r="G11" t="str">
            <v>Formation, hrs soc, report (7%)</v>
          </cell>
        </row>
        <row r="12">
          <cell r="D12" t="str">
            <v>2208101</v>
          </cell>
          <cell r="E12" t="str">
            <v>paiement</v>
          </cell>
          <cell r="F12" t="str">
            <v>acte</v>
          </cell>
          <cell r="G12" t="str">
            <v>Règlement différés (40)</v>
          </cell>
        </row>
        <row r="13">
          <cell r="D13" t="str">
            <v>2208104</v>
          </cell>
          <cell r="E13" t="str">
            <v>OD perte financière</v>
          </cell>
          <cell r="F13" t="str">
            <v xml:space="preserve">acte </v>
          </cell>
          <cell r="G13" t="str">
            <v>débordement</v>
          </cell>
        </row>
        <row r="14">
          <cell r="D14" t="str">
            <v>2208105</v>
          </cell>
          <cell r="E14" t="str">
            <v xml:space="preserve">chgt date Pvmt </v>
          </cell>
          <cell r="F14" t="str">
            <v xml:space="preserve">acte </v>
          </cell>
          <cell r="G14" t="str">
            <v xml:space="preserve">chgt date Pvmt </v>
          </cell>
        </row>
        <row r="15">
          <cell r="D15" t="str">
            <v>2208106</v>
          </cell>
          <cell r="E15" t="str">
            <v>chgt coordonnées bancaires</v>
          </cell>
          <cell r="F15" t="str">
            <v>acte</v>
          </cell>
          <cell r="G15" t="str">
            <v>chgt coordonnées bancaires</v>
          </cell>
        </row>
        <row r="16">
          <cell r="D16" t="str">
            <v>2208107</v>
          </cell>
          <cell r="E16" t="str">
            <v xml:space="preserve">chgt montant Pvmt </v>
          </cell>
          <cell r="F16" t="str">
            <v>acte</v>
          </cell>
          <cell r="G16" t="str">
            <v>chgt montant Pvmt (24)</v>
          </cell>
        </row>
        <row r="17">
          <cell r="D17" t="str">
            <v>2208108</v>
          </cell>
          <cell r="E17" t="str">
            <v xml:space="preserve">décédés </v>
          </cell>
          <cell r="F17" t="str">
            <v>acte</v>
          </cell>
          <cell r="G17" t="str">
            <v>décédés (66)</v>
          </cell>
        </row>
        <row r="18">
          <cell r="D18" t="str">
            <v>2208109</v>
          </cell>
          <cell r="E18" t="str">
            <v>stop tout</v>
          </cell>
          <cell r="F18" t="str">
            <v>acte</v>
          </cell>
          <cell r="G18" t="str">
            <v>stop tout (50)</v>
          </cell>
        </row>
        <row r="19">
          <cell r="D19" t="str">
            <v>2208110</v>
          </cell>
          <cell r="E19" t="str">
            <v>chgt adresse</v>
          </cell>
          <cell r="F19" t="str">
            <v>sans</v>
          </cell>
          <cell r="G19" t="str">
            <v>Changement d'adresse (35)</v>
          </cell>
        </row>
        <row r="20">
          <cell r="D20" t="str">
            <v>2208111</v>
          </cell>
          <cell r="E20" t="str">
            <v>archivage et recherche</v>
          </cell>
          <cell r="F20" t="str">
            <v>sans</v>
          </cell>
          <cell r="G20" t="str">
            <v>archivage et recherche (1%)</v>
          </cell>
        </row>
        <row r="21">
          <cell r="D21" t="str">
            <v>2208114</v>
          </cell>
          <cell r="E21" t="str">
            <v>télécollecte</v>
          </cell>
          <cell r="F21" t="str">
            <v>acte</v>
          </cell>
          <cell r="G21" t="str">
            <v>Encaissement (250)</v>
          </cell>
        </row>
        <row r="22">
          <cell r="D22" t="str">
            <v>2208115</v>
          </cell>
          <cell r="E22" t="str">
            <v>admin</v>
          </cell>
          <cell r="F22" t="str">
            <v>sans</v>
          </cell>
          <cell r="G22" t="str">
            <v>Formation, hrs soc, report (7%)</v>
          </cell>
        </row>
        <row r="23">
          <cell r="D23" t="str">
            <v>2208116</v>
          </cell>
          <cell r="E23" t="str">
            <v xml:space="preserve">analyse courrier OC </v>
          </cell>
          <cell r="F23" t="str">
            <v>acte</v>
          </cell>
          <cell r="G23" t="str">
            <v>OTC (220)</v>
          </cell>
        </row>
        <row r="24">
          <cell r="D24" t="str">
            <v>2208117</v>
          </cell>
          <cell r="E24" t="str">
            <v xml:space="preserve">encaissement espèces </v>
          </cell>
          <cell r="F24" t="str">
            <v>acte</v>
          </cell>
          <cell r="G24" t="str">
            <v>Encaissement (250)</v>
          </cell>
        </row>
        <row r="25">
          <cell r="D25" t="str">
            <v>2208200</v>
          </cell>
          <cell r="E25" t="str">
            <v>pointage de lot</v>
          </cell>
          <cell r="F25" t="str">
            <v>acte</v>
          </cell>
          <cell r="G25" t="str">
            <v>Encaissement (250)</v>
          </cell>
        </row>
        <row r="26">
          <cell r="D26" t="str">
            <v>2208211</v>
          </cell>
          <cell r="E26" t="str">
            <v>dépouillement</v>
          </cell>
          <cell r="F26" t="str">
            <v>acte</v>
          </cell>
          <cell r="G26" t="str">
            <v>OTC (220)</v>
          </cell>
        </row>
        <row r="27">
          <cell r="D27" t="str">
            <v>2208212</v>
          </cell>
          <cell r="E27" t="str">
            <v>création lot</v>
          </cell>
          <cell r="F27" t="str">
            <v>acte</v>
          </cell>
          <cell r="G27" t="str">
            <v>OTC (220)</v>
          </cell>
        </row>
        <row r="28">
          <cell r="D28" t="str">
            <v>2208213</v>
          </cell>
          <cell r="E28" t="str">
            <v>photocopie</v>
          </cell>
          <cell r="F28" t="str">
            <v>acte</v>
          </cell>
          <cell r="G28" t="str">
            <v>Formation, hrs soc, report (7%)</v>
          </cell>
        </row>
        <row r="29">
          <cell r="D29" t="str">
            <v>2208216</v>
          </cell>
          <cell r="E29" t="str">
            <v>analyse courrier FULL</v>
          </cell>
          <cell r="F29" t="str">
            <v>acte</v>
          </cell>
          <cell r="G29" t="str">
            <v>OTC (220)</v>
          </cell>
        </row>
        <row r="30">
          <cell r="D30" t="str">
            <v>2208218</v>
          </cell>
          <cell r="E30" t="str">
            <v>saisie guide succession seul</v>
          </cell>
          <cell r="F30" t="str">
            <v>acte</v>
          </cell>
          <cell r="G30" t="str">
            <v>saisie</v>
          </cell>
        </row>
        <row r="31">
          <cell r="D31" t="str">
            <v>2208219</v>
          </cell>
          <cell r="E31" t="str">
            <v xml:space="preserve">PA Street </v>
          </cell>
          <cell r="F31" t="str">
            <v>acte</v>
          </cell>
          <cell r="G31" t="str">
            <v>Prélèvements automatiques (73)</v>
          </cell>
        </row>
        <row r="32">
          <cell r="D32" t="str">
            <v>2208220</v>
          </cell>
          <cell r="E32" t="str">
            <v xml:space="preserve">chèques seuls </v>
          </cell>
          <cell r="F32" t="str">
            <v>acte</v>
          </cell>
          <cell r="G32" t="str">
            <v xml:space="preserve">Chèques seuls (60) </v>
          </cell>
        </row>
        <row r="33">
          <cell r="D33" t="str">
            <v>2208221</v>
          </cell>
          <cell r="E33" t="str">
            <v>saisie Don</v>
          </cell>
          <cell r="F33" t="str">
            <v>acte</v>
          </cell>
          <cell r="G33" t="str">
            <v>Dons (73)</v>
          </cell>
        </row>
        <row r="34">
          <cell r="D34" t="str">
            <v>2208222</v>
          </cell>
          <cell r="E34" t="str">
            <v>vpc part</v>
          </cell>
          <cell r="F34" t="str">
            <v>acte</v>
          </cell>
          <cell r="G34" t="str">
            <v>Commandes (35)</v>
          </cell>
        </row>
        <row r="35">
          <cell r="D35" t="str">
            <v>2208223</v>
          </cell>
          <cell r="E35" t="str">
            <v>vpc comité</v>
          </cell>
          <cell r="F35" t="str">
            <v>acte</v>
          </cell>
          <cell r="G35" t="str">
            <v>Commandes Comités (10)</v>
          </cell>
        </row>
        <row r="36">
          <cell r="D36" t="str">
            <v>2208224</v>
          </cell>
          <cell r="E36" t="str">
            <v>adhésions</v>
          </cell>
          <cell r="F36" t="str">
            <v>acte</v>
          </cell>
          <cell r="G36" t="str">
            <v>Adhésions (30)</v>
          </cell>
        </row>
        <row r="37">
          <cell r="D37" t="str">
            <v>2208225</v>
          </cell>
          <cell r="E37" t="str">
            <v xml:space="preserve">abonnements </v>
          </cell>
          <cell r="F37" t="str">
            <v>acte</v>
          </cell>
          <cell r="G37" t="str">
            <v>Abonnements (30)</v>
          </cell>
        </row>
        <row r="38">
          <cell r="D38" t="str">
            <v>2208226</v>
          </cell>
          <cell r="E38" t="str">
            <v xml:space="preserve">Saisie des NPAI </v>
          </cell>
          <cell r="F38" t="str">
            <v>acte</v>
          </cell>
          <cell r="G38" t="str">
            <v xml:space="preserve">Saisie des NPAI </v>
          </cell>
        </row>
        <row r="39">
          <cell r="D39" t="str">
            <v>2208227</v>
          </cell>
          <cell r="E39" t="str">
            <v>vpc entrep et dépositaire</v>
          </cell>
          <cell r="F39" t="str">
            <v>acte</v>
          </cell>
          <cell r="G39" t="str">
            <v>Commandes (35)</v>
          </cell>
        </row>
        <row r="40">
          <cell r="D40" t="str">
            <v>2208228</v>
          </cell>
          <cell r="E40" t="str">
            <v>saisie CFU maquette</v>
          </cell>
          <cell r="F40" t="str">
            <v>acte</v>
          </cell>
          <cell r="G40" t="str">
            <v>Saisie</v>
          </cell>
        </row>
        <row r="41">
          <cell r="D41" t="str">
            <v>2208231</v>
          </cell>
          <cell r="E41" t="str">
            <v>remise bancaire</v>
          </cell>
          <cell r="F41" t="str">
            <v>acte</v>
          </cell>
          <cell r="G41" t="str">
            <v>Encaissement (250)</v>
          </cell>
        </row>
        <row r="42">
          <cell r="D42" t="str">
            <v>2208236</v>
          </cell>
          <cell r="E42" t="str">
            <v>envoi et codification adp</v>
          </cell>
          <cell r="F42" t="str">
            <v>acte</v>
          </cell>
          <cell r="G42" t="str">
            <v>Encaissement (250)</v>
          </cell>
        </row>
        <row r="43">
          <cell r="D43" t="str">
            <v>2208240</v>
          </cell>
          <cell r="E43" t="str">
            <v>contrôle qualite</v>
          </cell>
          <cell r="F43" t="str">
            <v>sans</v>
          </cell>
          <cell r="G43" t="str">
            <v>contrôle qualite (3,8%)</v>
          </cell>
        </row>
        <row r="44">
          <cell r="D44" t="str">
            <v>2208312</v>
          </cell>
          <cell r="E44" t="str">
            <v>tri courrier</v>
          </cell>
          <cell r="F44" t="str">
            <v>acte</v>
          </cell>
          <cell r="G44" t="str">
            <v>OTC (220)</v>
          </cell>
        </row>
        <row r="45">
          <cell r="D45" t="str">
            <v>2208313</v>
          </cell>
          <cell r="E45" t="str">
            <v>navette</v>
          </cell>
          <cell r="F45" t="str">
            <v>sans</v>
          </cell>
          <cell r="G45" t="str">
            <v>OTC (220)</v>
          </cell>
        </row>
        <row r="46">
          <cell r="D46" t="str">
            <v>2208900</v>
          </cell>
          <cell r="E46" t="str">
            <v>Formation DIF</v>
          </cell>
          <cell r="F46" t="str">
            <v>sans</v>
          </cell>
          <cell r="G46" t="str">
            <v>Formation, hrs soc, report (7%)</v>
          </cell>
        </row>
        <row r="47">
          <cell r="D47" t="str">
            <v>2208911</v>
          </cell>
          <cell r="E47" t="str">
            <v>réunion de travail</v>
          </cell>
          <cell r="F47" t="str">
            <v>sans</v>
          </cell>
          <cell r="G47" t="str">
            <v>Formation, hrs soc, report (7%)</v>
          </cell>
        </row>
        <row r="48">
          <cell r="D48" t="str">
            <v>2208912</v>
          </cell>
          <cell r="E48" t="str">
            <v>heures sociales</v>
          </cell>
          <cell r="F48" t="str">
            <v>sans</v>
          </cell>
          <cell r="G48" t="str">
            <v>Formation, hrs soc, report (7%)</v>
          </cell>
        </row>
        <row r="49">
          <cell r="D49" t="str">
            <v>2208913</v>
          </cell>
          <cell r="E49" t="str">
            <v>coordination</v>
          </cell>
          <cell r="F49" t="str">
            <v>sup</v>
          </cell>
          <cell r="G49" t="str">
            <v>Coordintation (6%)</v>
          </cell>
        </row>
        <row r="50">
          <cell r="D50" t="str">
            <v>2208914</v>
          </cell>
          <cell r="E50" t="str">
            <v>formation interne</v>
          </cell>
          <cell r="F50" t="str">
            <v>sans</v>
          </cell>
          <cell r="G50" t="str">
            <v>Formation, hrs soc, report (7%)</v>
          </cell>
        </row>
        <row r="51">
          <cell r="D51" t="str">
            <v>2208915</v>
          </cell>
          <cell r="E51" t="str">
            <v>formation</v>
          </cell>
          <cell r="F51" t="str">
            <v>sans</v>
          </cell>
          <cell r="G51" t="str">
            <v>Formation, hrs soc, report (7%)</v>
          </cell>
        </row>
        <row r="52">
          <cell r="D52" t="str">
            <v>2208916</v>
          </cell>
          <cell r="E52" t="str">
            <v>nettoyage</v>
          </cell>
          <cell r="F52" t="str">
            <v>sans</v>
          </cell>
          <cell r="G52" t="str">
            <v>Formation, hrs soc, report (7%)</v>
          </cell>
        </row>
        <row r="53">
          <cell r="D53" t="str">
            <v>2208917</v>
          </cell>
          <cell r="E53" t="str">
            <v>saisie fiche horaire</v>
          </cell>
          <cell r="F53" t="str">
            <v>sans</v>
          </cell>
          <cell r="G53" t="str">
            <v>Formation, hrs soc, report (7%)</v>
          </cell>
        </row>
        <row r="54">
          <cell r="D54" t="str">
            <v>2208115-FMD</v>
          </cell>
          <cell r="E54" t="str">
            <v>suivi fiche mouvement</v>
          </cell>
          <cell r="F54" t="str">
            <v>acte</v>
          </cell>
        </row>
        <row r="55">
          <cell r="D55" t="str">
            <v>2208115-MAQ</v>
          </cell>
          <cell r="E55" t="str">
            <v>suivi maquette</v>
          </cell>
          <cell r="F55" t="str">
            <v>acte</v>
          </cell>
        </row>
        <row r="56">
          <cell r="D56" t="str">
            <v>2071100</v>
          </cell>
          <cell r="E56" t="str">
            <v>panne</v>
          </cell>
          <cell r="F56" t="str">
            <v>sans</v>
          </cell>
        </row>
        <row r="57">
          <cell r="D57" t="str">
            <v>2071111</v>
          </cell>
          <cell r="E57" t="str">
            <v>actes TDC</v>
          </cell>
          <cell r="F57" t="str">
            <v>acte</v>
          </cell>
          <cell r="G57" t="str">
            <v>lot2</v>
          </cell>
        </row>
        <row r="58">
          <cell r="D58" t="str">
            <v>2071113</v>
          </cell>
          <cell r="E58" t="str">
            <v>courrier</v>
          </cell>
          <cell r="F58" t="str">
            <v>acte</v>
          </cell>
          <cell r="G58" t="str">
            <v>lot 6</v>
          </cell>
        </row>
        <row r="59">
          <cell r="D59" t="str">
            <v>2071114</v>
          </cell>
          <cell r="E59" t="str">
            <v>saisie</v>
          </cell>
          <cell r="F59" t="str">
            <v>acte</v>
          </cell>
          <cell r="G59" t="str">
            <v>lot 2</v>
          </cell>
        </row>
        <row r="60">
          <cell r="D60" t="str">
            <v>2071115</v>
          </cell>
          <cell r="E60" t="str">
            <v>admin</v>
          </cell>
          <cell r="F60" t="str">
            <v>sans</v>
          </cell>
        </row>
        <row r="61">
          <cell r="D61" t="str">
            <v>2071116</v>
          </cell>
          <cell r="E61" t="str">
            <v>traitement courrier hors ged</v>
          </cell>
          <cell r="F61" t="str">
            <v>acte</v>
          </cell>
          <cell r="G61" t="str">
            <v>lot 6</v>
          </cell>
        </row>
        <row r="62">
          <cell r="D62" t="str">
            <v>2071117</v>
          </cell>
          <cell r="E62" t="str">
            <v>saisie hors ged</v>
          </cell>
          <cell r="F62" t="str">
            <v>acte</v>
          </cell>
          <cell r="G62" t="str">
            <v>lot 6</v>
          </cell>
        </row>
        <row r="63">
          <cell r="D63" t="str">
            <v>2071210</v>
          </cell>
          <cell r="E63" t="str">
            <v>expedition</v>
          </cell>
          <cell r="F63" t="str">
            <v>acte</v>
          </cell>
          <cell r="G63" t="str">
            <v>lot 5</v>
          </cell>
        </row>
        <row r="64">
          <cell r="D64" t="str">
            <v>2071211</v>
          </cell>
          <cell r="E64" t="str">
            <v>dépouillement</v>
          </cell>
          <cell r="F64" t="str">
            <v>acte</v>
          </cell>
          <cell r="G64" t="str">
            <v>lot 4</v>
          </cell>
        </row>
        <row r="65">
          <cell r="D65" t="str">
            <v>2071221</v>
          </cell>
          <cell r="E65" t="str">
            <v>saisie pa</v>
          </cell>
          <cell r="F65" t="str">
            <v>acte</v>
          </cell>
          <cell r="G65" t="str">
            <v>lot 6</v>
          </cell>
        </row>
        <row r="66">
          <cell r="D66" t="str">
            <v>2071222</v>
          </cell>
          <cell r="E66" t="str">
            <v>logistique</v>
          </cell>
          <cell r="F66" t="str">
            <v>acte</v>
          </cell>
          <cell r="G66" t="str">
            <v>lot 5</v>
          </cell>
        </row>
        <row r="67">
          <cell r="D67" t="str">
            <v>2071223</v>
          </cell>
          <cell r="E67" t="str">
            <v>saisie coupon</v>
          </cell>
          <cell r="F67" t="str">
            <v>acte</v>
          </cell>
          <cell r="G67" t="str">
            <v>lot 6</v>
          </cell>
        </row>
        <row r="68">
          <cell r="D68" t="str">
            <v>2071224</v>
          </cell>
          <cell r="E68" t="str">
            <v>saisie autres</v>
          </cell>
          <cell r="F68" t="str">
            <v>acte</v>
          </cell>
          <cell r="G68" t="str">
            <v>lot 6</v>
          </cell>
        </row>
        <row r="69">
          <cell r="D69" t="str">
            <v>2071225</v>
          </cell>
          <cell r="E69" t="str">
            <v>videocodage</v>
          </cell>
          <cell r="F69" t="str">
            <v>acte</v>
          </cell>
          <cell r="G69" t="str">
            <v>lot 4</v>
          </cell>
        </row>
        <row r="70">
          <cell r="D70" t="str">
            <v>2071227</v>
          </cell>
          <cell r="E70" t="str">
            <v>prétopage</v>
          </cell>
          <cell r="F70" t="str">
            <v>acte</v>
          </cell>
          <cell r="G70" t="str">
            <v>lot 4</v>
          </cell>
        </row>
        <row r="71">
          <cell r="D71" t="str">
            <v>2071228</v>
          </cell>
          <cell r="E71" t="str">
            <v>numérisation</v>
          </cell>
          <cell r="F71" t="str">
            <v>acte</v>
          </cell>
          <cell r="G71" t="str">
            <v>lot 4</v>
          </cell>
        </row>
        <row r="72">
          <cell r="D72" t="str">
            <v>2071231</v>
          </cell>
          <cell r="E72" t="str">
            <v>remise bancaire</v>
          </cell>
          <cell r="F72" t="str">
            <v>acte</v>
          </cell>
          <cell r="G72" t="str">
            <v>lot 2</v>
          </cell>
        </row>
        <row r="73">
          <cell r="D73" t="str">
            <v>2071232</v>
          </cell>
          <cell r="E73" t="str">
            <v>encaissement chq/mandattdc</v>
          </cell>
          <cell r="F73" t="str">
            <v>acte</v>
          </cell>
          <cell r="G73" t="str">
            <v>lot 2</v>
          </cell>
        </row>
        <row r="74">
          <cell r="D74" t="str">
            <v>2071240</v>
          </cell>
          <cell r="E74" t="str">
            <v>contrôle qualite</v>
          </cell>
          <cell r="F74" t="str">
            <v>sans</v>
          </cell>
        </row>
        <row r="75">
          <cell r="D75" t="str">
            <v>2071911</v>
          </cell>
          <cell r="E75" t="str">
            <v>réunion de travail</v>
          </cell>
          <cell r="F75" t="str">
            <v>sans</v>
          </cell>
        </row>
        <row r="76">
          <cell r="D76" t="str">
            <v>2071912</v>
          </cell>
          <cell r="E76" t="str">
            <v>heures sociales</v>
          </cell>
          <cell r="F76" t="str">
            <v>sans</v>
          </cell>
        </row>
        <row r="77">
          <cell r="D77" t="str">
            <v>2071913</v>
          </cell>
          <cell r="E77" t="str">
            <v>coordination</v>
          </cell>
          <cell r="F77" t="str">
            <v>sup</v>
          </cell>
        </row>
        <row r="78">
          <cell r="D78" t="str">
            <v>2071914</v>
          </cell>
          <cell r="E78" t="str">
            <v>formation interne</v>
          </cell>
          <cell r="F78" t="str">
            <v>sans</v>
          </cell>
        </row>
        <row r="79">
          <cell r="D79" t="str">
            <v>2071915</v>
          </cell>
          <cell r="E79" t="str">
            <v>formation refacturable</v>
          </cell>
          <cell r="F79" t="str">
            <v>acte</v>
          </cell>
        </row>
        <row r="80">
          <cell r="D80" t="str">
            <v>2071917</v>
          </cell>
          <cell r="E80" t="str">
            <v>saisie fiche horaire</v>
          </cell>
          <cell r="F80" t="str">
            <v>sans</v>
          </cell>
        </row>
        <row r="81">
          <cell r="D81" t="str">
            <v>2018115</v>
          </cell>
          <cell r="E81" t="str">
            <v>administratif</v>
          </cell>
          <cell r="F81" t="str">
            <v>hrs</v>
          </cell>
        </row>
        <row r="82">
          <cell r="D82" t="str">
            <v>2018221</v>
          </cell>
          <cell r="E82" t="str">
            <v>saisie</v>
          </cell>
          <cell r="F82" t="str">
            <v>hrs</v>
          </cell>
        </row>
        <row r="83">
          <cell r="D83" t="str">
            <v>2018913</v>
          </cell>
          <cell r="E83" t="str">
            <v>coordination</v>
          </cell>
          <cell r="F83" t="str">
            <v>hrs</v>
          </cell>
        </row>
        <row r="84">
          <cell r="D84" t="str">
            <v>261171</v>
          </cell>
          <cell r="E84" t="str">
            <v xml:space="preserve">Brief/entretien/réunion </v>
          </cell>
          <cell r="F84" t="str">
            <v>sans</v>
          </cell>
        </row>
        <row r="85">
          <cell r="D85" t="str">
            <v>261175</v>
          </cell>
          <cell r="E85" t="str">
            <v>Soutien</v>
          </cell>
          <cell r="F85" t="str">
            <v>hrs</v>
          </cell>
        </row>
        <row r="86">
          <cell r="D86" t="str">
            <v>261177</v>
          </cell>
          <cell r="E86" t="str">
            <v xml:space="preserve">Autre </v>
          </cell>
          <cell r="F86" t="str">
            <v>hrs</v>
          </cell>
        </row>
        <row r="87">
          <cell r="D87" t="str">
            <v>261178</v>
          </cell>
          <cell r="E87" t="str">
            <v>Admin</v>
          </cell>
          <cell r="F87" t="str">
            <v>hrs</v>
          </cell>
        </row>
        <row r="88">
          <cell r="D88" t="str">
            <v>261179</v>
          </cell>
          <cell r="E88" t="str">
            <v>Back office</v>
          </cell>
          <cell r="F88" t="str">
            <v>hrs</v>
          </cell>
        </row>
        <row r="89">
          <cell r="D89" t="str">
            <v>2611710</v>
          </cell>
          <cell r="E89" t="str">
            <v>Appel</v>
          </cell>
          <cell r="F89" t="str">
            <v>acte</v>
          </cell>
        </row>
        <row r="90">
          <cell r="D90" t="str">
            <v>2611715</v>
          </cell>
          <cell r="E90" t="str">
            <v>Dispo</v>
          </cell>
          <cell r="F90" t="str">
            <v>sans</v>
          </cell>
        </row>
        <row r="91">
          <cell r="D91" t="str">
            <v>2611720</v>
          </cell>
          <cell r="E91" t="str">
            <v>Coordination</v>
          </cell>
          <cell r="F91" t="str">
            <v>acte</v>
          </cell>
        </row>
        <row r="92">
          <cell r="D92" t="str">
            <v>26117900</v>
          </cell>
          <cell r="E92" t="str">
            <v>Formation DIF</v>
          </cell>
          <cell r="F92" t="str">
            <v>sans</v>
          </cell>
        </row>
        <row r="93">
          <cell r="D93" t="str">
            <v>26130100</v>
          </cell>
          <cell r="E93" t="str">
            <v>Traitement SFR</v>
          </cell>
          <cell r="F93" t="str">
            <v>acte</v>
          </cell>
        </row>
        <row r="94">
          <cell r="D94" t="str">
            <v>26130130</v>
          </cell>
          <cell r="E94" t="str">
            <v>Panne</v>
          </cell>
          <cell r="F94" t="str">
            <v>sans</v>
          </cell>
        </row>
        <row r="95">
          <cell r="D95" t="str">
            <v>26130900</v>
          </cell>
          <cell r="E95" t="str">
            <v>Formation DIF</v>
          </cell>
          <cell r="F95" t="str">
            <v>sans</v>
          </cell>
        </row>
        <row r="96">
          <cell r="D96" t="str">
            <v>26130913</v>
          </cell>
          <cell r="E96" t="str">
            <v>Coordination</v>
          </cell>
          <cell r="F96" t="str">
            <v>acte</v>
          </cell>
        </row>
        <row r="97">
          <cell r="D97" t="str">
            <v>26130915</v>
          </cell>
          <cell r="E97" t="str">
            <v>Formation</v>
          </cell>
          <cell r="F97" t="str">
            <v>hrs</v>
          </cell>
        </row>
        <row r="98">
          <cell r="D98" t="str">
            <v>2154115</v>
          </cell>
          <cell r="E98" t="str">
            <v>administratif</v>
          </cell>
          <cell r="F98" t="str">
            <v>hrs</v>
          </cell>
        </row>
        <row r="99">
          <cell r="D99" t="str">
            <v>2154221</v>
          </cell>
          <cell r="E99" t="str">
            <v>saisie</v>
          </cell>
          <cell r="F99" t="str">
            <v>hrs</v>
          </cell>
        </row>
        <row r="100">
          <cell r="D100" t="str">
            <v>2154915</v>
          </cell>
          <cell r="E100" t="str">
            <v>formation</v>
          </cell>
          <cell r="F100" t="str">
            <v>hrs</v>
          </cell>
        </row>
        <row r="101">
          <cell r="D101" t="str">
            <v>2204100</v>
          </cell>
          <cell r="E101" t="str">
            <v>panne</v>
          </cell>
          <cell r="F101" t="str">
            <v>sans</v>
          </cell>
        </row>
        <row r="102">
          <cell r="D102" t="str">
            <v>2204111</v>
          </cell>
          <cell r="E102" t="str">
            <v>recherche archive</v>
          </cell>
          <cell r="F102" t="str">
            <v>sans</v>
          </cell>
        </row>
        <row r="103">
          <cell r="D103" t="str">
            <v>2204115</v>
          </cell>
          <cell r="E103" t="str">
            <v>admin</v>
          </cell>
          <cell r="F103" t="str">
            <v>sans</v>
          </cell>
        </row>
        <row r="104">
          <cell r="D104" t="str">
            <v>2204211</v>
          </cell>
          <cell r="E104" t="str">
            <v>dépouillement</v>
          </cell>
          <cell r="F104" t="str">
            <v>acte</v>
          </cell>
        </row>
        <row r="105">
          <cell r="D105" t="str">
            <v>2204221</v>
          </cell>
          <cell r="E105" t="str">
            <v>saisie coupon</v>
          </cell>
          <cell r="F105" t="str">
            <v>acte</v>
          </cell>
        </row>
        <row r="106">
          <cell r="D106" t="str">
            <v>2204240</v>
          </cell>
          <cell r="E106" t="str">
            <v>contrôle qualite</v>
          </cell>
          <cell r="F106" t="str">
            <v>sans</v>
          </cell>
        </row>
        <row r="107">
          <cell r="D107" t="str">
            <v>2204312</v>
          </cell>
          <cell r="E107" t="str">
            <v>tri courrier</v>
          </cell>
          <cell r="F107" t="str">
            <v>acte</v>
          </cell>
        </row>
        <row r="108">
          <cell r="D108" t="str">
            <v>2204313</v>
          </cell>
          <cell r="E108" t="str">
            <v>navette</v>
          </cell>
          <cell r="F108" t="str">
            <v>sans</v>
          </cell>
        </row>
        <row r="109">
          <cell r="D109" t="str">
            <v>2204900</v>
          </cell>
          <cell r="E109" t="str">
            <v>Formation DIF</v>
          </cell>
          <cell r="F109" t="str">
            <v>sans</v>
          </cell>
        </row>
        <row r="110">
          <cell r="D110" t="str">
            <v>2204911</v>
          </cell>
          <cell r="E110" t="str">
            <v>réunion de travail</v>
          </cell>
          <cell r="F110" t="str">
            <v>sans</v>
          </cell>
        </row>
        <row r="111">
          <cell r="D111" t="str">
            <v>2204912</v>
          </cell>
          <cell r="E111" t="str">
            <v>heures sociales</v>
          </cell>
          <cell r="F111" t="str">
            <v>sans</v>
          </cell>
        </row>
        <row r="112">
          <cell r="D112" t="str">
            <v>2204913</v>
          </cell>
          <cell r="E112" t="str">
            <v>coordination</v>
          </cell>
          <cell r="F112" t="str">
            <v>sup</v>
          </cell>
        </row>
        <row r="113">
          <cell r="D113" t="str">
            <v>2204915</v>
          </cell>
          <cell r="E113" t="str">
            <v>formation</v>
          </cell>
          <cell r="F113" t="str">
            <v>sans</v>
          </cell>
        </row>
        <row r="114">
          <cell r="D114" t="str">
            <v>2204917</v>
          </cell>
          <cell r="E114" t="str">
            <v>saisie fiche horaire</v>
          </cell>
          <cell r="F114" t="str">
            <v>sans</v>
          </cell>
        </row>
        <row r="115">
          <cell r="D115" t="str">
            <v>2214100</v>
          </cell>
          <cell r="E115" t="str">
            <v>panne</v>
          </cell>
          <cell r="F115" t="str">
            <v>sans</v>
          </cell>
        </row>
        <row r="116">
          <cell r="D116" t="str">
            <v>2214112</v>
          </cell>
          <cell r="E116" t="str">
            <v>panne serveur ged</v>
          </cell>
          <cell r="F116" t="str">
            <v>sans</v>
          </cell>
        </row>
        <row r="117">
          <cell r="D117" t="str">
            <v>2214115</v>
          </cell>
          <cell r="E117" t="str">
            <v>admin/dissocier fax/cptage</v>
          </cell>
          <cell r="F117" t="str">
            <v>sans</v>
          </cell>
        </row>
        <row r="118">
          <cell r="D118" t="str">
            <v>2214211</v>
          </cell>
          <cell r="E118" t="str">
            <v>dépouillement</v>
          </cell>
          <cell r="F118" t="str">
            <v>sans</v>
          </cell>
        </row>
        <row r="119">
          <cell r="D119" t="str">
            <v>2214221</v>
          </cell>
          <cell r="E119" t="str">
            <v>saisie goelis</v>
          </cell>
          <cell r="F119" t="str">
            <v>acte</v>
          </cell>
        </row>
        <row r="120">
          <cell r="D120" t="str">
            <v>2214222</v>
          </cell>
          <cell r="E120" t="str">
            <v>saisie fax</v>
          </cell>
          <cell r="F120" t="str">
            <v>acte</v>
          </cell>
        </row>
        <row r="121">
          <cell r="D121" t="str">
            <v>2214224</v>
          </cell>
          <cell r="E121" t="str">
            <v>saisie email</v>
          </cell>
          <cell r="F121" t="str">
            <v>acte</v>
          </cell>
        </row>
        <row r="122">
          <cell r="D122" t="str">
            <v>2214238</v>
          </cell>
          <cell r="E122" t="str">
            <v>traitement ano goelis</v>
          </cell>
          <cell r="F122" t="str">
            <v>acte</v>
          </cell>
        </row>
        <row r="123">
          <cell r="D123" t="str">
            <v>2214240</v>
          </cell>
          <cell r="E123" t="str">
            <v>contrôle qualite</v>
          </cell>
          <cell r="F123" t="str">
            <v>sans</v>
          </cell>
        </row>
        <row r="124">
          <cell r="D124" t="str">
            <v>2214911</v>
          </cell>
          <cell r="E124" t="str">
            <v>réunion de travail</v>
          </cell>
          <cell r="F124" t="str">
            <v>sans</v>
          </cell>
        </row>
        <row r="125">
          <cell r="D125" t="str">
            <v>2214912</v>
          </cell>
          <cell r="E125" t="str">
            <v>heures sociales</v>
          </cell>
          <cell r="F125" t="str">
            <v>sans</v>
          </cell>
        </row>
        <row r="126">
          <cell r="D126" t="str">
            <v>2214913</v>
          </cell>
          <cell r="E126" t="str">
            <v>coordination</v>
          </cell>
          <cell r="F126" t="str">
            <v>sans</v>
          </cell>
        </row>
        <row r="127">
          <cell r="D127" t="str">
            <v>2214915</v>
          </cell>
          <cell r="E127" t="str">
            <v>formation</v>
          </cell>
          <cell r="F127" t="str">
            <v>sans</v>
          </cell>
        </row>
        <row r="128">
          <cell r="D128" t="str">
            <v>2214917</v>
          </cell>
          <cell r="E128" t="str">
            <v>saisie fiche horaire</v>
          </cell>
          <cell r="F128" t="str">
            <v>sans</v>
          </cell>
        </row>
        <row r="129">
          <cell r="D129" t="str">
            <v>2064115</v>
          </cell>
          <cell r="E129" t="str">
            <v>administratif</v>
          </cell>
          <cell r="F129" t="str">
            <v>hrs</v>
          </cell>
        </row>
        <row r="130">
          <cell r="D130" t="str">
            <v>PR999</v>
          </cell>
          <cell r="E130" t="str">
            <v>saisie prisma</v>
          </cell>
          <cell r="F130" t="str">
            <v>hrs</v>
          </cell>
        </row>
        <row r="131">
          <cell r="D131" t="str">
            <v>2276-nc-p100</v>
          </cell>
          <cell r="E131" t="str">
            <v>panne</v>
          </cell>
          <cell r="F131" t="str">
            <v>sans</v>
          </cell>
        </row>
        <row r="132">
          <cell r="D132" t="str">
            <v>2276-nc-p111</v>
          </cell>
          <cell r="E132" t="str">
            <v>archivage informatique</v>
          </cell>
          <cell r="F132" t="str">
            <v>forfait</v>
          </cell>
        </row>
        <row r="133">
          <cell r="D133" t="str">
            <v>2276-nc-p112</v>
          </cell>
          <cell r="E133" t="str">
            <v>envoi agences et IL</v>
          </cell>
          <cell r="F133" t="str">
            <v>acte</v>
          </cell>
        </row>
        <row r="134">
          <cell r="D134" t="str">
            <v>2276-nc-p113</v>
          </cell>
          <cell r="E134" t="str">
            <v>tri sequentiel</v>
          </cell>
          <cell r="F134" t="str">
            <v>acte</v>
          </cell>
        </row>
        <row r="135">
          <cell r="D135" t="str">
            <v>2276-nc-p115</v>
          </cell>
          <cell r="E135" t="str">
            <v>administratif</v>
          </cell>
          <cell r="F135" t="str">
            <v>sans</v>
          </cell>
        </row>
        <row r="136">
          <cell r="D136" t="str">
            <v>2276-nc-p210</v>
          </cell>
          <cell r="E136" t="str">
            <v>contrôle</v>
          </cell>
          <cell r="F136" t="str">
            <v>acte</v>
          </cell>
        </row>
        <row r="137">
          <cell r="D137" t="str">
            <v>2276-nc-p211</v>
          </cell>
          <cell r="E137" t="str">
            <v>dépouillement</v>
          </cell>
          <cell r="F137" t="str">
            <v>acte</v>
          </cell>
        </row>
        <row r="138">
          <cell r="D138" t="str">
            <v>2276-nc-p212</v>
          </cell>
          <cell r="E138" t="str">
            <v>création de lot</v>
          </cell>
          <cell r="F138" t="str">
            <v>acte</v>
          </cell>
        </row>
        <row r="139">
          <cell r="D139" t="str">
            <v>2276-nc-p221</v>
          </cell>
          <cell r="E139" t="str">
            <v>saisie</v>
          </cell>
          <cell r="F139" t="str">
            <v>acte</v>
          </cell>
        </row>
        <row r="140">
          <cell r="D140" t="str">
            <v>2276-nc-p900</v>
          </cell>
          <cell r="E140" t="str">
            <v>Formation DIF</v>
          </cell>
          <cell r="F140" t="str">
            <v>sans</v>
          </cell>
        </row>
        <row r="141">
          <cell r="D141" t="str">
            <v>2276-nc-p911</v>
          </cell>
          <cell r="E141" t="str">
            <v>réunion de travail</v>
          </cell>
          <cell r="F141" t="str">
            <v>sans</v>
          </cell>
        </row>
        <row r="142">
          <cell r="D142" t="str">
            <v>2276-nc-p912</v>
          </cell>
          <cell r="E142" t="str">
            <v>heures sociales</v>
          </cell>
          <cell r="F142" t="str">
            <v>sans</v>
          </cell>
        </row>
        <row r="143">
          <cell r="D143" t="str">
            <v>2276-nc-p913</v>
          </cell>
          <cell r="E143" t="str">
            <v>coordination</v>
          </cell>
          <cell r="F143" t="str">
            <v>sans</v>
          </cell>
        </row>
        <row r="144">
          <cell r="D144" t="str">
            <v>2276-nc-p915</v>
          </cell>
          <cell r="E144" t="str">
            <v>formation</v>
          </cell>
          <cell r="F144" t="str">
            <v>sans</v>
          </cell>
        </row>
        <row r="145">
          <cell r="D145" t="str">
            <v>2276-nc-1100</v>
          </cell>
          <cell r="E145" t="str">
            <v>panne</v>
          </cell>
          <cell r="F145" t="str">
            <v>sans</v>
          </cell>
        </row>
        <row r="146">
          <cell r="D146" t="str">
            <v>2276-nc-1111</v>
          </cell>
          <cell r="E146" t="str">
            <v>archivage informatique</v>
          </cell>
          <cell r="F146" t="str">
            <v>sans</v>
          </cell>
        </row>
        <row r="147">
          <cell r="D147" t="str">
            <v>2276-nc-1112</v>
          </cell>
          <cell r="E147" t="str">
            <v>tracing</v>
          </cell>
          <cell r="F147" t="str">
            <v>acte</v>
          </cell>
        </row>
        <row r="148">
          <cell r="D148" t="str">
            <v>2276-nc-1113</v>
          </cell>
          <cell r="E148" t="str">
            <v>tri sequentiel</v>
          </cell>
          <cell r="F148" t="str">
            <v>acte</v>
          </cell>
        </row>
        <row r="149">
          <cell r="D149" t="str">
            <v>2276-nc-1115</v>
          </cell>
          <cell r="E149" t="str">
            <v>administratif</v>
          </cell>
          <cell r="F149" t="str">
            <v>hrs</v>
          </cell>
        </row>
        <row r="150">
          <cell r="D150" t="str">
            <v>2276-nc-1210</v>
          </cell>
          <cell r="E150" t="str">
            <v>contrôle</v>
          </cell>
          <cell r="F150" t="str">
            <v>acte</v>
          </cell>
        </row>
        <row r="151">
          <cell r="D151" t="str">
            <v>2276-nc-1211</v>
          </cell>
          <cell r="E151" t="str">
            <v>dépouillement</v>
          </cell>
          <cell r="F151" t="str">
            <v>acte</v>
          </cell>
        </row>
        <row r="152">
          <cell r="D152" t="str">
            <v>2276-nc-1212</v>
          </cell>
          <cell r="E152" t="str">
            <v>création de lot</v>
          </cell>
          <cell r="F152" t="str">
            <v>sans</v>
          </cell>
        </row>
        <row r="153">
          <cell r="D153" t="str">
            <v>2276-nc-1221</v>
          </cell>
          <cell r="E153" t="str">
            <v>saisie</v>
          </cell>
          <cell r="F153" t="str">
            <v>acte</v>
          </cell>
        </row>
        <row r="154">
          <cell r="D154" t="str">
            <v>2276-nc-1911</v>
          </cell>
          <cell r="E154" t="str">
            <v>réunion de travail</v>
          </cell>
          <cell r="F154" t="str">
            <v>sans</v>
          </cell>
        </row>
        <row r="155">
          <cell r="D155" t="str">
            <v>2276-nc-1915</v>
          </cell>
          <cell r="E155" t="str">
            <v>formation</v>
          </cell>
          <cell r="F155" t="str">
            <v>sans</v>
          </cell>
        </row>
        <row r="156">
          <cell r="D156" t="str">
            <v>echos100</v>
          </cell>
          <cell r="E156" t="str">
            <v>panne</v>
          </cell>
          <cell r="F156" t="str">
            <v>hrs</v>
          </cell>
        </row>
        <row r="157">
          <cell r="D157" t="str">
            <v>echos115</v>
          </cell>
          <cell r="E157" t="str">
            <v>administratif</v>
          </cell>
          <cell r="F157" t="str">
            <v>hrs</v>
          </cell>
        </row>
        <row r="158">
          <cell r="D158" t="str">
            <v>26103100</v>
          </cell>
          <cell r="E158" t="str">
            <v>Traitement INFOSCORE</v>
          </cell>
          <cell r="F158" t="str">
            <v>hrs</v>
          </cell>
        </row>
        <row r="159">
          <cell r="D159" t="str">
            <v>26103130</v>
          </cell>
          <cell r="E159" t="str">
            <v>Panne</v>
          </cell>
          <cell r="F159" t="str">
            <v>hrs</v>
          </cell>
        </row>
        <row r="160">
          <cell r="D160" t="str">
            <v>26103900</v>
          </cell>
          <cell r="E160" t="str">
            <v>Formation DIF</v>
          </cell>
          <cell r="F160" t="str">
            <v>sans</v>
          </cell>
        </row>
        <row r="161">
          <cell r="D161" t="str">
            <v>26103913</v>
          </cell>
          <cell r="E161" t="str">
            <v>Coordination</v>
          </cell>
          <cell r="F161" t="str">
            <v>hrs</v>
          </cell>
        </row>
        <row r="162">
          <cell r="D162" t="str">
            <v>26103915</v>
          </cell>
          <cell r="E162" t="str">
            <v>Formation</v>
          </cell>
          <cell r="F162" t="str">
            <v>hrs</v>
          </cell>
        </row>
        <row r="163">
          <cell r="D163" t="str">
            <v>2613310</v>
          </cell>
          <cell r="E163" t="str">
            <v>Appel</v>
          </cell>
          <cell r="F163" t="str">
            <v>acte</v>
          </cell>
        </row>
        <row r="164">
          <cell r="D164" t="str">
            <v>2613320</v>
          </cell>
          <cell r="E164" t="str">
            <v>Coordination</v>
          </cell>
          <cell r="F164" t="str">
            <v>acte</v>
          </cell>
        </row>
        <row r="165">
          <cell r="D165" t="str">
            <v>1221</v>
          </cell>
          <cell r="E165" t="str">
            <v>saisie</v>
          </cell>
          <cell r="F165" t="str">
            <v>hrs</v>
          </cell>
        </row>
        <row r="166">
          <cell r="D166" t="str">
            <v>C310</v>
          </cell>
          <cell r="E166" t="str">
            <v>Formation DUM</v>
          </cell>
          <cell r="F166" t="str">
            <v>hrs</v>
          </cell>
        </row>
        <row r="167">
          <cell r="D167" t="str">
            <v>C320</v>
          </cell>
          <cell r="E167" t="str">
            <v>Traitement DUM</v>
          </cell>
          <cell r="F167" t="str">
            <v>hrs</v>
          </cell>
        </row>
        <row r="168">
          <cell r="D168" t="str">
            <v>C330</v>
          </cell>
          <cell r="E168" t="str">
            <v>Coordination DUM</v>
          </cell>
          <cell r="F168" t="str">
            <v>hrs</v>
          </cell>
        </row>
        <row r="169">
          <cell r="D169" t="str">
            <v>C340</v>
          </cell>
          <cell r="E169" t="str">
            <v>Panne Dum</v>
          </cell>
          <cell r="F169" t="str">
            <v>hrs</v>
          </cell>
        </row>
        <row r="170">
          <cell r="D170" t="str">
            <v>C3911</v>
          </cell>
          <cell r="E170" t="str">
            <v>Reunion de travail</v>
          </cell>
          <cell r="F170" t="str">
            <v>hrs</v>
          </cell>
        </row>
        <row r="171">
          <cell r="D171" t="str">
            <v>C3912</v>
          </cell>
          <cell r="E171" t="str">
            <v>Hrs sociales</v>
          </cell>
          <cell r="F171" t="str">
            <v>sans</v>
          </cell>
        </row>
        <row r="172">
          <cell r="D172" t="str">
            <v>C2100</v>
          </cell>
          <cell r="E172" t="str">
            <v>Traitement SIEBEL</v>
          </cell>
          <cell r="F172" t="str">
            <v>hrs</v>
          </cell>
        </row>
        <row r="173">
          <cell r="D173" t="str">
            <v>C2110</v>
          </cell>
          <cell r="E173" t="str">
            <v>traitement PVENDIN</v>
          </cell>
          <cell r="F173" t="str">
            <v>acte</v>
          </cell>
        </row>
        <row r="174">
          <cell r="D174" t="str">
            <v>C2130</v>
          </cell>
          <cell r="E174" t="str">
            <v>Panne informatique</v>
          </cell>
          <cell r="F174" t="str">
            <v>hrs</v>
          </cell>
        </row>
        <row r="175">
          <cell r="D175" t="str">
            <v>C2630</v>
          </cell>
          <cell r="E175" t="str">
            <v>formation interne</v>
          </cell>
          <cell r="F175" t="str">
            <v>sans</v>
          </cell>
        </row>
        <row r="176">
          <cell r="D176" t="str">
            <v>C2680</v>
          </cell>
          <cell r="E176" t="str">
            <v>CGA-CRM</v>
          </cell>
          <cell r="F176" t="str">
            <v>acte</v>
          </cell>
        </row>
        <row r="177">
          <cell r="D177" t="str">
            <v>C2110</v>
          </cell>
          <cell r="E177" t="str">
            <v>saisie intranet</v>
          </cell>
          <cell r="F177" t="str">
            <v>sans</v>
          </cell>
        </row>
        <row r="178">
          <cell r="D178" t="str">
            <v>C2911</v>
          </cell>
          <cell r="E178" t="str">
            <v>Reunion de travail</v>
          </cell>
          <cell r="F178" t="str">
            <v>hrs</v>
          </cell>
        </row>
        <row r="179">
          <cell r="D179" t="str">
            <v>C2912</v>
          </cell>
          <cell r="E179" t="str">
            <v>Hrs sociales</v>
          </cell>
          <cell r="F179" t="str">
            <v>sans</v>
          </cell>
        </row>
        <row r="180">
          <cell r="D180" t="str">
            <v>C2913</v>
          </cell>
          <cell r="E180" t="str">
            <v>Coordination</v>
          </cell>
          <cell r="F180" t="str">
            <v>sans</v>
          </cell>
        </row>
        <row r="181">
          <cell r="D181" t="str">
            <v>C2915</v>
          </cell>
          <cell r="E181" t="str">
            <v>Formation</v>
          </cell>
          <cell r="F181" t="str">
            <v>hrs</v>
          </cell>
        </row>
        <row r="182">
          <cell r="D182" t="str">
            <v>C2916</v>
          </cell>
          <cell r="E182" t="str">
            <v>Tri traitement des 4700 DC</v>
          </cell>
          <cell r="F182" t="str">
            <v>hrs</v>
          </cell>
        </row>
        <row r="183">
          <cell r="D183" t="str">
            <v>C2917</v>
          </cell>
          <cell r="E183" t="str">
            <v>Mutualisation clients</v>
          </cell>
          <cell r="F183" t="str">
            <v>hrs</v>
          </cell>
        </row>
        <row r="184">
          <cell r="D184" t="str">
            <v>C2918</v>
          </cell>
          <cell r="E184" t="str">
            <v>Contrôle qualité</v>
          </cell>
          <cell r="F184" t="str">
            <v>hrs</v>
          </cell>
        </row>
        <row r="185">
          <cell r="D185" t="str">
            <v>C2999</v>
          </cell>
          <cell r="E185" t="str">
            <v>Affectation autre service</v>
          </cell>
          <cell r="F185" t="str">
            <v>sans</v>
          </cell>
        </row>
        <row r="186">
          <cell r="D186" t="str">
            <v>C1100</v>
          </cell>
          <cell r="E186" t="str">
            <v>Reception courrier</v>
          </cell>
          <cell r="F186" t="str">
            <v>grille</v>
          </cell>
        </row>
        <row r="187">
          <cell r="D187" t="str">
            <v>C1105</v>
          </cell>
          <cell r="E187" t="str">
            <v>Ouverture courrier Q7</v>
          </cell>
          <cell r="F187" t="str">
            <v>grille</v>
          </cell>
        </row>
        <row r="188">
          <cell r="D188" t="str">
            <v>C1110</v>
          </cell>
          <cell r="E188" t="str">
            <v>Ouverture courrier</v>
          </cell>
          <cell r="F188" t="str">
            <v>grille</v>
          </cell>
        </row>
        <row r="189">
          <cell r="D189" t="str">
            <v>C1115</v>
          </cell>
          <cell r="E189" t="str">
            <v>Ouverture courrier distributeur</v>
          </cell>
          <cell r="F189" t="str">
            <v>grille</v>
          </cell>
        </row>
        <row r="190">
          <cell r="D190" t="str">
            <v>C1120</v>
          </cell>
          <cell r="E190" t="str">
            <v>Tri contrat pre-imprimé</v>
          </cell>
          <cell r="F190" t="str">
            <v>sans</v>
          </cell>
        </row>
        <row r="191">
          <cell r="D191" t="str">
            <v>C1125</v>
          </cell>
          <cell r="E191" t="str">
            <v>Tri rejet fax</v>
          </cell>
          <cell r="F191" t="str">
            <v>sans</v>
          </cell>
        </row>
        <row r="192">
          <cell r="D192" t="str">
            <v>C1130</v>
          </cell>
          <cell r="E192" t="str">
            <v>Tri de NPAI</v>
          </cell>
          <cell r="F192" t="str">
            <v>hrs</v>
          </cell>
        </row>
        <row r="193">
          <cell r="D193" t="str">
            <v>C1140</v>
          </cell>
          <cell r="E193" t="str">
            <v>Ouverture Offres</v>
          </cell>
          <cell r="F193" t="str">
            <v>devis</v>
          </cell>
        </row>
        <row r="194">
          <cell r="D194" t="str">
            <v>C1200</v>
          </cell>
          <cell r="E194" t="str">
            <v>Qualification</v>
          </cell>
          <cell r="F194" t="str">
            <v>grille</v>
          </cell>
        </row>
        <row r="195">
          <cell r="D195" t="str">
            <v>C1210</v>
          </cell>
          <cell r="E195" t="str">
            <v>Qualification exotique</v>
          </cell>
          <cell r="F195" t="str">
            <v>grille</v>
          </cell>
        </row>
        <row r="196">
          <cell r="D196" t="str">
            <v>C1250</v>
          </cell>
          <cell r="E196" t="str">
            <v>qualification FAX</v>
          </cell>
          <cell r="F196" t="str">
            <v>grille</v>
          </cell>
        </row>
        <row r="197">
          <cell r="D197" t="str">
            <v>C1300</v>
          </cell>
          <cell r="E197" t="str">
            <v>Numérisation</v>
          </cell>
          <cell r="F197" t="str">
            <v>grille</v>
          </cell>
        </row>
        <row r="198">
          <cell r="D198" t="str">
            <v>C1301</v>
          </cell>
          <cell r="E198" t="str">
            <v>Numérisation Q7</v>
          </cell>
          <cell r="F198" t="str">
            <v>grille</v>
          </cell>
        </row>
        <row r="199">
          <cell r="D199" t="str">
            <v>C1302</v>
          </cell>
          <cell r="E199" t="str">
            <v>Numérisation W9</v>
          </cell>
          <cell r="F199" t="str">
            <v>grille</v>
          </cell>
        </row>
        <row r="200">
          <cell r="D200" t="str">
            <v>C1305</v>
          </cell>
          <cell r="E200" t="str">
            <v>Topage Q7IN inexploitable déchiré</v>
          </cell>
          <cell r="F200" t="str">
            <v>devis</v>
          </cell>
        </row>
        <row r="201">
          <cell r="D201" t="str">
            <v>C1306</v>
          </cell>
          <cell r="E201" t="str">
            <v>Topage W8IN inexploitable déchiré</v>
          </cell>
          <cell r="F201" t="str">
            <v>devis</v>
          </cell>
        </row>
        <row r="202">
          <cell r="D202" t="str">
            <v>C1307</v>
          </cell>
          <cell r="E202" t="str">
            <v>Topage W9IN inexploitable déchiré</v>
          </cell>
          <cell r="F202" t="str">
            <v>devis</v>
          </cell>
        </row>
        <row r="203">
          <cell r="D203" t="str">
            <v>C1308</v>
          </cell>
          <cell r="E203" t="str">
            <v>Topage W10I inexploitable déchiré</v>
          </cell>
          <cell r="F203" t="str">
            <v>devis</v>
          </cell>
        </row>
        <row r="204">
          <cell r="D204" t="str">
            <v>C1309</v>
          </cell>
          <cell r="E204" t="str">
            <v>W10 vierge</v>
          </cell>
          <cell r="F204" t="str">
            <v>devis</v>
          </cell>
        </row>
        <row r="205">
          <cell r="D205" t="str">
            <v>C1310</v>
          </cell>
          <cell r="E205" t="str">
            <v>W8 vierge</v>
          </cell>
          <cell r="F205" t="str">
            <v>devis</v>
          </cell>
        </row>
        <row r="206">
          <cell r="D206" t="str">
            <v>C1311</v>
          </cell>
          <cell r="E206" t="str">
            <v>w9 vierge</v>
          </cell>
          <cell r="F206" t="str">
            <v>devis</v>
          </cell>
        </row>
        <row r="207">
          <cell r="D207" t="str">
            <v>C1350</v>
          </cell>
          <cell r="E207" t="str">
            <v>Panne informatique</v>
          </cell>
          <cell r="F207" t="str">
            <v>sans</v>
          </cell>
        </row>
        <row r="208">
          <cell r="D208" t="str">
            <v>C1400</v>
          </cell>
          <cell r="E208" t="str">
            <v>V/C RAD</v>
          </cell>
          <cell r="F208" t="str">
            <v>grille</v>
          </cell>
        </row>
        <row r="209">
          <cell r="D209" t="str">
            <v>C1403</v>
          </cell>
          <cell r="E209" t="str">
            <v>Automate coupon rétention</v>
          </cell>
          <cell r="F209" t="str">
            <v>grille</v>
          </cell>
        </row>
        <row r="210">
          <cell r="D210" t="str">
            <v>C1404</v>
          </cell>
          <cell r="E210" t="str">
            <v>Changement d'adresse coupon rétention</v>
          </cell>
          <cell r="F210" t="str">
            <v>grille</v>
          </cell>
        </row>
        <row r="211">
          <cell r="D211" t="str">
            <v>C1500</v>
          </cell>
          <cell r="E211" t="str">
            <v>Encaissement VIPS</v>
          </cell>
          <cell r="F211" t="str">
            <v>hrs</v>
          </cell>
        </row>
        <row r="212">
          <cell r="D212" t="str">
            <v>C1501</v>
          </cell>
          <cell r="E212" t="str">
            <v>RETRAIT DES CHEQUES</v>
          </cell>
          <cell r="F212" t="str">
            <v>hrs</v>
          </cell>
        </row>
        <row r="213">
          <cell r="D213" t="str">
            <v>C1502</v>
          </cell>
          <cell r="E213" t="str">
            <v>traitement paiement en doublon, régularisés ou mandats échus (NT2, NT3)</v>
          </cell>
          <cell r="F213" t="str">
            <v>hrs</v>
          </cell>
        </row>
        <row r="214">
          <cell r="D214" t="str">
            <v>C1503</v>
          </cell>
          <cell r="E214" t="str">
            <v>Encaissement manuel (Canalful)</v>
          </cell>
          <cell r="F214" t="str">
            <v>hrs</v>
          </cell>
        </row>
        <row r="215">
          <cell r="D215" t="str">
            <v>C1507</v>
          </cell>
          <cell r="E215" t="str">
            <v>Création de prospects AICT</v>
          </cell>
          <cell r="F215" t="str">
            <v>devis</v>
          </cell>
        </row>
        <row r="216">
          <cell r="D216" t="str">
            <v>C1533</v>
          </cell>
          <cell r="E216" t="str">
            <v>TM07 Transformation Multi Palateformes Page Magazine</v>
          </cell>
          <cell r="F216" t="str">
            <v>devis</v>
          </cell>
        </row>
        <row r="217">
          <cell r="D217" t="str">
            <v>C1534</v>
          </cell>
          <cell r="E217" t="str">
            <v>17MP Multi+ 3 Mois à l'essai Page Magazine CSAT de juillet/Août 2008</v>
          </cell>
          <cell r="F217" t="str">
            <v>devis</v>
          </cell>
        </row>
        <row r="218">
          <cell r="D218" t="str">
            <v>C1535</v>
          </cell>
          <cell r="E218" t="str">
            <v>16MP Multi+ : 3 Mois essai / 06-08</v>
          </cell>
          <cell r="F218" t="str">
            <v>devis</v>
          </cell>
        </row>
        <row r="219">
          <cell r="D219" t="str">
            <v>C1536</v>
          </cell>
          <cell r="E219" t="str">
            <v>HCA3 - HCS3 Habitat Collectif Flash / 04-08</v>
          </cell>
          <cell r="F219" t="str">
            <v>devis</v>
          </cell>
        </row>
        <row r="220">
          <cell r="D220" t="str">
            <v>C1537</v>
          </cell>
          <cell r="E220" t="str">
            <v>V69A, V69C, V69Q, V69H VAD Vague 69 Canal + Analogique/TNT</v>
          </cell>
          <cell r="F220" t="str">
            <v>devis</v>
          </cell>
        </row>
        <row r="221">
          <cell r="D221" t="str">
            <v>C1538</v>
          </cell>
          <cell r="E221" t="str">
            <v>AT1W - AT2W - AT1Q / Appels sortants Transformation Multi Plateformes - 06-08</v>
          </cell>
          <cell r="F221" t="str">
            <v>devis</v>
          </cell>
        </row>
        <row r="222">
          <cell r="D222" t="str">
            <v>C1539</v>
          </cell>
          <cell r="E222" t="str">
            <v>RM3A - RM3W - RM3Q Transformation - Relance Tel / 05-08</v>
          </cell>
          <cell r="F222" t="str">
            <v>devis</v>
          </cell>
        </row>
        <row r="223">
          <cell r="D223" t="str">
            <v>C1540</v>
          </cell>
          <cell r="E223" t="str">
            <v>TM06 - Transformation - Page 06/08</v>
          </cell>
          <cell r="F223" t="str">
            <v>devis</v>
          </cell>
        </row>
        <row r="224">
          <cell r="D224" t="str">
            <v>C1541</v>
          </cell>
          <cell r="E224" t="str">
            <v>V68A, V68C, V68Q, V68H VAD Vague 68 Canal+ Analogique/TNT</v>
          </cell>
          <cell r="F224" t="str">
            <v>devis</v>
          </cell>
        </row>
        <row r="225">
          <cell r="D225" t="str">
            <v>C1542</v>
          </cell>
          <cell r="E225" t="str">
            <v xml:space="preserve">TM3W - TM4W - TM5W Transformation multi plateformes mailing </v>
          </cell>
          <cell r="F225" t="str">
            <v>devis</v>
          </cell>
        </row>
        <row r="226">
          <cell r="D226" t="str">
            <v>C1543</v>
          </cell>
          <cell r="E226" t="str">
            <v>TTS2 - Mailings tests csat / 03-08</v>
          </cell>
          <cell r="F226" t="str">
            <v>devis</v>
          </cell>
        </row>
        <row r="227">
          <cell r="D227" t="str">
            <v>C1544</v>
          </cell>
          <cell r="E227" t="str">
            <v>TM1W - Appels sortants tests transformation multi plateforme/03-08</v>
          </cell>
          <cell r="F227" t="str">
            <v>devis</v>
          </cell>
        </row>
        <row r="228">
          <cell r="D228" t="str">
            <v>C1545</v>
          </cell>
          <cell r="E228" t="str">
            <v>TM2W - Appels sortants tests transformation multi plateforme/03-08</v>
          </cell>
          <cell r="F228" t="str">
            <v>devis</v>
          </cell>
        </row>
        <row r="229">
          <cell r="D229" t="str">
            <v>C1546</v>
          </cell>
          <cell r="E229" t="str">
            <v>TM02 Transformation - Page/04-08</v>
          </cell>
          <cell r="F229" t="str">
            <v>devis</v>
          </cell>
        </row>
        <row r="230">
          <cell r="D230" t="str">
            <v>C1547</v>
          </cell>
          <cell r="E230" t="str">
            <v>TM03 - Transformation - Mailing 04/08</v>
          </cell>
          <cell r="F230" t="str">
            <v>devis</v>
          </cell>
        </row>
        <row r="231">
          <cell r="D231" t="str">
            <v>C1548</v>
          </cell>
          <cell r="E231" t="str">
            <v>15MP Multi+ 4 mois à l'essai page magazine csat de mai 2008</v>
          </cell>
          <cell r="F231" t="str">
            <v>devis</v>
          </cell>
        </row>
        <row r="232">
          <cell r="D232" t="str">
            <v>C1549</v>
          </cell>
          <cell r="E232" t="str">
            <v>TM04/TM05 Transformation multi plateformes page magazine</v>
          </cell>
          <cell r="F232" t="str">
            <v>devis</v>
          </cell>
        </row>
        <row r="233">
          <cell r="D233" t="str">
            <v>C1550</v>
          </cell>
          <cell r="E233" t="str">
            <v xml:space="preserve">IST1 Diagnostic abonnement transformation </v>
          </cell>
          <cell r="F233" t="str">
            <v>devis</v>
          </cell>
        </row>
        <row r="234">
          <cell r="D234" t="str">
            <v>C1551</v>
          </cell>
          <cell r="E234" t="str">
            <v>TTC5 Tests C+ Le Bouquet par satellitte/03-08 Offres</v>
          </cell>
          <cell r="F234" t="str">
            <v>devis</v>
          </cell>
        </row>
        <row r="235">
          <cell r="D235" t="str">
            <v>C1552</v>
          </cell>
          <cell r="E235" t="str">
            <v>Création de prospects AICT</v>
          </cell>
          <cell r="F235" t="str">
            <v>devis</v>
          </cell>
        </row>
        <row r="236">
          <cell r="D236" t="str">
            <v>C1553</v>
          </cell>
          <cell r="E236" t="str">
            <v>HC12/HC13/HC14 Vente à domicile Habitat collectif C+ &amp; CSAT</v>
          </cell>
          <cell r="F236" t="str">
            <v>devis</v>
          </cell>
        </row>
        <row r="237">
          <cell r="D237" t="str">
            <v>C1554</v>
          </cell>
          <cell r="E237" t="str">
            <v>WINN Opération AUCHAN DISNEY</v>
          </cell>
          <cell r="F237" t="str">
            <v>devis</v>
          </cell>
        </row>
        <row r="238">
          <cell r="D238" t="str">
            <v>C1555</v>
          </cell>
          <cell r="E238" t="str">
            <v>TM01 Transformation page 03/08 opérations ciblées</v>
          </cell>
          <cell r="F238" t="str">
            <v>devis</v>
          </cell>
        </row>
        <row r="239">
          <cell r="D239" t="str">
            <v>C1556</v>
          </cell>
          <cell r="E239" t="str">
            <v>VD12/VD15/VD13/VD14 Vente à domicile C+ &amp; CSAT</v>
          </cell>
          <cell r="F239" t="str">
            <v>devis</v>
          </cell>
        </row>
        <row r="240">
          <cell r="D240" t="str">
            <v>C1557</v>
          </cell>
          <cell r="E240" t="str">
            <v>AUEN AUCHAN OPTION PVR &amp; HD</v>
          </cell>
          <cell r="F240" t="str">
            <v>devis</v>
          </cell>
        </row>
        <row r="241">
          <cell r="D241" t="str">
            <v>C1558</v>
          </cell>
          <cell r="E241" t="str">
            <v>14MP Mutli + 3 mois a l'essai page magazine CSAT d'avril 2008</v>
          </cell>
          <cell r="F241" t="str">
            <v>devis</v>
          </cell>
        </row>
        <row r="242">
          <cell r="D242" t="str">
            <v>C1559</v>
          </cell>
          <cell r="E242" t="str">
            <v>FDT3 - FDT4 Diagnostic abonnement 3MG Foot +</v>
          </cell>
          <cell r="F242" t="str">
            <v>devis</v>
          </cell>
        </row>
        <row r="243">
          <cell r="D243" t="str">
            <v>C1560</v>
          </cell>
          <cell r="E243" t="str">
            <v xml:space="preserve">GEA2 Canalsat Carte Cadeau de 50 € </v>
          </cell>
          <cell r="F243" t="str">
            <v>devis</v>
          </cell>
        </row>
        <row r="244">
          <cell r="D244" t="str">
            <v>C1561</v>
          </cell>
          <cell r="E244" t="str">
            <v>FT1C - FT1S Offre salariés FT Canal+ Le bouquet - Canalsat</v>
          </cell>
          <cell r="F244" t="str">
            <v>devis</v>
          </cell>
        </row>
        <row r="245">
          <cell r="D245" t="str">
            <v>C1562</v>
          </cell>
          <cell r="E245" t="str">
            <v>7BOU Boulanger 150 € remboursés sur installation</v>
          </cell>
          <cell r="F245" t="str">
            <v>devis</v>
          </cell>
        </row>
        <row r="246">
          <cell r="D246" t="str">
            <v>C1563</v>
          </cell>
          <cell r="E246" t="str">
            <v xml:space="preserve">IT1S-IT1C Flash distributeurs Offre remboursement 150 € sur installation C+ LE BQUET / CSAT </v>
          </cell>
          <cell r="F246" t="str">
            <v>devis</v>
          </cell>
        </row>
        <row r="247">
          <cell r="D247" t="str">
            <v>C1564</v>
          </cell>
          <cell r="E247" t="str">
            <v xml:space="preserve">TC24 - TC25 Canal+ le bouquet sur TPS relance téléphonique </v>
          </cell>
          <cell r="F247" t="str">
            <v>devis</v>
          </cell>
        </row>
        <row r="248">
          <cell r="D248" t="str">
            <v>C1565</v>
          </cell>
          <cell r="E248" t="str">
            <v xml:space="preserve">RPA2 - RPC2 - RPQ2 - RPL2 Portefeuille satellite relance 11/07 - opérations ciblées </v>
          </cell>
          <cell r="F248" t="str">
            <v>devis</v>
          </cell>
        </row>
        <row r="249">
          <cell r="D249" t="str">
            <v>C1566</v>
          </cell>
          <cell r="E249" t="str">
            <v xml:space="preserve"> PTM1 Enregistrement PVR opérations ciblées </v>
          </cell>
          <cell r="F249" t="str">
            <v>devis</v>
          </cell>
        </row>
        <row r="250">
          <cell r="D250" t="str">
            <v>C1567</v>
          </cell>
          <cell r="E250" t="str">
            <v xml:space="preserve">13MP Multi + 3 mois à l'essai page magazine c+/csat de février 02 </v>
          </cell>
          <cell r="F250" t="str">
            <v>devis</v>
          </cell>
        </row>
        <row r="251">
          <cell r="D251" t="str">
            <v>C1568</v>
          </cell>
          <cell r="E251" t="str">
            <v xml:space="preserve">RA01 / RW01 / RQ01 Transformation relance 12/07 </v>
          </cell>
          <cell r="F251" t="str">
            <v>devis</v>
          </cell>
        </row>
        <row r="252">
          <cell r="D252" t="str">
            <v>C1569</v>
          </cell>
          <cell r="E252" t="str">
            <v xml:space="preserve"> IST1 Offres Nationales 2008/01 </v>
          </cell>
          <cell r="F252" t="str">
            <v>devis</v>
          </cell>
        </row>
        <row r="253">
          <cell r="D253" t="str">
            <v>C1570</v>
          </cell>
          <cell r="E253" t="str">
            <v xml:space="preserve">NER1 Offre Nationale 2008/01 </v>
          </cell>
          <cell r="F253" t="str">
            <v>devis</v>
          </cell>
        </row>
        <row r="254">
          <cell r="D254" t="str">
            <v>C1571</v>
          </cell>
          <cell r="E254" t="str">
            <v xml:space="preserve"> GEX1 Offre GEOXIA 10-07 </v>
          </cell>
          <cell r="F254" t="str">
            <v>devis</v>
          </cell>
        </row>
        <row r="255">
          <cell r="D255" t="str">
            <v>C1572</v>
          </cell>
          <cell r="E255" t="str">
            <v>VG70 =&gt; VG79 Portefeuille relance 11/07</v>
          </cell>
          <cell r="F255" t="str">
            <v>devis</v>
          </cell>
        </row>
        <row r="256">
          <cell r="D256" t="str">
            <v>C1573</v>
          </cell>
          <cell r="E256" t="str">
            <v xml:space="preserve"> RE44 Relance Téléphonique Offre Seniors Canalsat </v>
          </cell>
          <cell r="F256" t="str">
            <v>devis</v>
          </cell>
        </row>
        <row r="257">
          <cell r="D257" t="str">
            <v>C1574</v>
          </cell>
          <cell r="E257" t="str">
            <v xml:space="preserve">ST42 Transformation Satellite Page Magazine </v>
          </cell>
          <cell r="F257" t="str">
            <v>devis</v>
          </cell>
        </row>
        <row r="258">
          <cell r="D258" t="str">
            <v>C1575</v>
          </cell>
          <cell r="E258" t="str">
            <v>MJ11/RJ01/RJ02/RJ03/RJ04 Relance jeunes Canal+ Le Bouquet</v>
          </cell>
          <cell r="F258" t="str">
            <v>devis</v>
          </cell>
        </row>
        <row r="259">
          <cell r="D259" t="str">
            <v>C1576</v>
          </cell>
          <cell r="E259" t="str">
            <v xml:space="preserve">RPOR/RPSA/RPAD Relance Vague supplémentaire portefeuille C+ Le Bouquet </v>
          </cell>
          <cell r="F259" t="str">
            <v>devis</v>
          </cell>
        </row>
        <row r="260">
          <cell r="D260" t="str">
            <v>C1577</v>
          </cell>
          <cell r="E260" t="str">
            <v xml:space="preserve">17FP/18FP/19FP Relance FOOT+ </v>
          </cell>
          <cell r="F260" t="str">
            <v>devis</v>
          </cell>
        </row>
        <row r="261">
          <cell r="D261" t="str">
            <v>C1578</v>
          </cell>
          <cell r="E261" t="str">
            <v>HKD7 2007/11 Offres nationales</v>
          </cell>
          <cell r="F261" t="str">
            <v>devis</v>
          </cell>
        </row>
        <row r="262">
          <cell r="D262" t="str">
            <v>C1579</v>
          </cell>
          <cell r="E262" t="str">
            <v xml:space="preserve"> CKT1 Chèque de remboursement 2007</v>
          </cell>
          <cell r="F262" t="str">
            <v>devis</v>
          </cell>
        </row>
        <row r="263">
          <cell r="D263" t="str">
            <v>C1580</v>
          </cell>
          <cell r="E263" t="str">
            <v xml:space="preserve">TT1A/TT1B Procédure de rétention spécifique aux clients analogiques </v>
          </cell>
          <cell r="F263" t="str">
            <v>devis</v>
          </cell>
        </row>
        <row r="264">
          <cell r="D264" t="str">
            <v>C1581</v>
          </cell>
          <cell r="E264" t="str">
            <v>CTT1/CTT2 Procédure de rétention spécifique aux clients analogiques CTT1/CTT2</v>
          </cell>
          <cell r="F264" t="str">
            <v>devis</v>
          </cell>
        </row>
        <row r="265">
          <cell r="D265" t="str">
            <v>C1582</v>
          </cell>
          <cell r="E265" t="str">
            <v>14FP / 15 FP / 16 FP MAILINGS Foot +</v>
          </cell>
          <cell r="F265" t="str">
            <v>devis</v>
          </cell>
        </row>
        <row r="266">
          <cell r="D266" t="str">
            <v>C1583</v>
          </cell>
          <cell r="E266" t="str">
            <v xml:space="preserve"> ST41 Transformation sattelitte mailing 1207</v>
          </cell>
          <cell r="F266" t="str">
            <v>devis</v>
          </cell>
        </row>
        <row r="267">
          <cell r="D267" t="str">
            <v>C1584</v>
          </cell>
          <cell r="E267" t="str">
            <v>DTT3 Diagnostic abonnement transformation satellite</v>
          </cell>
          <cell r="F267" t="str">
            <v>devis</v>
          </cell>
        </row>
        <row r="268">
          <cell r="D268" t="str">
            <v>C1585</v>
          </cell>
          <cell r="E268" t="str">
            <v xml:space="preserve">Encart Passionnement 122007 </v>
          </cell>
          <cell r="F268" t="str">
            <v>devis</v>
          </cell>
        </row>
        <row r="269">
          <cell r="D269" t="str">
            <v>C1586</v>
          </cell>
          <cell r="E269" t="str">
            <v>CTT3,TT3A,TT3B Procédure de rétention spécifique aux clients analogiques</v>
          </cell>
          <cell r="F269" t="str">
            <v>devis</v>
          </cell>
        </row>
        <row r="270">
          <cell r="D270" t="str">
            <v>C1587</v>
          </cell>
          <cell r="E270" t="str">
            <v xml:space="preserve">FE44 OFFRE SENIOR CSAT - MAILING 11/07 OPERATIONS CIBLEES </v>
          </cell>
          <cell r="F270" t="str">
            <v>devis</v>
          </cell>
        </row>
        <row r="271">
          <cell r="D271" t="str">
            <v>C1588</v>
          </cell>
          <cell r="E271" t="str">
            <v xml:space="preserve">ST40 TRANSFORMATION SATELLITTE </v>
          </cell>
          <cell r="F271" t="str">
            <v>devis</v>
          </cell>
        </row>
        <row r="272">
          <cell r="D272" t="str">
            <v>C1589</v>
          </cell>
          <cell r="E272" t="str">
            <v xml:space="preserve">MDAM/MDSM Désabonnés 1107 </v>
          </cell>
          <cell r="F272" t="str">
            <v>devis</v>
          </cell>
        </row>
        <row r="273">
          <cell r="D273" t="str">
            <v>C1590</v>
          </cell>
          <cell r="E273" t="str">
            <v>TC 11-12-13 Canal+ le bouquet sur TPS relance téléphonique</v>
          </cell>
          <cell r="F273" t="str">
            <v>devis</v>
          </cell>
        </row>
        <row r="274">
          <cell r="D274" t="str">
            <v>C1591</v>
          </cell>
          <cell r="E274" t="str">
            <v xml:space="preserve">STC1/SCC1/SAC1/SBC1/SDC1/SGC1/STS1/SCS1/SAS1/SBS1/SDS1/SGS1Salariés de la distribution 09/07 </v>
          </cell>
          <cell r="F274" t="str">
            <v>devis</v>
          </cell>
        </row>
        <row r="275">
          <cell r="D275" t="str">
            <v>C1592</v>
          </cell>
          <cell r="E275" t="str">
            <v xml:space="preserve">IS40Transformation satellitte 11/2007 </v>
          </cell>
          <cell r="F275" t="str">
            <v>devis</v>
          </cell>
        </row>
        <row r="276">
          <cell r="D276" t="str">
            <v>C1593</v>
          </cell>
          <cell r="E276" t="str">
            <v>E50C/G50C/C50C/AC50 Leclerc / Geant Casino / Carrefour / Auchan Canal+ le bouquet bon d'achat de 50 €</v>
          </cell>
          <cell r="F276" t="str">
            <v>devis</v>
          </cell>
        </row>
        <row r="277">
          <cell r="D277" t="str">
            <v>C1594</v>
          </cell>
          <cell r="E277" t="str">
            <v xml:space="preserve"> 3910 NECS Antenne Satellitte Extra Plate </v>
          </cell>
          <cell r="F277" t="str">
            <v>devis</v>
          </cell>
        </row>
        <row r="278">
          <cell r="D278" t="str">
            <v>C1595</v>
          </cell>
          <cell r="E278" t="str">
            <v xml:space="preserve"> IEQ4, IEA4 Remboursement installation satellitte 2007 I</v>
          </cell>
          <cell r="F278" t="str">
            <v>devis</v>
          </cell>
        </row>
        <row r="279">
          <cell r="D279" t="str">
            <v>C1596</v>
          </cell>
          <cell r="E279" t="str">
            <v xml:space="preserve"> IE40 Remboursement installation satellitte 2007</v>
          </cell>
          <cell r="F279" t="str">
            <v>devis</v>
          </cell>
        </row>
        <row r="280">
          <cell r="D280" t="str">
            <v>C1597</v>
          </cell>
          <cell r="E280" t="str">
            <v xml:space="preserve"> RINQ - RINW Remboursement installation satellitte 2007 </v>
          </cell>
          <cell r="F280" t="str">
            <v>devis</v>
          </cell>
        </row>
        <row r="281">
          <cell r="D281" t="str">
            <v>C1598</v>
          </cell>
          <cell r="E281" t="str">
            <v xml:space="preserve">DTS3, DTNS, DTRT Diagnostic abonnement transformation satellite et numérique terrestre </v>
          </cell>
          <cell r="F281" t="str">
            <v>devis</v>
          </cell>
        </row>
        <row r="282">
          <cell r="D282" t="str">
            <v>C1599</v>
          </cell>
          <cell r="E282" t="str">
            <v xml:space="preserve">SP1C - SP1S Offres Salariés  Partenaires - Prestataires Canal+/Canalsat </v>
          </cell>
          <cell r="F282" t="str">
            <v>devis</v>
          </cell>
        </row>
        <row r="283">
          <cell r="D283" t="str">
            <v>C1600</v>
          </cell>
          <cell r="E283" t="str">
            <v>CGA : chdt adresse / RIB</v>
          </cell>
          <cell r="F283" t="str">
            <v>grille</v>
          </cell>
        </row>
        <row r="284">
          <cell r="D284" t="str">
            <v>C1601</v>
          </cell>
          <cell r="E284" t="str">
            <v>Coupon de fidélisation</v>
          </cell>
          <cell r="F284" t="str">
            <v>hrs</v>
          </cell>
        </row>
        <row r="285">
          <cell r="D285" t="str">
            <v>C1602</v>
          </cell>
          <cell r="E285" t="str">
            <v>Anniversaire carrefour, bon d'achat 75 €</v>
          </cell>
          <cell r="F285" t="str">
            <v>devis</v>
          </cell>
        </row>
        <row r="286">
          <cell r="D286" t="str">
            <v>C1603</v>
          </cell>
          <cell r="E286" t="str">
            <v>Coupon d'offre d'abonnement Bar Sat BA10 + BA11+ BA09</v>
          </cell>
          <cell r="F286" t="str">
            <v>devis</v>
          </cell>
        </row>
        <row r="287">
          <cell r="D287" t="str">
            <v>C1604</v>
          </cell>
          <cell r="E287" t="str">
            <v>TOPAGE GAGNANTS CUISINE TV CODE  GCTL</v>
          </cell>
          <cell r="F287" t="str">
            <v>grille</v>
          </cell>
        </row>
        <row r="288">
          <cell r="D288" t="str">
            <v>C1605</v>
          </cell>
          <cell r="E288" t="str">
            <v>Opération 20 jours promo France Télécom : MP3 pour 1 €</v>
          </cell>
          <cell r="F288" t="str">
            <v>devis</v>
          </cell>
        </row>
        <row r="289">
          <cell r="D289" t="str">
            <v>C1606</v>
          </cell>
          <cell r="E289" t="str">
            <v>Encart FOOT+ saison Oct06 : code FPCP  FPCS</v>
          </cell>
          <cell r="F289" t="str">
            <v>devis</v>
          </cell>
        </row>
        <row r="290">
          <cell r="D290" t="str">
            <v>C1607</v>
          </cell>
          <cell r="E290" t="str">
            <v>Topage FTPS sur retour coupon Foot + TPS</v>
          </cell>
          <cell r="F290" t="str">
            <v>devis</v>
          </cell>
        </row>
        <row r="291">
          <cell r="D291" t="str">
            <v>C1608</v>
          </cell>
          <cell r="E291" t="str">
            <v>OP Saint Nicolas Chiken Little</v>
          </cell>
          <cell r="F291" t="str">
            <v>devis</v>
          </cell>
        </row>
        <row r="292">
          <cell r="D292" t="str">
            <v>C1609</v>
          </cell>
          <cell r="E292" t="str">
            <v xml:space="preserve">MAILING FOOT + 13FP </v>
          </cell>
          <cell r="F292" t="str">
            <v>devis</v>
          </cell>
        </row>
        <row r="293">
          <cell r="D293" t="str">
            <v>C1610</v>
          </cell>
          <cell r="E293" t="str">
            <v>Coupon Foot + abonnement FCT0 à FCT9, FRF1, FRF4, FDT1, FDT4…</v>
          </cell>
          <cell r="F293" t="str">
            <v>grille</v>
          </cell>
        </row>
        <row r="294">
          <cell r="D294" t="str">
            <v>C1611</v>
          </cell>
          <cell r="E294" t="str">
            <v>RE11 - RE12 - RE13</v>
          </cell>
          <cell r="F294" t="str">
            <v>devis</v>
          </cell>
        </row>
        <row r="295">
          <cell r="D295" t="str">
            <v>C1612</v>
          </cell>
          <cell r="E295" t="str">
            <v>Fichier régul adsl (AMAP)</v>
          </cell>
          <cell r="F295" t="str">
            <v>grille</v>
          </cell>
        </row>
        <row r="296">
          <cell r="D296" t="str">
            <v>C1613</v>
          </cell>
          <cell r="E296" t="str">
            <v>MAILING FRISSONS code : LFR1 / LFR2 / LFR3</v>
          </cell>
          <cell r="F296" t="str">
            <v>devis</v>
          </cell>
        </row>
        <row r="297">
          <cell r="D297" t="str">
            <v>C1614</v>
          </cell>
          <cell r="E297" t="str">
            <v>Passionnement 4 MG</v>
          </cell>
          <cell r="F297" t="str">
            <v>devis</v>
          </cell>
        </row>
        <row r="298">
          <cell r="D298" t="str">
            <v>C1615</v>
          </cell>
          <cell r="E298" t="str">
            <v>Option Playin TV</v>
          </cell>
          <cell r="F298" t="str">
            <v>devis</v>
          </cell>
        </row>
        <row r="299">
          <cell r="D299" t="str">
            <v>C1616</v>
          </cell>
          <cell r="E299" t="str">
            <v>OP SAMSUMG SAHD</v>
          </cell>
          <cell r="F299" t="str">
            <v>devis</v>
          </cell>
        </row>
        <row r="300">
          <cell r="D300" t="str">
            <v>C1617</v>
          </cell>
          <cell r="E300" t="str">
            <v>Hotel Première Classe PCL1</v>
          </cell>
          <cell r="F300" t="str">
            <v>devis</v>
          </cell>
        </row>
        <row r="301">
          <cell r="D301" t="str">
            <v>C1618</v>
          </cell>
          <cell r="E301" t="str">
            <v>TOPAGE GAGNANTS CESAR 2007 CODE GDCE GCCE</v>
          </cell>
          <cell r="F301" t="str">
            <v>grille</v>
          </cell>
        </row>
        <row r="302">
          <cell r="D302" t="str">
            <v>C1619</v>
          </cell>
          <cell r="E302" t="str">
            <v>TOPAGE GAGNANTS AREVA CODE GBAC GTAC GCAC GPAC</v>
          </cell>
          <cell r="F302" t="str">
            <v>grille</v>
          </cell>
        </row>
        <row r="303">
          <cell r="D303" t="str">
            <v>C1620</v>
          </cell>
          <cell r="E303" t="str">
            <v>Opérations facturables</v>
          </cell>
          <cell r="F303" t="str">
            <v>hrs</v>
          </cell>
        </row>
        <row r="304">
          <cell r="D304" t="str">
            <v>C1621</v>
          </cell>
          <cell r="E304" t="str">
            <v>MAILING SEASONS 09/07</v>
          </cell>
          <cell r="F304" t="str">
            <v>devis</v>
          </cell>
        </row>
        <row r="305">
          <cell r="D305" t="str">
            <v>C1622</v>
          </cell>
          <cell r="E305" t="str">
            <v>TOPAGE CESAR CODE PCEW</v>
          </cell>
          <cell r="F305" t="str">
            <v>grille</v>
          </cell>
        </row>
        <row r="306">
          <cell r="D306" t="str">
            <v>C1623</v>
          </cell>
          <cell r="E306" t="str">
            <v>COUPONS OPTION HORIZONS CODE DHOR E3MG</v>
          </cell>
          <cell r="F306" t="str">
            <v>grille</v>
          </cell>
        </row>
        <row r="307">
          <cell r="D307" t="str">
            <v>C1624</v>
          </cell>
          <cell r="E307" t="str">
            <v>COUPON DE REFIDELISATION</v>
          </cell>
          <cell r="F307" t="str">
            <v>devis</v>
          </cell>
        </row>
        <row r="308">
          <cell r="D308" t="str">
            <v>C1625</v>
          </cell>
          <cell r="E308" t="str">
            <v>CANALSAT OPERATION PASSIONEMENT</v>
          </cell>
          <cell r="F308" t="str">
            <v>devis</v>
          </cell>
        </row>
        <row r="309">
          <cell r="D309" t="str">
            <v>C1626</v>
          </cell>
          <cell r="E309" t="str">
            <v>TOPAGE GAGNANT CINEMA CODE GCES.CAN</v>
          </cell>
          <cell r="F309" t="str">
            <v>grille</v>
          </cell>
        </row>
        <row r="310">
          <cell r="D310" t="str">
            <v>C1627</v>
          </cell>
          <cell r="E310" t="str">
            <v>CREATION DE PROSPECTS AIRS</v>
          </cell>
          <cell r="F310" t="str">
            <v>devis</v>
          </cell>
        </row>
        <row r="311">
          <cell r="D311" t="str">
            <v>C1628</v>
          </cell>
          <cell r="E311" t="str">
            <v>annulation courrier médiasat/AGAC</v>
          </cell>
          <cell r="F311" t="str">
            <v>grille</v>
          </cell>
        </row>
        <row r="312">
          <cell r="D312" t="str">
            <v>C1629</v>
          </cell>
          <cell r="E312" t="str">
            <v>opération trade auchan samsung</v>
          </cell>
          <cell r="F312" t="str">
            <v>devis</v>
          </cell>
        </row>
        <row r="313">
          <cell r="D313" t="str">
            <v>C1630</v>
          </cell>
          <cell r="E313" t="str">
            <v>Traitement retour matériel</v>
          </cell>
          <cell r="F313" t="str">
            <v>hrs</v>
          </cell>
        </row>
        <row r="314">
          <cell r="D314" t="str">
            <v>C1631</v>
          </cell>
          <cell r="E314" t="str">
            <v>OP CROSS SELLING ORANGE</v>
          </cell>
          <cell r="F314" t="str">
            <v>devis</v>
          </cell>
        </row>
        <row r="315">
          <cell r="D315" t="str">
            <v>C1632</v>
          </cell>
          <cell r="E315" t="str">
            <v>Simple page transformation 07, 08 - 2007 code NET1</v>
          </cell>
          <cell r="F315" t="str">
            <v>devis</v>
          </cell>
        </row>
        <row r="316">
          <cell r="D316" t="str">
            <v>C1633</v>
          </cell>
          <cell r="E316" t="str">
            <v>Option Multi + 5€/mois au lieu de 10€ pendant 1 an</v>
          </cell>
          <cell r="F316" t="str">
            <v>devis</v>
          </cell>
        </row>
        <row r="317">
          <cell r="D317" t="str">
            <v>C1634</v>
          </cell>
          <cell r="E317" t="str">
            <v>ENCARTS FOOT+ RELANCE TELEPHONIQUE code R06F / R08F / R07F</v>
          </cell>
          <cell r="F317" t="str">
            <v>devis</v>
          </cell>
        </row>
        <row r="318">
          <cell r="D318" t="str">
            <v>C1635</v>
          </cell>
          <cell r="E318" t="str">
            <v>TIQ1 TIQ2 TIA1 TIA2</v>
          </cell>
          <cell r="F318" t="str">
            <v>devis</v>
          </cell>
        </row>
        <row r="319">
          <cell r="D319" t="str">
            <v>C1636</v>
          </cell>
          <cell r="E319" t="str">
            <v>SCD5/CKD5</v>
          </cell>
          <cell r="F319" t="str">
            <v>devis</v>
          </cell>
        </row>
        <row r="320">
          <cell r="D320" t="str">
            <v>C1637</v>
          </cell>
          <cell r="E320" t="str">
            <v>Canalsat Carte Cadeau de 50 € C50S/L50S/G50S 082007</v>
          </cell>
          <cell r="F320" t="str">
            <v>devis</v>
          </cell>
        </row>
        <row r="321">
          <cell r="D321" t="str">
            <v>C1638</v>
          </cell>
          <cell r="E321" t="str">
            <v>Offre SKD6-CKD6</v>
          </cell>
          <cell r="F321" t="str">
            <v>devis</v>
          </cell>
        </row>
        <row r="322">
          <cell r="D322" t="str">
            <v>C1639</v>
          </cell>
          <cell r="E322" t="str">
            <v>Topage cartes et clefs seules</v>
          </cell>
          <cell r="F322" t="str">
            <v>grille</v>
          </cell>
        </row>
        <row r="323">
          <cell r="D323" t="str">
            <v>C1640</v>
          </cell>
          <cell r="E323" t="str">
            <v>Traitement chèque PI</v>
          </cell>
          <cell r="F323" t="str">
            <v>hrs</v>
          </cell>
        </row>
        <row r="324">
          <cell r="D324" t="str">
            <v>C1641</v>
          </cell>
          <cell r="E324" t="str">
            <v>CHT2 Simple page transformation satellite 09/2007</v>
          </cell>
          <cell r="F324" t="str">
            <v>devis</v>
          </cell>
        </row>
        <row r="325">
          <cell r="D325" t="str">
            <v>C1642</v>
          </cell>
          <cell r="E325" t="str">
            <v xml:space="preserve">TNG3 - TNA3 Transformation 0907 code : </v>
          </cell>
          <cell r="F325" t="str">
            <v>devis</v>
          </cell>
        </row>
        <row r="326">
          <cell r="D326" t="str">
            <v>C1643</v>
          </cell>
          <cell r="E326" t="str">
            <v>HCS3 - HCA3 Habitat collectif sur offre code</v>
          </cell>
          <cell r="F326" t="str">
            <v>devis</v>
          </cell>
        </row>
        <row r="327">
          <cell r="D327" t="str">
            <v>C1644</v>
          </cell>
          <cell r="E327" t="str">
            <v xml:space="preserve"> IPCS Remboursement installation satellitte 2007</v>
          </cell>
          <cell r="F327" t="str">
            <v>devis</v>
          </cell>
        </row>
        <row r="328">
          <cell r="D328" t="str">
            <v>C1646</v>
          </cell>
          <cell r="E328" t="str">
            <v xml:space="preserve">CHK8 et CHK9 Offre d'installation </v>
          </cell>
          <cell r="F328" t="str">
            <v>devis</v>
          </cell>
        </row>
        <row r="329">
          <cell r="D329" t="str">
            <v>C1647</v>
          </cell>
          <cell r="E329" t="str">
            <v>Offre installation 012007 code DTS1 et DTS2</v>
          </cell>
          <cell r="F329" t="str">
            <v>devis</v>
          </cell>
        </row>
        <row r="330">
          <cell r="D330" t="str">
            <v>C1648</v>
          </cell>
          <cell r="E330" t="str">
            <v>Carrefour Carte Cadeau de 30 € code C30C C30S</v>
          </cell>
          <cell r="F330" t="str">
            <v>devis</v>
          </cell>
        </row>
        <row r="331">
          <cell r="D331" t="str">
            <v>C1649</v>
          </cell>
          <cell r="E331" t="str">
            <v>Auchan Bon d'achat de 30 € code A30C A30S</v>
          </cell>
          <cell r="F331" t="str">
            <v>devis</v>
          </cell>
        </row>
        <row r="332">
          <cell r="D332" t="str">
            <v>C1650</v>
          </cell>
          <cell r="E332" t="str">
            <v>Tri courrier CANAL+</v>
          </cell>
          <cell r="F332" t="str">
            <v>hrs</v>
          </cell>
        </row>
        <row r="333">
          <cell r="D333" t="str">
            <v>C1651</v>
          </cell>
          <cell r="E333" t="str">
            <v>Encarts parrainage Canalsat 23IF 24IF 25IF 26IF 27IF</v>
          </cell>
          <cell r="F333" t="str">
            <v>devis</v>
          </cell>
        </row>
        <row r="334">
          <cell r="D334" t="str">
            <v>C1652</v>
          </cell>
          <cell r="E334" t="str">
            <v xml:space="preserve">Mailing  ASEP code TNOF TN40 offerte ou ASEP à 40 € </v>
          </cell>
          <cell r="F334" t="str">
            <v>devis</v>
          </cell>
        </row>
        <row r="335">
          <cell r="D335" t="str">
            <v>C1653</v>
          </cell>
          <cell r="E335" t="str">
            <v>Mailing de transformation offre d'installation 99€ code TN99</v>
          </cell>
          <cell r="F335" t="str">
            <v>devis</v>
          </cell>
        </row>
        <row r="336">
          <cell r="D336" t="str">
            <v>C1654</v>
          </cell>
          <cell r="E336" t="str">
            <v>Parrainage Canalsat simple double face relais Web avril 2007 20IF 22IF</v>
          </cell>
          <cell r="F336" t="str">
            <v>devis</v>
          </cell>
        </row>
        <row r="337">
          <cell r="D337" t="str">
            <v>C1655</v>
          </cell>
          <cell r="E337" t="str">
            <v>Encart EN19 EN20 EN21 EN22 EN23 analogique avril 2007</v>
          </cell>
          <cell r="F337" t="str">
            <v>devis</v>
          </cell>
        </row>
        <row r="338">
          <cell r="D338" t="str">
            <v>C1656</v>
          </cell>
          <cell r="E338" t="str">
            <v>OP Carrefour catalogue fetes des meres</v>
          </cell>
          <cell r="F338" t="str">
            <v>devis</v>
          </cell>
        </row>
        <row r="339">
          <cell r="D339" t="str">
            <v>C1657</v>
          </cell>
          <cell r="E339" t="str">
            <v>OP Auchan  carte cadeau "A30C" canal+ le bouquet</v>
          </cell>
          <cell r="F339" t="str">
            <v>devis</v>
          </cell>
        </row>
        <row r="340">
          <cell r="D340" t="str">
            <v>C1658</v>
          </cell>
          <cell r="E340" t="str">
            <v>OP coffret DVD THE SHIELD saison 3 code "CSS3"</v>
          </cell>
          <cell r="F340" t="str">
            <v>devis</v>
          </cell>
        </row>
        <row r="341">
          <cell r="D341" t="str">
            <v>C1659</v>
          </cell>
          <cell r="E341" t="str">
            <v>Offre TRS7 TRS9 TRN1 TRN2</v>
          </cell>
          <cell r="F341" t="str">
            <v>devis</v>
          </cell>
        </row>
        <row r="342">
          <cell r="D342" t="str">
            <v>C1660</v>
          </cell>
          <cell r="E342" t="str">
            <v>Traitement des rejets</v>
          </cell>
          <cell r="F342" t="str">
            <v>sans</v>
          </cell>
        </row>
        <row r="343">
          <cell r="D343" t="str">
            <v>C1661</v>
          </cell>
          <cell r="E343" t="str">
            <v>BOULANGER CANALSAT  CARTE CADEAU DE 50 €  BOU3</v>
          </cell>
          <cell r="F343" t="str">
            <v>devis</v>
          </cell>
        </row>
        <row r="344">
          <cell r="D344" t="str">
            <v>C1662</v>
          </cell>
          <cell r="E344" t="str">
            <v>NEC 1 NES  1Offre nationale de remboursement Antenne Extra Plate</v>
          </cell>
          <cell r="F344" t="str">
            <v>devis</v>
          </cell>
        </row>
        <row r="345">
          <cell r="D345" t="str">
            <v>C1663</v>
          </cell>
          <cell r="E345" t="str">
            <v xml:space="preserve"> TIN Simple page transformation satellite </v>
          </cell>
          <cell r="F345" t="str">
            <v>devis</v>
          </cell>
        </row>
        <row r="346">
          <cell r="D346" t="str">
            <v>C1664</v>
          </cell>
          <cell r="E346" t="str">
            <v xml:space="preserve">TAN Simple page transformation satellite </v>
          </cell>
          <cell r="F346" t="str">
            <v>devis</v>
          </cell>
        </row>
        <row r="347">
          <cell r="D347" t="str">
            <v>C1665</v>
          </cell>
          <cell r="E347" t="str">
            <v xml:space="preserve">C75C - C75S Carrefour Canal + Le bouquet et/ou Canalsat BON D ACHAT 75 € </v>
          </cell>
          <cell r="F347" t="str">
            <v>devis</v>
          </cell>
        </row>
        <row r="348">
          <cell r="D348" t="str">
            <v>C1666</v>
          </cell>
          <cell r="E348" t="str">
            <v xml:space="preserve">AUCN - AUSN Auchan Canal+ le bouquet et/ou Canalsat ASEP offerte à hauteur de 75 € </v>
          </cell>
          <cell r="F348" t="str">
            <v>devis</v>
          </cell>
        </row>
        <row r="349">
          <cell r="D349" t="str">
            <v>C1667</v>
          </cell>
          <cell r="E349" t="str">
            <v>foot +    03FP / 04FP / 05FP / 06FP / 07FP / 08FP</v>
          </cell>
          <cell r="F349" t="str">
            <v>grille</v>
          </cell>
        </row>
        <row r="350">
          <cell r="D350" t="str">
            <v>C1668</v>
          </cell>
          <cell r="E350" t="str">
            <v>Coupon Foot+ sans code</v>
          </cell>
          <cell r="F350" t="str">
            <v>grille</v>
          </cell>
        </row>
        <row r="351">
          <cell r="D351" t="str">
            <v>C1669</v>
          </cell>
          <cell r="E351" t="str">
            <v>Coupon Foot+ CAFO</v>
          </cell>
          <cell r="F351" t="str">
            <v>grille</v>
          </cell>
        </row>
        <row r="352">
          <cell r="D352" t="str">
            <v>C1670</v>
          </cell>
          <cell r="E352" t="str">
            <v>FOOT + Résiliation</v>
          </cell>
          <cell r="F352" t="str">
            <v>grille</v>
          </cell>
        </row>
        <row r="353">
          <cell r="D353" t="str">
            <v>C1671</v>
          </cell>
          <cell r="E353" t="str">
            <v>Résil Foot + email</v>
          </cell>
          <cell r="F353" t="str">
            <v>grille</v>
          </cell>
        </row>
        <row r="354">
          <cell r="D354" t="str">
            <v>C1672</v>
          </cell>
          <cell r="E354" t="str">
            <v>FOOT + CNIL</v>
          </cell>
          <cell r="F354" t="str">
            <v>grille</v>
          </cell>
        </row>
        <row r="355">
          <cell r="D355" t="str">
            <v>C1673</v>
          </cell>
          <cell r="E355" t="str">
            <v>FOOT + Résiliation TSA90006 code CRF+</v>
          </cell>
          <cell r="F355" t="str">
            <v>grille</v>
          </cell>
        </row>
        <row r="356">
          <cell r="D356" t="str">
            <v>C1674</v>
          </cell>
          <cell r="E356" t="str">
            <v xml:space="preserve">FDT3 FDT4 FOOT + Saison Canal + Canalsat 022007 </v>
          </cell>
          <cell r="F356" t="str">
            <v>grille</v>
          </cell>
        </row>
        <row r="357">
          <cell r="D357" t="str">
            <v>C1675</v>
          </cell>
          <cell r="E357" t="str">
            <v>CARTE CADEAU DARTY 30€   CD30 / TD30 / D330</v>
          </cell>
          <cell r="F357" t="str">
            <v>devis</v>
          </cell>
        </row>
        <row r="358">
          <cell r="D358" t="str">
            <v>C1676</v>
          </cell>
          <cell r="E358" t="str">
            <v>PAGE FRISSONS</v>
          </cell>
          <cell r="F358" t="str">
            <v>devis</v>
          </cell>
        </row>
        <row r="359">
          <cell r="D359" t="str">
            <v>C1677</v>
          </cell>
          <cell r="E359" t="str">
            <v>CELLULE AUTRES FLUX TRAITEMENTS</v>
          </cell>
          <cell r="F359" t="str">
            <v>hrs</v>
          </cell>
        </row>
        <row r="360">
          <cell r="D360" t="str">
            <v>C1678</v>
          </cell>
          <cell r="E360" t="str">
            <v>Ouverture Courrier Cellule autres Flux</v>
          </cell>
          <cell r="F360" t="str">
            <v>hrs</v>
          </cell>
        </row>
        <row r="361">
          <cell r="D361" t="str">
            <v>C1679</v>
          </cell>
          <cell r="E361" t="str">
            <v xml:space="preserve">10FP 11FP 12FP MAILING FOOT+ </v>
          </cell>
          <cell r="F361" t="str">
            <v>devis</v>
          </cell>
        </row>
        <row r="362">
          <cell r="D362" t="str">
            <v>C1680</v>
          </cell>
          <cell r="E362" t="str">
            <v xml:space="preserve">CGA : CRM </v>
          </cell>
          <cell r="F362" t="str">
            <v>devis</v>
          </cell>
        </row>
        <row r="363">
          <cell r="D363" t="str">
            <v>C1681</v>
          </cell>
          <cell r="E363" t="str">
            <v xml:space="preserve"> CHT1 simple page transformation 07,08-2007 </v>
          </cell>
          <cell r="F363" t="str">
            <v>devis</v>
          </cell>
        </row>
        <row r="364">
          <cell r="D364" t="str">
            <v>C1682</v>
          </cell>
          <cell r="E364" t="str">
            <v xml:space="preserve"> AUTP Auchan serie limitee tnt + polo rugby code </v>
          </cell>
          <cell r="F364" t="str">
            <v>devis</v>
          </cell>
        </row>
        <row r="365">
          <cell r="D365" t="str">
            <v>C1683</v>
          </cell>
          <cell r="E365" t="str">
            <v xml:space="preserve"> BOTB Boulanger SERIE LIMITEE TNT + BALLON RUGBY </v>
          </cell>
          <cell r="F365" t="str">
            <v>devis</v>
          </cell>
        </row>
        <row r="366">
          <cell r="D366" t="str">
            <v>C1684</v>
          </cell>
          <cell r="E366" t="str">
            <v>Transformation vers Satellite 092007 DTS3 + Prolongation à partir du 01/09</v>
          </cell>
          <cell r="F366" t="str">
            <v>devis</v>
          </cell>
        </row>
        <row r="367">
          <cell r="D367" t="str">
            <v>C1685</v>
          </cell>
          <cell r="E367" t="str">
            <v>Coupon de transformation</v>
          </cell>
          <cell r="F367" t="str">
            <v>devis</v>
          </cell>
        </row>
        <row r="368">
          <cell r="D368" t="str">
            <v>C1686</v>
          </cell>
          <cell r="E368" t="str">
            <v>Coupon d'offre d'abonnement PL06  SL11 SL12</v>
          </cell>
          <cell r="F368" t="str">
            <v>devis</v>
          </cell>
        </row>
        <row r="369">
          <cell r="D369" t="str">
            <v>C1687</v>
          </cell>
          <cell r="E369" t="str">
            <v>COUPON T958</v>
          </cell>
          <cell r="F369" t="str">
            <v>devis</v>
          </cell>
        </row>
        <row r="370">
          <cell r="D370" t="str">
            <v>C1688</v>
          </cell>
          <cell r="E370" t="str">
            <v>LECLERC BON ACHAT DE 50€ L50C</v>
          </cell>
          <cell r="F370" t="str">
            <v>devis</v>
          </cell>
        </row>
        <row r="371">
          <cell r="D371" t="str">
            <v>C1689</v>
          </cell>
          <cell r="E371" t="str">
            <v>programme de catégorie V</v>
          </cell>
          <cell r="F371" t="str">
            <v>devis</v>
          </cell>
        </row>
        <row r="372">
          <cell r="D372" t="str">
            <v>C1690</v>
          </cell>
          <cell r="E372" t="str">
            <v xml:space="preserve">A50C Auchan Canal + Le Bouquet Sat ou TNT Bon d'achat 75 €  </v>
          </cell>
          <cell r="F372" t="str">
            <v>devis</v>
          </cell>
        </row>
        <row r="373">
          <cell r="D373" t="str">
            <v>C1691</v>
          </cell>
          <cell r="E373" t="str">
            <v>Topage IN0606</v>
          </cell>
          <cell r="F373" t="str">
            <v>grille</v>
          </cell>
        </row>
        <row r="374">
          <cell r="D374" t="str">
            <v>C1692</v>
          </cell>
          <cell r="E374" t="str">
            <v xml:space="preserve">CTSD DARTY Canal + Le Bouquet bon d'achat de 50 € </v>
          </cell>
          <cell r="F374" t="str">
            <v>devis</v>
          </cell>
        </row>
        <row r="375">
          <cell r="D375" t="str">
            <v>C1693</v>
          </cell>
          <cell r="E375" t="str">
            <v>B75C BOULANGER Canal + Le Bouquet Sat ou TNT Chèque Cadeau de 75 €</v>
          </cell>
          <cell r="F375" t="str">
            <v>devis</v>
          </cell>
        </row>
        <row r="376">
          <cell r="D376" t="str">
            <v>C1694</v>
          </cell>
          <cell r="E376" t="str">
            <v xml:space="preserve"> IN40 Transformation Satellitte 10/2007</v>
          </cell>
          <cell r="F376" t="str">
            <v>devis</v>
          </cell>
        </row>
        <row r="377">
          <cell r="D377" t="str">
            <v>C1695</v>
          </cell>
          <cell r="E377" t="str">
            <v xml:space="preserve">A50S Auchan Canalsat Bon d'achat de 75 € </v>
          </cell>
          <cell r="F377" t="str">
            <v>devis</v>
          </cell>
        </row>
        <row r="378">
          <cell r="D378" t="str">
            <v>C1696</v>
          </cell>
          <cell r="E378" t="str">
            <v>FXV1-FXV2-FXV3</v>
          </cell>
          <cell r="F378" t="str">
            <v>hrs</v>
          </cell>
        </row>
        <row r="379">
          <cell r="D379" t="str">
            <v>C1697</v>
          </cell>
          <cell r="E379" t="str">
            <v>AUCHAN CANALSAT code AUCT</v>
          </cell>
          <cell r="F379" t="str">
            <v>devis</v>
          </cell>
        </row>
        <row r="380">
          <cell r="D380" t="str">
            <v>C1698</v>
          </cell>
          <cell r="E380" t="str">
            <v>Remboursement adaptateur TNT auchan canal + le Bouquet via la TNT code ACC1</v>
          </cell>
          <cell r="F380" t="str">
            <v>devis</v>
          </cell>
        </row>
        <row r="381">
          <cell r="D381" t="str">
            <v>C1699</v>
          </cell>
          <cell r="E381" t="str">
            <v>Offre néovia offerte</v>
          </cell>
          <cell r="F381" t="str">
            <v>devis</v>
          </cell>
        </row>
        <row r="382">
          <cell r="D382" t="str">
            <v>C1700</v>
          </cell>
          <cell r="E382" t="str">
            <v>Archivage</v>
          </cell>
          <cell r="F382" t="str">
            <v>sans</v>
          </cell>
        </row>
        <row r="383">
          <cell r="D383" t="str">
            <v>C1710</v>
          </cell>
          <cell r="E383" t="str">
            <v>Recherche archive</v>
          </cell>
          <cell r="F383" t="str">
            <v>sans</v>
          </cell>
        </row>
        <row r="384">
          <cell r="D384" t="str">
            <v>C1720</v>
          </cell>
          <cell r="E384" t="str">
            <v>Expédition archive</v>
          </cell>
          <cell r="F384" t="str">
            <v>hrs</v>
          </cell>
        </row>
        <row r="385">
          <cell r="D385" t="str">
            <v>C1800</v>
          </cell>
          <cell r="E385" t="str">
            <v>Manutention</v>
          </cell>
          <cell r="F385" t="str">
            <v>sans</v>
          </cell>
        </row>
        <row r="386">
          <cell r="D386" t="str">
            <v>C1900</v>
          </cell>
          <cell r="E386" t="str">
            <v>Formation DIF</v>
          </cell>
          <cell r="F386" t="str">
            <v>sans</v>
          </cell>
        </row>
        <row r="387">
          <cell r="D387" t="str">
            <v>C1911</v>
          </cell>
          <cell r="E387" t="str">
            <v>Reunion de travail</v>
          </cell>
          <cell r="F387" t="str">
            <v>sans</v>
          </cell>
        </row>
        <row r="388">
          <cell r="D388" t="str">
            <v>C1912</v>
          </cell>
          <cell r="E388" t="str">
            <v>Hrs sociales</v>
          </cell>
          <cell r="F388" t="str">
            <v>sans</v>
          </cell>
        </row>
        <row r="389">
          <cell r="D389" t="str">
            <v>C1913</v>
          </cell>
          <cell r="E389" t="str">
            <v>Coordination</v>
          </cell>
          <cell r="F389" t="str">
            <v>sans</v>
          </cell>
        </row>
        <row r="390">
          <cell r="D390" t="str">
            <v>C1914</v>
          </cell>
          <cell r="E390" t="str">
            <v>Contrôle qualité qualification</v>
          </cell>
          <cell r="F390" t="str">
            <v>sans</v>
          </cell>
        </row>
        <row r="391">
          <cell r="D391" t="str">
            <v>C1915</v>
          </cell>
          <cell r="E391" t="str">
            <v>Formation</v>
          </cell>
          <cell r="F391" t="str">
            <v>sans</v>
          </cell>
        </row>
        <row r="392">
          <cell r="D392" t="str">
            <v>C1916</v>
          </cell>
          <cell r="E392" t="str">
            <v>Contrôle Qualité Lot 7</v>
          </cell>
          <cell r="F392" t="str">
            <v>hrs</v>
          </cell>
        </row>
        <row r="393">
          <cell r="D393" t="str">
            <v>C1918</v>
          </cell>
          <cell r="E393" t="str">
            <v>Suivi de Production</v>
          </cell>
          <cell r="F393" t="str">
            <v>sans</v>
          </cell>
        </row>
        <row r="394">
          <cell r="D394" t="str">
            <v>C1999</v>
          </cell>
          <cell r="E394" t="str">
            <v>Affectation autre service</v>
          </cell>
          <cell r="F394" t="str">
            <v>sans</v>
          </cell>
        </row>
        <row r="395">
          <cell r="D395" t="str">
            <v>C1637A</v>
          </cell>
          <cell r="E395" t="str">
            <v>Prolongation Leclerc Canalsat Bon d'achat de 50 € L50S</v>
          </cell>
          <cell r="F395" t="str">
            <v>devis</v>
          </cell>
        </row>
        <row r="396">
          <cell r="D396" t="str">
            <v>C1645a</v>
          </cell>
          <cell r="E396" t="str">
            <v>CHK7</v>
          </cell>
          <cell r="F396" t="str">
            <v>devis</v>
          </cell>
        </row>
        <row r="397">
          <cell r="D397" t="str">
            <v>C1645b</v>
          </cell>
          <cell r="E397" t="str">
            <v>Contrôle qualité CHK7</v>
          </cell>
          <cell r="F397" t="str">
            <v>hrs</v>
          </cell>
        </row>
        <row r="398">
          <cell r="D398" t="str">
            <v>C1694a</v>
          </cell>
          <cell r="E398" t="str">
            <v>ckd4-skd4</v>
          </cell>
          <cell r="F398" t="str">
            <v>hrs</v>
          </cell>
        </row>
        <row r="399">
          <cell r="D399" t="str">
            <v>C1695a</v>
          </cell>
          <cell r="E399" t="str">
            <v>saisie CA :EN01-EN02-EN03 service +</v>
          </cell>
          <cell r="F399" t="str">
            <v>devis</v>
          </cell>
        </row>
        <row r="400">
          <cell r="D400" t="str">
            <v>C1695b</v>
          </cell>
          <cell r="E400" t="str">
            <v>contrôle qualité :EN01-EN02-EN03 service +</v>
          </cell>
          <cell r="F400" t="str">
            <v>hrs</v>
          </cell>
        </row>
        <row r="401">
          <cell r="D401" t="str">
            <v>2276-tri112</v>
          </cell>
          <cell r="E401" t="str">
            <v>tracing</v>
          </cell>
          <cell r="F401" t="str">
            <v>acte</v>
          </cell>
        </row>
        <row r="402">
          <cell r="D402" t="str">
            <v>2276-tri116</v>
          </cell>
          <cell r="E402" t="str">
            <v>contrôle manuel</v>
          </cell>
          <cell r="F402" t="str">
            <v>sans</v>
          </cell>
        </row>
        <row r="403">
          <cell r="D403" t="str">
            <v>2276-tri117</v>
          </cell>
          <cell r="E403" t="str">
            <v>contrôle retour</v>
          </cell>
          <cell r="F403" t="str">
            <v>hrs</v>
          </cell>
        </row>
        <row r="404">
          <cell r="D404" t="str">
            <v>2276-tri118</v>
          </cell>
          <cell r="E404" t="str">
            <v>colisage</v>
          </cell>
          <cell r="F404" t="str">
            <v>acte</v>
          </cell>
        </row>
        <row r="405">
          <cell r="D405" t="str">
            <v>2276-tri211</v>
          </cell>
          <cell r="E405" t="str">
            <v>ouverture courrier</v>
          </cell>
          <cell r="F405" t="str">
            <v>acte</v>
          </cell>
        </row>
        <row r="406">
          <cell r="D406" t="str">
            <v>2276-tri240</v>
          </cell>
          <cell r="E406" t="str">
            <v>contrôle qualite</v>
          </cell>
          <cell r="F406" t="str">
            <v>sans</v>
          </cell>
        </row>
        <row r="407">
          <cell r="D407" t="str">
            <v>2276-tri900</v>
          </cell>
          <cell r="E407" t="str">
            <v>Formation DIF</v>
          </cell>
          <cell r="F407" t="str">
            <v>sans</v>
          </cell>
        </row>
        <row r="408">
          <cell r="D408" t="str">
            <v>2276-tri913</v>
          </cell>
          <cell r="E408" t="str">
            <v>coordination</v>
          </cell>
          <cell r="F408" t="str">
            <v>sans</v>
          </cell>
        </row>
        <row r="409">
          <cell r="D409" t="str">
            <v>2276-tri915</v>
          </cell>
          <cell r="E409" t="str">
            <v>formation</v>
          </cell>
          <cell r="F409" t="str">
            <v>hrs</v>
          </cell>
        </row>
        <row r="410">
          <cell r="D410" t="str">
            <v>2276-t100</v>
          </cell>
          <cell r="E410" t="str">
            <v>panne</v>
          </cell>
          <cell r="F410" t="str">
            <v>sans</v>
          </cell>
        </row>
        <row r="411">
          <cell r="D411" t="str">
            <v>2276-t112</v>
          </cell>
          <cell r="E411" t="str">
            <v>tracing</v>
          </cell>
          <cell r="F411" t="str">
            <v>acte</v>
          </cell>
        </row>
        <row r="412">
          <cell r="D412" t="str">
            <v>2276-t115</v>
          </cell>
          <cell r="E412" t="str">
            <v>administratif</v>
          </cell>
          <cell r="F412" t="str">
            <v>sans</v>
          </cell>
        </row>
        <row r="413">
          <cell r="D413" t="str">
            <v>2276-t210</v>
          </cell>
          <cell r="E413" t="str">
            <v>contrôle conformité</v>
          </cell>
          <cell r="F413" t="str">
            <v>acte</v>
          </cell>
        </row>
        <row r="414">
          <cell r="D414" t="str">
            <v>2276-t211</v>
          </cell>
          <cell r="E414" t="str">
            <v>dépouillement</v>
          </cell>
          <cell r="F414" t="str">
            <v>acte</v>
          </cell>
        </row>
        <row r="415">
          <cell r="D415" t="str">
            <v>2276-t221</v>
          </cell>
          <cell r="E415" t="str">
            <v>saisie</v>
          </cell>
          <cell r="F415" t="str">
            <v>acte</v>
          </cell>
        </row>
        <row r="416">
          <cell r="D416" t="str">
            <v>2276-t240</v>
          </cell>
          <cell r="E416" t="str">
            <v>contrôle qualite</v>
          </cell>
          <cell r="F416" t="str">
            <v>sans</v>
          </cell>
        </row>
        <row r="417">
          <cell r="D417" t="str">
            <v>2276-t900</v>
          </cell>
          <cell r="E417" t="str">
            <v>Formation DIF</v>
          </cell>
          <cell r="F417" t="str">
            <v>sans</v>
          </cell>
        </row>
        <row r="418">
          <cell r="D418" t="str">
            <v>2276-t911</v>
          </cell>
          <cell r="E418" t="str">
            <v>réunion de travail</v>
          </cell>
          <cell r="F418" t="str">
            <v>sans</v>
          </cell>
        </row>
        <row r="419">
          <cell r="D419" t="str">
            <v>2276-t915</v>
          </cell>
          <cell r="E419" t="str">
            <v>formation</v>
          </cell>
          <cell r="F419" t="str">
            <v>sans</v>
          </cell>
        </row>
        <row r="420">
          <cell r="D420" t="str">
            <v>2276-p100</v>
          </cell>
          <cell r="E420" t="str">
            <v>panne</v>
          </cell>
          <cell r="F420" t="str">
            <v>sans</v>
          </cell>
        </row>
        <row r="421">
          <cell r="D421" t="str">
            <v>2276-p111</v>
          </cell>
          <cell r="E421" t="str">
            <v>archivage informatique</v>
          </cell>
          <cell r="F421" t="str">
            <v>forfait</v>
          </cell>
        </row>
        <row r="422">
          <cell r="D422" t="str">
            <v>2276-p112</v>
          </cell>
          <cell r="E422" t="str">
            <v>envoi agences et IL</v>
          </cell>
          <cell r="F422" t="str">
            <v>acte</v>
          </cell>
        </row>
        <row r="423">
          <cell r="D423" t="str">
            <v>2276-p113</v>
          </cell>
          <cell r="E423" t="str">
            <v>tri sequentiel</v>
          </cell>
          <cell r="F423" t="str">
            <v>acte</v>
          </cell>
        </row>
        <row r="424">
          <cell r="D424" t="str">
            <v>2276-p115</v>
          </cell>
          <cell r="E424" t="str">
            <v>admin</v>
          </cell>
          <cell r="F424" t="str">
            <v>sans</v>
          </cell>
        </row>
        <row r="425">
          <cell r="D425" t="str">
            <v>2276-p211</v>
          </cell>
          <cell r="E425" t="str">
            <v>dépouillement</v>
          </cell>
          <cell r="F425" t="str">
            <v>acte</v>
          </cell>
        </row>
        <row r="426">
          <cell r="D426" t="str">
            <v>2276-p212</v>
          </cell>
          <cell r="E426" t="str">
            <v>création de lot</v>
          </cell>
          <cell r="F426" t="str">
            <v>acte</v>
          </cell>
        </row>
        <row r="427">
          <cell r="D427" t="str">
            <v>2276-p221</v>
          </cell>
          <cell r="E427" t="str">
            <v>saisie</v>
          </cell>
          <cell r="F427" t="str">
            <v>acte</v>
          </cell>
        </row>
        <row r="428">
          <cell r="D428" t="str">
            <v>2276-p222</v>
          </cell>
          <cell r="E428" t="str">
            <v>tri ad7 ko</v>
          </cell>
          <cell r="F428" t="str">
            <v>hrs</v>
          </cell>
        </row>
        <row r="429">
          <cell r="D429" t="str">
            <v>2276-p240</v>
          </cell>
          <cell r="E429" t="str">
            <v>contrôle qualite</v>
          </cell>
          <cell r="F429" t="str">
            <v>sans</v>
          </cell>
        </row>
        <row r="430">
          <cell r="D430" t="str">
            <v>2276-p312</v>
          </cell>
          <cell r="E430" t="str">
            <v>tri courrier</v>
          </cell>
          <cell r="F430" t="str">
            <v>acte</v>
          </cell>
        </row>
        <row r="431">
          <cell r="D431" t="str">
            <v>2276-p313</v>
          </cell>
          <cell r="E431" t="str">
            <v>colisage</v>
          </cell>
          <cell r="F431" t="str">
            <v>acte</v>
          </cell>
        </row>
        <row r="432">
          <cell r="D432" t="str">
            <v>2276-p900</v>
          </cell>
          <cell r="E432" t="str">
            <v>Formation DIF</v>
          </cell>
          <cell r="F432" t="str">
            <v>sans</v>
          </cell>
        </row>
        <row r="433">
          <cell r="D433" t="str">
            <v>2276-p911</v>
          </cell>
          <cell r="E433" t="str">
            <v>réunion de travail</v>
          </cell>
          <cell r="F433" t="str">
            <v>sans</v>
          </cell>
        </row>
        <row r="434">
          <cell r="D434" t="str">
            <v>2276-p912</v>
          </cell>
          <cell r="E434" t="str">
            <v>heures sociales</v>
          </cell>
          <cell r="F434" t="str">
            <v>sans</v>
          </cell>
        </row>
        <row r="435">
          <cell r="D435" t="str">
            <v>2276-p913</v>
          </cell>
          <cell r="E435" t="str">
            <v>coordination</v>
          </cell>
          <cell r="F435" t="str">
            <v>sup</v>
          </cell>
        </row>
        <row r="436">
          <cell r="D436" t="str">
            <v>2276-p915</v>
          </cell>
          <cell r="E436" t="str">
            <v>formation</v>
          </cell>
          <cell r="F436" t="str">
            <v>sans</v>
          </cell>
        </row>
        <row r="437">
          <cell r="D437" t="str">
            <v>2276-p916</v>
          </cell>
          <cell r="E437" t="str">
            <v>nettoyage</v>
          </cell>
          <cell r="F437" t="str">
            <v>sans</v>
          </cell>
        </row>
        <row r="438">
          <cell r="D438" t="str">
            <v>2276-p917</v>
          </cell>
          <cell r="E438" t="str">
            <v>saisie fiche horaire</v>
          </cell>
          <cell r="F438" t="str">
            <v>sans</v>
          </cell>
        </row>
        <row r="439">
          <cell r="D439" t="str">
            <v>2276-m100</v>
          </cell>
          <cell r="E439" t="str">
            <v>panne</v>
          </cell>
          <cell r="F439" t="str">
            <v>sans</v>
          </cell>
        </row>
        <row r="440">
          <cell r="D440" t="str">
            <v>2276-m115</v>
          </cell>
          <cell r="E440" t="str">
            <v>administratif</v>
          </cell>
          <cell r="F440" t="str">
            <v>hrs</v>
          </cell>
        </row>
        <row r="441">
          <cell r="D441" t="str">
            <v>2276-m116</v>
          </cell>
          <cell r="E441" t="str">
            <v>tri séquentiel</v>
          </cell>
          <cell r="F441" t="str">
            <v>hrs</v>
          </cell>
        </row>
        <row r="442">
          <cell r="D442" t="str">
            <v>2276-m117</v>
          </cell>
          <cell r="E442" t="str">
            <v xml:space="preserve">rapprochement </v>
          </cell>
          <cell r="F442" t="str">
            <v>hrs</v>
          </cell>
        </row>
        <row r="443">
          <cell r="D443" t="str">
            <v>2276-m211</v>
          </cell>
          <cell r="E443" t="str">
            <v>dépouillement</v>
          </cell>
          <cell r="F443" t="str">
            <v>acte</v>
          </cell>
        </row>
        <row r="444">
          <cell r="D444" t="str">
            <v>2276-m212</v>
          </cell>
          <cell r="E444" t="str">
            <v xml:space="preserve">traitement du coupon </v>
          </cell>
          <cell r="F444" t="str">
            <v>acte</v>
          </cell>
        </row>
        <row r="445">
          <cell r="D445" t="str">
            <v>2276-m213</v>
          </cell>
          <cell r="E445" t="str">
            <v xml:space="preserve">saisie SICLID </v>
          </cell>
          <cell r="F445" t="str">
            <v>acte</v>
          </cell>
        </row>
        <row r="446">
          <cell r="D446" t="str">
            <v>2276-m214</v>
          </cell>
          <cell r="E446" t="str">
            <v>archivage</v>
          </cell>
          <cell r="F446" t="str">
            <v>sans</v>
          </cell>
        </row>
        <row r="447">
          <cell r="D447" t="str">
            <v>2276-m215</v>
          </cell>
          <cell r="E447" t="str">
            <v>recherche</v>
          </cell>
          <cell r="F447" t="str">
            <v>sans</v>
          </cell>
        </row>
        <row r="448">
          <cell r="D448" t="str">
            <v>2276-m312</v>
          </cell>
          <cell r="E448" t="str">
            <v>tri courrier</v>
          </cell>
          <cell r="F448" t="str">
            <v>acte</v>
          </cell>
        </row>
        <row r="449">
          <cell r="D449" t="str">
            <v>2276-m392</v>
          </cell>
          <cell r="E449" t="str">
            <v>tri</v>
          </cell>
          <cell r="F449" t="str">
            <v>acte</v>
          </cell>
        </row>
        <row r="450">
          <cell r="D450" t="str">
            <v>2276-m900</v>
          </cell>
          <cell r="E450" t="str">
            <v>Formation DIF</v>
          </cell>
          <cell r="F450" t="str">
            <v>sans</v>
          </cell>
        </row>
        <row r="451">
          <cell r="D451" t="str">
            <v>2276-m911</v>
          </cell>
          <cell r="E451" t="str">
            <v>réunion de travail</v>
          </cell>
          <cell r="F451" t="str">
            <v>sans</v>
          </cell>
        </row>
        <row r="452">
          <cell r="D452" t="str">
            <v>2276-m912</v>
          </cell>
          <cell r="E452" t="str">
            <v>heures sociales</v>
          </cell>
          <cell r="F452" t="str">
            <v>sans</v>
          </cell>
        </row>
        <row r="453">
          <cell r="D453" t="str">
            <v>2276-m913</v>
          </cell>
          <cell r="E453" t="str">
            <v>coordination</v>
          </cell>
          <cell r="F453" t="str">
            <v>sans</v>
          </cell>
        </row>
        <row r="454">
          <cell r="D454" t="str">
            <v>2276-m915</v>
          </cell>
          <cell r="E454" t="str">
            <v>formation</v>
          </cell>
          <cell r="F454" t="str">
            <v>sans</v>
          </cell>
        </row>
        <row r="455">
          <cell r="D455" t="str">
            <v>2276-k100</v>
          </cell>
          <cell r="E455" t="str">
            <v>panne</v>
          </cell>
          <cell r="F455" t="str">
            <v>sans</v>
          </cell>
        </row>
        <row r="456">
          <cell r="D456" t="str">
            <v>2276-k115</v>
          </cell>
          <cell r="E456" t="str">
            <v>administratif</v>
          </cell>
          <cell r="F456" t="str">
            <v>hrs</v>
          </cell>
        </row>
        <row r="457">
          <cell r="D457" t="str">
            <v>2276-K119</v>
          </cell>
          <cell r="E457" t="str">
            <v>saisie bordereau</v>
          </cell>
          <cell r="F457" t="str">
            <v>hrs</v>
          </cell>
        </row>
        <row r="458">
          <cell r="D458" t="str">
            <v>2276-k211</v>
          </cell>
          <cell r="E458" t="str">
            <v>pointage bordereau</v>
          </cell>
          <cell r="F458" t="str">
            <v>acte</v>
          </cell>
        </row>
        <row r="459">
          <cell r="D459" t="str">
            <v>2276-k220</v>
          </cell>
          <cell r="E459" t="str">
            <v>création de lot</v>
          </cell>
          <cell r="F459" t="str">
            <v>acte</v>
          </cell>
        </row>
        <row r="460">
          <cell r="D460" t="str">
            <v>2276-k221</v>
          </cell>
          <cell r="E460" t="str">
            <v>saisie</v>
          </cell>
          <cell r="F460" t="str">
            <v>acte</v>
          </cell>
        </row>
        <row r="461">
          <cell r="D461" t="str">
            <v>2276-k222</v>
          </cell>
          <cell r="E461" t="str">
            <v>numérisation</v>
          </cell>
          <cell r="F461" t="str">
            <v>acte</v>
          </cell>
        </row>
        <row r="462">
          <cell r="D462" t="str">
            <v>2276-k900</v>
          </cell>
          <cell r="E462" t="str">
            <v>Formation DIF</v>
          </cell>
          <cell r="F462" t="str">
            <v>sans</v>
          </cell>
        </row>
        <row r="463">
          <cell r="D463" t="str">
            <v>2276-k911</v>
          </cell>
          <cell r="E463" t="str">
            <v>reunion de travail</v>
          </cell>
          <cell r="F463" t="str">
            <v>sans</v>
          </cell>
        </row>
        <row r="464">
          <cell r="D464" t="str">
            <v>2276-k912</v>
          </cell>
          <cell r="E464" t="str">
            <v>heures sociales</v>
          </cell>
          <cell r="F464" t="str">
            <v>sans</v>
          </cell>
        </row>
        <row r="465">
          <cell r="D465" t="str">
            <v>2276-k913</v>
          </cell>
          <cell r="E465" t="str">
            <v>coordination</v>
          </cell>
          <cell r="F465" t="str">
            <v>sans</v>
          </cell>
        </row>
        <row r="466">
          <cell r="D466" t="str">
            <v>2276-k915</v>
          </cell>
          <cell r="E466" t="str">
            <v>formation</v>
          </cell>
          <cell r="F466" t="str">
            <v>hrs</v>
          </cell>
        </row>
        <row r="467">
          <cell r="D467" t="str">
            <v>2276-k222ko</v>
          </cell>
          <cell r="E467" t="str">
            <v>numérisation ko</v>
          </cell>
          <cell r="F467" t="str">
            <v>hrs</v>
          </cell>
        </row>
        <row r="468">
          <cell r="D468" t="str">
            <v>2150100</v>
          </cell>
          <cell r="E468" t="str">
            <v>panne</v>
          </cell>
          <cell r="F468" t="str">
            <v>sans</v>
          </cell>
        </row>
        <row r="469">
          <cell r="D469" t="str">
            <v>2150115</v>
          </cell>
          <cell r="E469" t="str">
            <v>administratif</v>
          </cell>
          <cell r="F469" t="str">
            <v>acte</v>
          </cell>
        </row>
        <row r="470">
          <cell r="D470" t="str">
            <v>2150221</v>
          </cell>
          <cell r="E470" t="str">
            <v>saisie</v>
          </cell>
          <cell r="F470" t="str">
            <v>acte</v>
          </cell>
        </row>
        <row r="471">
          <cell r="D471" t="str">
            <v>2150900</v>
          </cell>
          <cell r="E471" t="str">
            <v>Formation DIF</v>
          </cell>
          <cell r="F471" t="str">
            <v>sans</v>
          </cell>
        </row>
        <row r="472">
          <cell r="D472" t="str">
            <v>2150911</v>
          </cell>
          <cell r="E472" t="str">
            <v>réunion de travail</v>
          </cell>
          <cell r="F472" t="str">
            <v>sans</v>
          </cell>
        </row>
        <row r="473">
          <cell r="D473" t="str">
            <v>2150913</v>
          </cell>
          <cell r="E473" t="str">
            <v>coordination</v>
          </cell>
          <cell r="F473" t="str">
            <v>sup</v>
          </cell>
        </row>
        <row r="474">
          <cell r="D474" t="str">
            <v>2150915</v>
          </cell>
          <cell r="E474" t="str">
            <v>formation</v>
          </cell>
          <cell r="F474" t="str">
            <v>sans</v>
          </cell>
        </row>
        <row r="475">
          <cell r="D475" t="str">
            <v>2276-h100</v>
          </cell>
          <cell r="E475" t="str">
            <v>panne</v>
          </cell>
          <cell r="F475" t="str">
            <v>sans</v>
          </cell>
        </row>
        <row r="476">
          <cell r="D476" t="str">
            <v>2276-h115</v>
          </cell>
          <cell r="E476" t="str">
            <v>administratif</v>
          </cell>
          <cell r="F476" t="str">
            <v>hrs</v>
          </cell>
        </row>
        <row r="477">
          <cell r="D477" t="str">
            <v>2276-h221</v>
          </cell>
          <cell r="E477" t="str">
            <v>saisie</v>
          </cell>
          <cell r="F477" t="str">
            <v>acte</v>
          </cell>
        </row>
        <row r="478">
          <cell r="D478" t="str">
            <v>2276-h900</v>
          </cell>
          <cell r="E478" t="str">
            <v>Formation DIF</v>
          </cell>
          <cell r="F478" t="str">
            <v>sans</v>
          </cell>
        </row>
        <row r="479">
          <cell r="D479" t="str">
            <v>2276-h911</v>
          </cell>
          <cell r="E479" t="str">
            <v>reunion de travail</v>
          </cell>
          <cell r="F479" t="str">
            <v>sans</v>
          </cell>
        </row>
        <row r="480">
          <cell r="D480" t="str">
            <v>2276-h912</v>
          </cell>
          <cell r="E480" t="str">
            <v>heures sociales</v>
          </cell>
          <cell r="F480" t="str">
            <v>sans</v>
          </cell>
        </row>
        <row r="481">
          <cell r="D481" t="str">
            <v>2276-h913</v>
          </cell>
          <cell r="E481" t="str">
            <v>coordination</v>
          </cell>
          <cell r="F481" t="str">
            <v>sans</v>
          </cell>
        </row>
        <row r="482">
          <cell r="D482" t="str">
            <v>2276-h915</v>
          </cell>
          <cell r="E482" t="str">
            <v>formation</v>
          </cell>
          <cell r="F482" t="str">
            <v>hrs</v>
          </cell>
        </row>
        <row r="483">
          <cell r="D483" t="str">
            <v>2276-FC100</v>
          </cell>
          <cell r="E483" t="str">
            <v>panne</v>
          </cell>
          <cell r="F483" t="str">
            <v>sans</v>
          </cell>
        </row>
        <row r="484">
          <cell r="D484" t="str">
            <v>2276-FC115</v>
          </cell>
          <cell r="E484" t="str">
            <v>admin</v>
          </cell>
          <cell r="F484" t="str">
            <v>hrs</v>
          </cell>
        </row>
        <row r="485">
          <cell r="D485" t="str">
            <v>2276-FC221</v>
          </cell>
          <cell r="E485" t="str">
            <v>saisie</v>
          </cell>
          <cell r="F485" t="str">
            <v>acte</v>
          </cell>
        </row>
        <row r="486">
          <cell r="D486" t="str">
            <v>2276-FC240</v>
          </cell>
          <cell r="E486" t="str">
            <v>contrôle qualite</v>
          </cell>
          <cell r="F486" t="str">
            <v>sans</v>
          </cell>
        </row>
        <row r="487">
          <cell r="D487" t="str">
            <v>2276-FC900</v>
          </cell>
          <cell r="E487" t="str">
            <v>Formation DIF</v>
          </cell>
          <cell r="F487" t="str">
            <v>sans</v>
          </cell>
        </row>
        <row r="488">
          <cell r="D488" t="str">
            <v>2276-FC911</v>
          </cell>
          <cell r="E488" t="str">
            <v>réunion de travail</v>
          </cell>
          <cell r="F488" t="str">
            <v>sans</v>
          </cell>
        </row>
        <row r="489">
          <cell r="D489" t="str">
            <v>2276-FC912</v>
          </cell>
          <cell r="E489" t="str">
            <v>heures sociales</v>
          </cell>
          <cell r="F489" t="str">
            <v>sans</v>
          </cell>
        </row>
        <row r="490">
          <cell r="D490" t="str">
            <v>2276-FC913</v>
          </cell>
          <cell r="E490" t="str">
            <v>coordination</v>
          </cell>
          <cell r="F490" t="str">
            <v>sans</v>
          </cell>
        </row>
        <row r="491">
          <cell r="D491" t="str">
            <v>2276-FC915</v>
          </cell>
          <cell r="E491" t="str">
            <v>formation</v>
          </cell>
          <cell r="F491" t="str">
            <v>hrs</v>
          </cell>
        </row>
        <row r="492">
          <cell r="D492" t="str">
            <v>2276-FC917</v>
          </cell>
          <cell r="E492" t="str">
            <v>saisie fiche horaire</v>
          </cell>
          <cell r="F492" t="str">
            <v>sans</v>
          </cell>
        </row>
        <row r="493">
          <cell r="D493" t="str">
            <v>2276-d100</v>
          </cell>
          <cell r="E493" t="str">
            <v>panne</v>
          </cell>
          <cell r="F493" t="str">
            <v>sans</v>
          </cell>
        </row>
        <row r="494">
          <cell r="D494" t="str">
            <v>2276-d115</v>
          </cell>
          <cell r="E494" t="str">
            <v>administratif</v>
          </cell>
          <cell r="F494" t="str">
            <v>sans</v>
          </cell>
        </row>
        <row r="495">
          <cell r="D495" t="str">
            <v>2276-d221</v>
          </cell>
          <cell r="E495" t="str">
            <v>saisie</v>
          </cell>
          <cell r="F495" t="str">
            <v>acte</v>
          </cell>
        </row>
        <row r="496">
          <cell r="D496" t="str">
            <v>2276-d240</v>
          </cell>
          <cell r="E496" t="str">
            <v>contrôle qualité</v>
          </cell>
          <cell r="F496" t="str">
            <v>sans</v>
          </cell>
        </row>
        <row r="497">
          <cell r="D497" t="str">
            <v>2276-d900</v>
          </cell>
          <cell r="E497" t="str">
            <v>Formation DIF</v>
          </cell>
          <cell r="F497" t="str">
            <v>sans</v>
          </cell>
        </row>
        <row r="498">
          <cell r="D498" t="str">
            <v>2276-d911</v>
          </cell>
          <cell r="E498" t="str">
            <v>réunion de travail</v>
          </cell>
          <cell r="F498" t="str">
            <v>sans</v>
          </cell>
        </row>
        <row r="499">
          <cell r="D499" t="str">
            <v>2276-d912</v>
          </cell>
          <cell r="E499" t="str">
            <v>heures sociales</v>
          </cell>
          <cell r="F499" t="str">
            <v>sans</v>
          </cell>
        </row>
        <row r="500">
          <cell r="D500" t="str">
            <v>2276-d913</v>
          </cell>
          <cell r="E500" t="str">
            <v>coordination</v>
          </cell>
          <cell r="F500" t="str">
            <v>sans</v>
          </cell>
        </row>
        <row r="501">
          <cell r="D501" t="str">
            <v>2276-d915</v>
          </cell>
          <cell r="E501" t="str">
            <v>formation</v>
          </cell>
          <cell r="F501" t="str">
            <v>hrs</v>
          </cell>
        </row>
        <row r="502">
          <cell r="D502" t="str">
            <v>2276-1100</v>
          </cell>
          <cell r="E502" t="str">
            <v>panne</v>
          </cell>
          <cell r="F502" t="str">
            <v>sans</v>
          </cell>
        </row>
        <row r="503">
          <cell r="D503" t="str">
            <v>2276-1112</v>
          </cell>
          <cell r="E503" t="str">
            <v>tracing</v>
          </cell>
          <cell r="F503" t="str">
            <v>acte</v>
          </cell>
        </row>
        <row r="504">
          <cell r="D504" t="str">
            <v>2276-1114</v>
          </cell>
          <cell r="E504" t="str">
            <v>recherche des 8</v>
          </cell>
          <cell r="F504" t="str">
            <v>hrs</v>
          </cell>
        </row>
        <row r="505">
          <cell r="D505" t="str">
            <v>2276-1115</v>
          </cell>
          <cell r="E505" t="str">
            <v>admin</v>
          </cell>
          <cell r="F505" t="str">
            <v>hrs</v>
          </cell>
        </row>
        <row r="506">
          <cell r="D506" t="str">
            <v>2276-1116</v>
          </cell>
          <cell r="E506" t="str">
            <v>envoi et classement</v>
          </cell>
          <cell r="F506" t="str">
            <v>acte</v>
          </cell>
        </row>
        <row r="507">
          <cell r="D507" t="str">
            <v>2276-1117</v>
          </cell>
          <cell r="E507" t="str">
            <v>contrôle retour</v>
          </cell>
          <cell r="F507" t="str">
            <v>hrs</v>
          </cell>
        </row>
        <row r="508">
          <cell r="D508" t="str">
            <v>2276-1210</v>
          </cell>
          <cell r="E508" t="str">
            <v>contrôle dossier</v>
          </cell>
          <cell r="F508" t="str">
            <v>acte</v>
          </cell>
        </row>
        <row r="509">
          <cell r="D509" t="str">
            <v>2276-1211</v>
          </cell>
          <cell r="E509" t="str">
            <v>dépouillement</v>
          </cell>
          <cell r="F509" t="str">
            <v>acte</v>
          </cell>
        </row>
        <row r="510">
          <cell r="D510" t="str">
            <v>2276-1221</v>
          </cell>
          <cell r="E510" t="str">
            <v>saisie</v>
          </cell>
          <cell r="F510" t="str">
            <v>acte</v>
          </cell>
        </row>
        <row r="511">
          <cell r="D511" t="str">
            <v>2276-1222</v>
          </cell>
          <cell r="E511" t="str">
            <v>dossier annulés</v>
          </cell>
          <cell r="F511" t="str">
            <v>hrs</v>
          </cell>
        </row>
        <row r="512">
          <cell r="D512" t="str">
            <v>2276-1236</v>
          </cell>
          <cell r="E512" t="str">
            <v>adp</v>
          </cell>
          <cell r="F512" t="str">
            <v>acte</v>
          </cell>
        </row>
        <row r="513">
          <cell r="D513" t="str">
            <v>2276-1240</v>
          </cell>
          <cell r="E513" t="str">
            <v>contrôle qualite</v>
          </cell>
          <cell r="F513" t="str">
            <v>sans</v>
          </cell>
        </row>
        <row r="514">
          <cell r="D514" t="str">
            <v>2276-1312</v>
          </cell>
          <cell r="E514" t="str">
            <v>tri courrier</v>
          </cell>
          <cell r="F514" t="str">
            <v>acte</v>
          </cell>
        </row>
        <row r="515">
          <cell r="D515" t="str">
            <v>2276-1313</v>
          </cell>
          <cell r="E515" t="str">
            <v>navette</v>
          </cell>
          <cell r="F515" t="str">
            <v>sans</v>
          </cell>
        </row>
        <row r="516">
          <cell r="D516" t="str">
            <v>2276-1900</v>
          </cell>
          <cell r="E516" t="str">
            <v>Formation DIF</v>
          </cell>
          <cell r="F516" t="str">
            <v>sans</v>
          </cell>
        </row>
        <row r="517">
          <cell r="D517" t="str">
            <v>2276-1911</v>
          </cell>
          <cell r="E517" t="str">
            <v>réunion de travail</v>
          </cell>
          <cell r="F517" t="str">
            <v>sans</v>
          </cell>
        </row>
        <row r="518">
          <cell r="D518" t="str">
            <v>2276-1912</v>
          </cell>
          <cell r="E518" t="str">
            <v>heures sociales</v>
          </cell>
          <cell r="F518" t="str">
            <v>sans</v>
          </cell>
        </row>
        <row r="519">
          <cell r="D519" t="str">
            <v>2276-1913</v>
          </cell>
          <cell r="E519" t="str">
            <v>coordination</v>
          </cell>
          <cell r="F519" t="str">
            <v>sup</v>
          </cell>
        </row>
        <row r="520">
          <cell r="D520" t="str">
            <v>2276-1914</v>
          </cell>
          <cell r="E520" t="str">
            <v>formation interne</v>
          </cell>
          <cell r="F520" t="str">
            <v>sans</v>
          </cell>
        </row>
        <row r="521">
          <cell r="D521" t="str">
            <v>2276-1915</v>
          </cell>
          <cell r="E521" t="str">
            <v>formation</v>
          </cell>
          <cell r="F521" t="str">
            <v>sans</v>
          </cell>
        </row>
        <row r="522">
          <cell r="D522" t="str">
            <v>2276-1916</v>
          </cell>
          <cell r="E522" t="str">
            <v>nettoyage</v>
          </cell>
          <cell r="F522" t="str">
            <v>sans</v>
          </cell>
        </row>
        <row r="523">
          <cell r="D523" t="str">
            <v>2276-1917</v>
          </cell>
          <cell r="E523" t="str">
            <v>saisie fiche horaire</v>
          </cell>
          <cell r="F523" t="str">
            <v>sans</v>
          </cell>
        </row>
        <row r="524">
          <cell r="D524" t="str">
            <v>1788999</v>
          </cell>
          <cell r="E524" t="str">
            <v>Re facturation</v>
          </cell>
          <cell r="F524" t="str">
            <v>hrs</v>
          </cell>
        </row>
        <row r="525">
          <cell r="D525" t="str">
            <v>1739999</v>
          </cell>
          <cell r="E525" t="str">
            <v>Re facturation</v>
          </cell>
          <cell r="F525" t="str">
            <v>hrs</v>
          </cell>
        </row>
        <row r="526">
          <cell r="D526" t="str">
            <v>261341</v>
          </cell>
          <cell r="E526" t="str">
            <v xml:space="preserve">Brief/entretien/réunion </v>
          </cell>
          <cell r="F526" t="str">
            <v>sans</v>
          </cell>
        </row>
        <row r="527">
          <cell r="D527" t="str">
            <v>261345</v>
          </cell>
          <cell r="E527" t="str">
            <v>Soutien</v>
          </cell>
          <cell r="F527" t="str">
            <v>acte</v>
          </cell>
        </row>
        <row r="528">
          <cell r="D528" t="str">
            <v>261347</v>
          </cell>
          <cell r="E528" t="str">
            <v xml:space="preserve">Autre </v>
          </cell>
          <cell r="F528" t="str">
            <v>acte</v>
          </cell>
        </row>
        <row r="529">
          <cell r="D529" t="str">
            <v>261348</v>
          </cell>
          <cell r="E529" t="str">
            <v>Admin</v>
          </cell>
          <cell r="F529" t="str">
            <v>acte</v>
          </cell>
        </row>
        <row r="530">
          <cell r="D530" t="str">
            <v>261349</v>
          </cell>
          <cell r="E530" t="str">
            <v>Back office</v>
          </cell>
          <cell r="F530" t="str">
            <v>acte</v>
          </cell>
        </row>
        <row r="531">
          <cell r="D531" t="str">
            <v>2613410</v>
          </cell>
          <cell r="E531" t="str">
            <v>Appel</v>
          </cell>
          <cell r="F531" t="str">
            <v>acte</v>
          </cell>
        </row>
        <row r="532">
          <cell r="D532" t="str">
            <v>2613411</v>
          </cell>
          <cell r="E532" t="str">
            <v>Dispo Mail</v>
          </cell>
          <cell r="F532" t="str">
            <v>sans</v>
          </cell>
        </row>
        <row r="533">
          <cell r="D533" t="str">
            <v>2613420</v>
          </cell>
          <cell r="E533" t="str">
            <v>Coordination</v>
          </cell>
          <cell r="F533" t="str">
            <v>acte</v>
          </cell>
        </row>
        <row r="534">
          <cell r="D534" t="str">
            <v>2613430</v>
          </cell>
          <cell r="E534" t="str">
            <v>BO Carrefour</v>
          </cell>
          <cell r="F534" t="str">
            <v>acte</v>
          </cell>
        </row>
        <row r="535">
          <cell r="D535" t="str">
            <v>26134915</v>
          </cell>
          <cell r="E535" t="str">
            <v>Formation</v>
          </cell>
          <cell r="F535" t="str">
            <v>hrs</v>
          </cell>
        </row>
        <row r="536">
          <cell r="D536" t="str">
            <v>26134900</v>
          </cell>
          <cell r="E536" t="str">
            <v>Formation DIF</v>
          </cell>
          <cell r="F536" t="str">
            <v>sans</v>
          </cell>
        </row>
        <row r="537">
          <cell r="D537" t="str">
            <v>2048911</v>
          </cell>
          <cell r="E537" t="str">
            <v>réunion de travail</v>
          </cell>
          <cell r="F537" t="str">
            <v>sans</v>
          </cell>
        </row>
        <row r="538">
          <cell r="D538" t="str">
            <v>2048913</v>
          </cell>
          <cell r="E538" t="str">
            <v>Suivi</v>
          </cell>
          <cell r="F538" t="str">
            <v>hrs</v>
          </cell>
        </row>
        <row r="539">
          <cell r="D539" t="str">
            <v>2048999</v>
          </cell>
          <cell r="E539" t="str">
            <v>A facturer</v>
          </cell>
          <cell r="F539" t="str">
            <v>hrs</v>
          </cell>
        </row>
        <row r="540">
          <cell r="D540" t="str">
            <v>26133-B10</v>
          </cell>
          <cell r="E540" t="str">
            <v>Appel</v>
          </cell>
          <cell r="F540" t="str">
            <v>acte</v>
          </cell>
        </row>
      </sheetData>
      <sheetData sheetId="2"/>
      <sheetData sheetId="3">
        <row r="1">
          <cell r="A1" t="str">
            <v>Code client</v>
          </cell>
          <cell r="B1" t="str">
            <v>CLIENTS</v>
          </cell>
          <cell r="C1" t="str">
            <v>CDF</v>
          </cell>
        </row>
        <row r="2">
          <cell r="A2">
            <v>2071</v>
          </cell>
          <cell r="B2" t="str">
            <v>TPS</v>
          </cell>
          <cell r="C2">
            <v>27119</v>
          </cell>
        </row>
        <row r="3">
          <cell r="A3" t="str">
            <v>2276-P</v>
          </cell>
          <cell r="B3" t="str">
            <v>CETELEM PAIEMENT</v>
          </cell>
          <cell r="C3">
            <v>26135</v>
          </cell>
        </row>
        <row r="4">
          <cell r="A4" t="str">
            <v>2276-1</v>
          </cell>
          <cell r="B4" t="str">
            <v>CETELEM 1ERE ETAPE</v>
          </cell>
          <cell r="C4">
            <v>26135</v>
          </cell>
        </row>
        <row r="5">
          <cell r="A5" t="str">
            <v>2276-FC</v>
          </cell>
          <cell r="B5" t="str">
            <v>CETELEM FACTURE DE COM</v>
          </cell>
          <cell r="C5">
            <v>26135</v>
          </cell>
        </row>
        <row r="6">
          <cell r="A6">
            <v>2208</v>
          </cell>
          <cell r="B6" t="str">
            <v>UNICEF</v>
          </cell>
          <cell r="C6">
            <v>26139</v>
          </cell>
        </row>
        <row r="7">
          <cell r="A7">
            <v>2214</v>
          </cell>
          <cell r="B7" t="str">
            <v>RENAULT GED</v>
          </cell>
          <cell r="C7">
            <v>26115</v>
          </cell>
        </row>
        <row r="8">
          <cell r="A8">
            <v>2204</v>
          </cell>
          <cell r="B8" t="str">
            <v>RENAULT MARKETING</v>
          </cell>
          <cell r="C8">
            <v>26115</v>
          </cell>
        </row>
        <row r="9">
          <cell r="A9">
            <v>2018</v>
          </cell>
          <cell r="B9" t="str">
            <v>SRD</v>
          </cell>
          <cell r="C9">
            <v>26124</v>
          </cell>
        </row>
        <row r="10">
          <cell r="A10" t="str">
            <v>2276-nc</v>
          </cell>
          <cell r="B10" t="str">
            <v>NOVACREDIT</v>
          </cell>
          <cell r="C10">
            <v>26135</v>
          </cell>
        </row>
        <row r="11">
          <cell r="A11" t="str">
            <v>2276-NC-1</v>
          </cell>
          <cell r="B11" t="str">
            <v>NOVACREDIT 8&amp;9</v>
          </cell>
          <cell r="C11">
            <v>26135</v>
          </cell>
        </row>
        <row r="12">
          <cell r="A12" t="str">
            <v>2276-NC-p</v>
          </cell>
          <cell r="B12" t="str">
            <v>NOVACREDIT Paiement</v>
          </cell>
          <cell r="C12">
            <v>26135</v>
          </cell>
        </row>
        <row r="13">
          <cell r="A13">
            <v>2150</v>
          </cell>
          <cell r="B13" t="str">
            <v>CETELEM IKEA</v>
          </cell>
          <cell r="C13">
            <v>26135</v>
          </cell>
        </row>
        <row r="14">
          <cell r="A14">
            <v>2154</v>
          </cell>
          <cell r="B14" t="str">
            <v>SFR</v>
          </cell>
          <cell r="C14">
            <v>26115</v>
          </cell>
        </row>
        <row r="15">
          <cell r="A15">
            <v>2048</v>
          </cell>
          <cell r="B15" t="str">
            <v>CANAL+</v>
          </cell>
          <cell r="C15">
            <v>26123</v>
          </cell>
        </row>
        <row r="16">
          <cell r="A16">
            <v>1739</v>
          </cell>
          <cell r="B16" t="str">
            <v>Cellule Comm CMA</v>
          </cell>
          <cell r="C16">
            <v>26136</v>
          </cell>
        </row>
        <row r="17">
          <cell r="A17">
            <v>1788</v>
          </cell>
          <cell r="B17" t="str">
            <v>Center Parcs</v>
          </cell>
          <cell r="C17">
            <v>26136</v>
          </cell>
        </row>
        <row r="18">
          <cell r="A18">
            <v>2064</v>
          </cell>
          <cell r="B18" t="str">
            <v>Renault gcm</v>
          </cell>
          <cell r="C18">
            <v>26115</v>
          </cell>
        </row>
        <row r="19">
          <cell r="A19" t="str">
            <v>2276-M</v>
          </cell>
          <cell r="B19" t="str">
            <v>CETELEM MANDAT</v>
          </cell>
          <cell r="C19">
            <v>26135</v>
          </cell>
        </row>
        <row r="20">
          <cell r="A20" t="str">
            <v>2204-b</v>
          </cell>
          <cell r="B20" t="str">
            <v>RENAULT MARKETING BIS</v>
          </cell>
          <cell r="C20">
            <v>26115</v>
          </cell>
        </row>
        <row r="21">
          <cell r="A21" t="str">
            <v>2276-t</v>
          </cell>
          <cell r="B21" t="str">
            <v>CETELEM TRANSFO</v>
          </cell>
          <cell r="C21">
            <v>26135</v>
          </cell>
        </row>
        <row r="22">
          <cell r="A22" t="str">
            <v>echos</v>
          </cell>
          <cell r="B22" t="str">
            <v>LES ECHOS</v>
          </cell>
          <cell r="C22">
            <v>26129</v>
          </cell>
        </row>
        <row r="23">
          <cell r="A23">
            <v>1</v>
          </cell>
          <cell r="B23" t="str">
            <v>Election</v>
          </cell>
          <cell r="C23">
            <v>23550</v>
          </cell>
        </row>
        <row r="24">
          <cell r="A24" t="str">
            <v>2276-d</v>
          </cell>
          <cell r="B24" t="str">
            <v>Cetelem domofinance</v>
          </cell>
          <cell r="C24">
            <v>26135</v>
          </cell>
        </row>
        <row r="25">
          <cell r="A25" t="str">
            <v>2276-k</v>
          </cell>
          <cell r="B25" t="str">
            <v>Cetelem k par k</v>
          </cell>
          <cell r="C25">
            <v>26135</v>
          </cell>
        </row>
        <row r="26">
          <cell r="A26" t="str">
            <v>2276-tri</v>
          </cell>
          <cell r="B26" t="str">
            <v>Cetelem tri courrier</v>
          </cell>
          <cell r="C26">
            <v>26135</v>
          </cell>
        </row>
        <row r="27">
          <cell r="A27" t="str">
            <v>2276-h</v>
          </cell>
          <cell r="B27" t="str">
            <v>Cetelem habitat</v>
          </cell>
          <cell r="C27">
            <v>26135</v>
          </cell>
        </row>
        <row r="28">
          <cell r="A28" t="str">
            <v>2276-12</v>
          </cell>
          <cell r="B28" t="str">
            <v>Cetelem 1&amp;2</v>
          </cell>
          <cell r="C28">
            <v>26135</v>
          </cell>
        </row>
        <row r="29">
          <cell r="A29" t="str">
            <v>C1</v>
          </cell>
          <cell r="B29" t="str">
            <v>CPLUS</v>
          </cell>
          <cell r="C29">
            <v>26123</v>
          </cell>
        </row>
        <row r="30">
          <cell r="A30" t="str">
            <v>C2</v>
          </cell>
          <cell r="B30" t="str">
            <v>CPLUS_BO</v>
          </cell>
          <cell r="C30">
            <v>27119</v>
          </cell>
        </row>
        <row r="31">
          <cell r="A31" t="str">
            <v>C3</v>
          </cell>
          <cell r="B31" t="str">
            <v>CPLUS_DUM</v>
          </cell>
          <cell r="C31">
            <v>27119</v>
          </cell>
        </row>
        <row r="32">
          <cell r="A32" t="str">
            <v>PR</v>
          </cell>
          <cell r="B32" t="str">
            <v>PRISMA</v>
          </cell>
          <cell r="C32">
            <v>26136</v>
          </cell>
        </row>
        <row r="33">
          <cell r="A33">
            <v>26132</v>
          </cell>
          <cell r="B33" t="str">
            <v>UNICEF_CALL</v>
          </cell>
          <cell r="C33">
            <v>26132</v>
          </cell>
        </row>
        <row r="34">
          <cell r="A34">
            <v>26117</v>
          </cell>
          <cell r="B34" t="str">
            <v>SPIR</v>
          </cell>
          <cell r="C34">
            <v>26117</v>
          </cell>
        </row>
        <row r="35">
          <cell r="A35">
            <v>26130</v>
          </cell>
          <cell r="B35" t="str">
            <v>SFR_SCED</v>
          </cell>
          <cell r="C35">
            <v>26130</v>
          </cell>
        </row>
        <row r="36">
          <cell r="A36">
            <v>26103</v>
          </cell>
          <cell r="B36" t="str">
            <v>INFOSCORE</v>
          </cell>
          <cell r="C36">
            <v>26103</v>
          </cell>
        </row>
        <row r="37">
          <cell r="A37">
            <v>26134</v>
          </cell>
          <cell r="B37" t="str">
            <v>Carrefour</v>
          </cell>
          <cell r="C37">
            <v>26134</v>
          </cell>
        </row>
        <row r="38">
          <cell r="A38">
            <v>26133</v>
          </cell>
          <cell r="B38" t="str">
            <v>FC Nantes</v>
          </cell>
          <cell r="C38">
            <v>26133</v>
          </cell>
        </row>
        <row r="39">
          <cell r="A39">
            <v>26103</v>
          </cell>
          <cell r="B39" t="str">
            <v>LFA</v>
          </cell>
          <cell r="C39">
            <v>26103</v>
          </cell>
        </row>
        <row r="40">
          <cell r="A40" t="str">
            <v>26133-B</v>
          </cell>
          <cell r="B40" t="str">
            <v>Bosch</v>
          </cell>
          <cell r="C40">
            <v>26133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Base"/>
      <sheetName val="TCD"/>
      <sheetName val="Reporting suivi_de_production_P"/>
    </sheetNames>
    <definedNames>
      <definedName name="Import"/>
      <definedName name="MAJ_TCD"/>
    </definedNames>
    <sheetDataSet>
      <sheetData sheetId="0"/>
      <sheetData sheetId="1"/>
      <sheetData sheetId="2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99.386870254632" createdVersion="4" refreshedVersion="4" minRefreshableVersion="3" recordCount="361">
  <cacheSource type="worksheet">
    <worksheetSource ref="A1:AT1048576" sheet="RESULTATS FO"/>
  </cacheSource>
  <cacheFields count="46">
    <cacheField name="SEMAINE" numFmtId="0">
      <sharedItems containsString="0" containsBlank="1" containsNumber="1" containsInteger="1" minValue="1" maxValue="52" count="2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m/>
        <n v="42" u="1"/>
        <n v="44" u="1"/>
        <n v="46" u="1"/>
        <n v="48" u="1"/>
        <n v="50" u="1"/>
        <n v="52" u="1"/>
        <n v="41" u="1"/>
        <n v="43" u="1"/>
        <n v="45" u="1"/>
        <n v="47" u="1"/>
        <n v="49" u="1"/>
        <n v="51" u="1"/>
      </sharedItems>
    </cacheField>
    <cacheField name="MOIS (n°)" numFmtId="0">
      <sharedItems containsString="0" containsBlank="1" containsNumber="1" containsInteger="1" minValue="1" maxValue="4"/>
    </cacheField>
    <cacheField name="MOIS" numFmtId="0">
      <sharedItems containsBlank="1" count="8">
        <s v="Janvier"/>
        <s v="Février"/>
        <s v="Mars"/>
        <s v="Avril"/>
        <m/>
        <s v="Décembre" u="1"/>
        <s v="Novembre" u="1"/>
        <s v="Octobre" u="1"/>
      </sharedItems>
    </cacheField>
    <cacheField name="Date Appel" numFmtId="0">
      <sharedItems containsBlank="1"/>
    </cacheField>
    <cacheField name="Titre" numFmtId="0">
      <sharedItems containsBlank="1"/>
    </cacheField>
    <cacheField name="Nom Equipe" numFmtId="0">
      <sharedItems containsBlank="1"/>
    </cacheField>
    <cacheField name="Nom Agent" numFmtId="0">
      <sharedItems containsBlank="1" count="25">
        <s v="DUQUESNOY LAURA"/>
        <s v="MOUACI LEILA"/>
        <s v="LEMPIRE EMELINE"/>
        <s v="VANCAEYZEELE DELPHINE"/>
        <s v="HAMMOUDI SAMIR"/>
        <s v="PETITPREZ MAUREEN"/>
        <s v="YEZLI DJAMILA"/>
        <s v="GUFFROY MORGANE"/>
        <s v="AKADAR FATIHA"/>
        <s v="DELPIERRE SANDRINE"/>
        <s v="DELASSUS SYLVIE"/>
        <s v="TENCHON LAURENCE"/>
        <s v="DUCARIN Corinne"/>
        <s v="DISTINGUIN FLORIAN"/>
        <s v="NOYELLE MYLENE"/>
        <s v="WAGON LEA"/>
        <s v="BOCQUET PRESCILIA"/>
        <s v="BOUGE MAURINE"/>
        <s v="DELATTRE JULIEN"/>
        <m/>
        <s v="DEFONTAINE ALEXANDRE" u="1"/>
        <s v="VAN ROMPU CYRIL" u="1"/>
        <s v="CARPENTIER PAULINE" u="1"/>
        <s v="MARUITTE INGRID" u="1"/>
        <s v="GUILLOTOT VANESSA" u="1"/>
      </sharedItems>
    </cacheField>
    <cacheField name="Matricule" numFmtId="0">
      <sharedItems containsBlank="1"/>
    </cacheField>
    <cacheField name="Nom Coach" numFmtId="0">
      <sharedItems containsBlank="1"/>
    </cacheField>
    <cacheField name="note" numFmtId="0">
      <sharedItems containsString="0" containsBlank="1" containsNumber="1" minValue="56.5" maxValue="100"/>
    </cacheField>
    <cacheField name="ID Abonné" numFmtId="0">
      <sharedItems containsBlank="1"/>
    </cacheField>
    <cacheField name="Origine" numFmtId="0">
      <sharedItems containsBlank="1"/>
    </cacheField>
    <cacheField name="Titre2" numFmtId="0">
      <sharedItems containsBlank="1" count="5">
        <s v="SEM"/>
        <s v="CO"/>
        <s v="LMFR"/>
        <s v="MD"/>
        <m/>
      </sharedItems>
    </cacheField>
    <cacheField name="Type de traitement" numFmtId="0">
      <sharedItems containsBlank="1"/>
    </cacheField>
    <cacheField name="Type d'évaluation" numFmtId="0">
      <sharedItems containsBlank="1"/>
    </cacheField>
    <cacheField name="Directivité - Maîtrise de l'entretien" numFmtId="0">
      <sharedItems containsString="0" containsBlank="1" containsNumber="1" containsInteger="1" minValue="0" maxValue="1"/>
    </cacheField>
    <cacheField name="Perso lisation" numFmtId="0">
      <sharedItems containsBlank="1" containsMixedTypes="1" containsNumber="1" containsInteger="1" minValue="0" maxValue="1"/>
    </cacheField>
    <cacheField name="Phrase d'accueil et présentation complète" numFmtId="0">
      <sharedItems containsString="0" containsBlank="1" containsNumber="1" containsInteger="1" minValue="1" maxValue="1"/>
    </cacheField>
    <cacheField name="Pose du contact - PRN" numFmtId="0">
      <sharedItems containsBlank="1" containsMixedTypes="1" containsNumber="1" containsInteger="1" minValue="0" maxValue="1"/>
    </cacheField>
    <cacheField name="Reformulation" numFmtId="0">
      <sharedItems containsString="0" containsBlank="1" containsNumber="1" containsInteger="1" minValue="0" maxValue="1"/>
    </cacheField>
    <cacheField name="Verrouillage" numFmtId="0">
      <sharedItems containsBlank="1" containsMixedTypes="1" containsNumber="1" containsInteger="1" minValue="0" maxValue="1"/>
    </cacheField>
    <cacheField name="Procédure" numFmtId="0">
      <sharedItems containsString="0" containsBlank="1" containsNumber="1" containsInteger="1" minValue="0" maxValue="1"/>
    </cacheField>
    <cacheField name="Utilisation de l'historique client" numFmtId="0">
      <sharedItems containsBlank="1" containsMixedTypes="1" containsNumber="1" containsInteger="1" minValue="0" maxValue="1"/>
    </cacheField>
    <cacheField name="Commentaires de contacts" numFmtId="0">
      <sharedItems containsBlank="1" containsMixedTypes="1" containsNumber="1" containsInteger="1" minValue="0" maxValue="1"/>
    </cacheField>
    <cacheField name="Ecoute active/implication" numFmtId="0">
      <sharedItems containsString="0" containsBlank="1" containsNumber="1" containsInteger="1" minValue="0" maxValue="1"/>
    </cacheField>
    <cacheField name="Identification client" numFmtId="0">
      <sharedItems containsString="0" containsBlank="1" containsNumber="1" containsInteger="1" minValue="0" maxValue="1"/>
    </cacheField>
    <cacheField name="Questionnement" numFmtId="0">
      <sharedItems containsBlank="1" containsMixedTypes="1" containsNumber="1" containsInteger="1" minValue="0" maxValue="1"/>
    </cacheField>
    <cacheField name="Remerciement" numFmtId="0">
      <sharedItems containsBlank="1" containsMixedTypes="1" containsNumber="1" containsInteger="1" minValue="0" maxValue="1"/>
    </cacheField>
    <cacheField name="Discours" numFmtId="0">
      <sharedItems containsString="0" containsBlank="1" containsNumber="1" containsInteger="1" minValue="0" maxValue="1"/>
    </cacheField>
    <cacheField name="Communication sortante" numFmtId="0">
      <sharedItems containsBlank="1" containsMixedTypes="1" containsNumber="1" containsInteger="1" minValue="0" maxValue="1"/>
    </cacheField>
    <cacheField name="Accompagnement et valorisation du client" numFmtId="0">
      <sharedItems containsBlank="1" containsMixedTypes="1" containsNumber="1" containsInteger="1" minValue="0" maxValue="1"/>
    </cacheField>
    <cacheField name="Réponse correcte et complète - Résolution au premier contact" numFmtId="0">
      <sharedItems containsBlank="1" containsMixedTypes="1" containsNumber="1" containsInteger="1" minValue="0" maxValue="1"/>
    </cacheField>
    <cacheField name="Souhaite quelque chose d'agréable" numFmtId="0">
      <sharedItems containsBlank="1" containsMixedTypes="1" containsNumber="1" containsInteger="1" minValue="0" maxValue="1"/>
    </cacheField>
    <cacheField name="Ton, débit, volume, empathie" numFmtId="0">
      <sharedItems containsBlank="1" containsMixedTypes="1" containsNumber="1" containsInteger="1" minValue="0" maxValue="1"/>
    </cacheField>
    <cacheField name="Vérification et MAJ de l'adresse postale" numFmtId="0">
      <sharedItems containsBlank="1" containsMixedTypes="1" containsNumber="1" containsInteger="1" minValue="0" maxValue="1"/>
    </cacheField>
    <cacheField name="Traitement des objections" numFmtId="0">
      <sharedItems containsBlank="1" containsMixedTypes="1" containsNumber="1" containsInteger="1" minValue="0" maxValue="1"/>
    </cacheField>
    <cacheField name="Vérification et MAJ du numéro de téléphone" numFmtId="0">
      <sharedItems containsBlank="1" containsMixedTypes="1" containsNumber="1" containsInteger="1" minValue="0" maxValue="1"/>
    </cacheField>
    <cacheField name="Valorisation du service et/ou du produit" numFmtId="0">
      <sharedItems containsBlank="1" containsMixedTypes="1" containsNumber="1" containsInteger="1" minValue="0" maxValue="1"/>
    </cacheField>
    <cacheField name="Vocabulaire, jargon, utilisation du JE et du présent, syntaxe" numFmtId="0">
      <sharedItems containsString="0" containsBlank="1" containsNumber="1" containsInteger="1" minValue="0" maxValue="1"/>
    </cacheField>
    <cacheField name="MAJ des co issances produit (intranet, etc.)" numFmtId="0">
      <sharedItems containsBlank="1" containsMixedTypes="1" containsNumber="1" containsInteger="1" minValue="1" maxValue="1"/>
    </cacheField>
    <cacheField name="Amabilité, courtoisie, sourire" numFmtId="0">
      <sharedItems containsString="0" containsBlank="1" containsNumber="1" containsInteger="1" minValue="0" maxValue="1"/>
    </cacheField>
    <cacheField name="Fiabilisation" numFmtId="0">
      <sharedItems containsBlank="1" containsMixedTypes="1" containsNumber="1" containsInteger="1" minValue="0" maxValue="1"/>
    </cacheField>
    <cacheField name="Vérification et MAJ de l'adresse électronique" numFmtId="0">
      <sharedItems containsBlank="1" containsMixedTypes="1" containsNumber="1" containsInteger="1" minValue="0" maxValue="1"/>
    </cacheField>
    <cacheField name="Mise en attente" numFmtId="0">
      <sharedItems containsBlank="1" containsMixedTypes="1" containsNumber="1" containsInteger="1" minValue="0" maxValue="1"/>
    </cacheField>
    <cacheField name="Actions nécessaires effectuées - Respect des procédures" numFmtId="0">
      <sharedItems containsBlank="1" containsMixedTypes="1" containsNumber="1" containsInteger="1" minValue="0" maxValue="1"/>
    </cacheField>
    <cacheField name="Date Sig t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199.386871643517" createdVersion="4" refreshedVersion="4" minRefreshableVersion="3" recordCount="400">
  <cacheSource type="worksheet">
    <worksheetSource ref="A1:AO1048576" sheet="RESULTATS BO"/>
  </cacheSource>
  <cacheFields count="41">
    <cacheField name="SEMAINE" numFmtId="0">
      <sharedItems containsString="0" containsBlank="1" containsNumber="1" containsInteger="1" minValue="0" maxValue="51" count="27">
        <n v="1"/>
        <n v="2"/>
        <n v="3"/>
        <n v="4"/>
        <n v="5"/>
        <n v="6"/>
        <n v="7"/>
        <n v="8"/>
        <n v="10"/>
        <n v="11"/>
        <n v="12"/>
        <n v="13"/>
        <n v="9"/>
        <m/>
        <n v="0" u="1"/>
        <n v="40" u="1"/>
        <n v="42" u="1"/>
        <n v="44" u="1"/>
        <n v="46" u="1"/>
        <n v="48" u="1"/>
        <n v="50" u="1"/>
        <n v="41" u="1"/>
        <n v="43" u="1"/>
        <n v="45" u="1"/>
        <n v="47" u="1"/>
        <n v="49" u="1"/>
        <n v="51" u="1"/>
      </sharedItems>
    </cacheField>
    <cacheField name="MOIS (n°)" numFmtId="0">
      <sharedItems containsString="0" containsBlank="1" containsNumber="1" containsInteger="1" minValue="1" maxValue="3"/>
    </cacheField>
    <cacheField name="MOIS" numFmtId="0">
      <sharedItems containsBlank="1" count="7">
        <s v="Janvier"/>
        <s v="Février"/>
        <s v="Mars"/>
        <m/>
        <s v="Décembre" u="1"/>
        <s v="Novembre" u="1"/>
        <s v="Octobre" u="1"/>
      </sharedItems>
    </cacheField>
    <cacheField name="EQUIPE" numFmtId="0">
      <sharedItems containsBlank="1"/>
    </cacheField>
    <cacheField name="Date Appel" numFmtId="0">
      <sharedItems containsBlank="1"/>
    </cacheField>
    <cacheField name="Titre" numFmtId="0">
      <sharedItems containsBlank="1"/>
    </cacheField>
    <cacheField name="Nom Equipe" numFmtId="0">
      <sharedItems containsBlank="1"/>
    </cacheField>
    <cacheField name="Nom Agent" numFmtId="0">
      <sharedItems containsBlank="1" count="59">
        <s v="D HONDT TRACY"/>
        <s v="HAMMOUDI SAMIR"/>
        <s v="LEROUX FANNY"/>
        <s v="PETITPREZ MAUREEN"/>
        <s v="MARUITTE INGRID"/>
        <s v="RICART JONATHAN"/>
        <s v="AUBURTIN SANDRINE"/>
        <s v="BOUGE MAURINE"/>
        <s v="Szczotkowski Patrick"/>
        <s v="DUQUESNOY LAURA"/>
        <s v="AKADAR FATIHA"/>
        <s v="MOUACI LEILA"/>
        <s v="MEZINE LOTFI"/>
        <s v="DILMI Redouane"/>
        <s v="DELATTRE JULIEN"/>
        <s v="BROSEMER PHILIPPE"/>
        <s v="DEVIENNE MANON"/>
        <s v="GUFFROY MORGANE"/>
        <s v="YEZLI DJAMILA"/>
        <s v="BOCQUET PRESCILIA"/>
        <s v="NOYELLE MYLENE"/>
        <s v="Druon Amandine"/>
        <s v="WAGON LEA"/>
        <s v="LECOINTE VINCENT"/>
        <s v="DISTINGUIN FLORIAN"/>
        <s v="TENCHON LAURENCE"/>
        <s v="VANCAEYZEELE DELPHINE"/>
        <s v="Andrzejewski Melanie"/>
        <s v="DUCARIN Corinne"/>
        <s v="Molmy Virginie"/>
        <s v="ID MANSOUR Hassna"/>
        <s v="BOUANANE Samia Sofia"/>
        <s v="EL GHAZI Karima"/>
        <s v="GAMMANE Houda"/>
        <s v="LAMKHIDA Abderrahman"/>
        <s v="ELMOUMI Mariam"/>
        <s v="LAAROUCH Riham"/>
        <s v="KHALLOU Jihane"/>
        <s v="AIT EL ANTRI Farah"/>
        <s v="EL AYOUBI Imad"/>
        <s v="TARQUI Fairouz"/>
        <s v="TOUAMA Ilham"/>
        <s v="ZIDOUNI Nassima"/>
        <s v="KHALIL Imane"/>
        <s v="ZIDOUNI  ssima"/>
        <s v="BOUA NE Samia Sofia"/>
        <s v="ID MANSOUR Hass "/>
        <m/>
        <s v="CARPENTIER PAULINE" u="1"/>
        <s v="LEMPIRE EMELINE" u="1"/>
        <s v="REGUIGUI Ayoub" u="1"/>
        <s v="MAC0WIAK PERRINE" u="1"/>
        <s v="GENGEMBRE MAGALIE" u="1"/>
        <s v="BAUDUIN SANDRINE" u="1"/>
        <s v="D'HONDT TRACY" u="1"/>
        <s v="VERLEY Francois" u="1"/>
        <s v="RICART JO THAN" u="1"/>
        <s v="Szczot0wski Patrick" u="1"/>
        <s v="DEFONTAINE ALEXANDRE" u="1"/>
      </sharedItems>
    </cacheField>
    <cacheField name="Matricule" numFmtId="0">
      <sharedItems containsBlank="1"/>
    </cacheField>
    <cacheField name="Nom Coach" numFmtId="0">
      <sharedItems containsBlank="1"/>
    </cacheField>
    <cacheField name="note" numFmtId="0">
      <sharedItems containsString="0" containsBlank="1" containsNumber="1" minValue="31.111111111111111" maxValue="100"/>
    </cacheField>
    <cacheField name="ID Abonné" numFmtId="0">
      <sharedItems containsBlank="1"/>
    </cacheField>
    <cacheField name="Numéro Contact" numFmtId="0">
      <sharedItems containsBlank="1"/>
    </cacheField>
    <cacheField name="Origine" numFmtId="0">
      <sharedItems containsBlank="1"/>
    </cacheField>
    <cacheField name="Titre2" numFmtId="0">
      <sharedItems containsBlank="1" count="5">
        <s v="LMFR"/>
        <s v="MD"/>
        <s v="SEM"/>
        <s v="CO"/>
        <m/>
      </sharedItems>
    </cacheField>
    <cacheField name="Type de traitement" numFmtId="0">
      <sharedItems containsBlank="1"/>
    </cacheField>
    <cacheField name="Type d'évaluation" numFmtId="0">
      <sharedItems containsBlank="1"/>
    </cacheField>
    <cacheField name="Analyse de la demande, des commandes et de l'historique des échanges" numFmtId="0">
      <sharedItems containsBlank="1" containsMixedTypes="1" containsNumber="1" containsInteger="1" minValue="0" maxValue="1"/>
    </cacheField>
    <cacheField name="Aucune faute de grammaire ou d'orthographe" numFmtId="0">
      <sharedItems containsBlank="1" containsMixedTypes="1" containsNumber="1" containsInteger="1" minValue="0" maxValue="1"/>
    </cacheField>
    <cacheField name="Choix du modèle-type" numFmtId="0">
      <sharedItems containsBlank="1" containsMixedTypes="1" containsNumber="1" containsInteger="1" minValue="0" maxValue="1"/>
    </cacheField>
    <cacheField name="Identification (ou création) du dossier" numFmtId="0">
      <sharedItems containsBlank="1" containsMixedTypes="1" containsNumber="1" containsInteger="1" minValue="0" maxValue="1"/>
    </cacheField>
    <cacheField name="Pose du contact - PRN" numFmtId="0">
      <sharedItems containsString="0" containsBlank="1" containsNumber="1" containsInteger="1" minValue="0" maxValue="1"/>
    </cacheField>
    <cacheField name="Respect des procédures" numFmtId="0">
      <sharedItems containsBlank="1" containsMixedTypes="1" containsNumber="1" containsInteger="1" minValue="0" maxValue="1"/>
    </cacheField>
    <cacheField name="Procédure" numFmtId="0">
      <sharedItems containsBlank="1" containsMixedTypes="1" containsNumber="1" containsInteger="1" minValue="0" maxValue="1"/>
    </cacheField>
    <cacheField name="MAJ des con issances produit (intranet, etc.)" numFmtId="0">
      <sharedItems containsBlank="1" containsMixedTypes="1" containsNumber="1" containsInteger="1" minValue="1" maxValue="1"/>
    </cacheField>
    <cacheField name="MAJ des coordonnées postales" numFmtId="0">
      <sharedItems containsBlank="1" containsMixedTypes="1" containsNumber="1" containsInteger="1" minValue="0" maxValue="1"/>
    </cacheField>
    <cacheField name="Discours" numFmtId="0">
      <sharedItems containsBlank="1" containsMixedTypes="1" containsNumber="1" containsInteger="1" minValue="0" maxValue="1"/>
    </cacheField>
    <cacheField name="Commentaire" numFmtId="0">
      <sharedItems containsString="0" containsBlank="1" containsNumber="1" containsInteger="1" minValue="0" maxValue="1"/>
    </cacheField>
    <cacheField name="Réponse correcte et complète - Résolution au premier contact" numFmtId="0">
      <sharedItems containsBlank="1" containsMixedTypes="1" containsNumber="1" containsInteger="1" minValue="0" maxValue="1"/>
    </cacheField>
    <cacheField name="Respect des règles de gestion (cm, anomalie portage, etc.)" numFmtId="0">
      <sharedItems containsBlank="1" containsMixedTypes="1" containsNumber="1" containsInteger="1" minValue="0" maxValue="1"/>
    </cacheField>
    <cacheField name="Syntaxe claire et ponctuée" numFmtId="0">
      <sharedItems containsBlank="1" containsMixedTypes="1" containsNumber="1" containsInteger="1" minValue="0" maxValue="1"/>
    </cacheField>
    <cacheField name="Appel à l'assistance/cellule prio - Escalade vers le niveau 2" numFmtId="0">
      <sharedItems containsBlank="1" containsMixedTypes="1" containsNumber="1" containsInteger="1" minValue="0" maxValue="1"/>
    </cacheField>
    <cacheField name="Adresse mail expéditeur et destinataire" numFmtId="0">
      <sharedItems containsBlank="1" containsMixedTypes="1" containsNumber="1" containsInteger="1" minValue="1" maxValue="1"/>
    </cacheField>
    <cacheField name="MAJ des moyens de communication (téléphone, adresse électronique)" numFmtId="0">
      <sharedItems containsBlank="1" containsMixedTypes="1" containsNumber="1" containsInteger="1" minValue="0" maxValue="1"/>
    </cacheField>
    <cacheField name="Personalisation de la réponse" numFmtId="0">
      <sharedItems containsBlank="1" containsMixedTypes="1" containsNumber="1" containsInteger="1" minValue="0" maxValue="1"/>
    </cacheField>
    <cacheField name="Entête nominative - formule de politesse et prise de congé adaptées " numFmtId="0">
      <sharedItems containsBlank="1" containsMixedTypes="1" containsNumber="1" containsInteger="1" minValue="0" maxValue="1"/>
    </cacheField>
    <cacheField name="Accompagnement client - sens du service" numFmtId="0">
      <sharedItems containsBlank="1" containsMixedTypes="1" containsNumber="1" containsInteger="1" minValue="0" maxValue="1"/>
    </cacheField>
    <cacheField name="Présentation et mise en valeur des offres" numFmtId="0">
      <sharedItems containsBlank="1" containsMixedTypes="1" containsNumber="1" containsInteger="1" minValue="0" maxValue="1"/>
    </cacheField>
    <cacheField name="Valorisation des gestes co/dédommagement - valorisation de la marque" numFmtId="0">
      <sharedItems containsBlank="1" containsMixedTypes="1" containsNumber="1" containsInteger="1" minValue="0" maxValue="1"/>
    </cacheField>
    <cacheField name="Valorisation client" numFmtId="0">
      <sharedItems containsBlank="1" containsMixedTypes="1" containsNumber="1" containsInteger="1" minValue="1" maxValue="1"/>
    </cacheField>
    <cacheField name="Date Signat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1">
  <r>
    <x v="0"/>
    <n v="1"/>
    <x v="0"/>
    <s v="02/01/2018"/>
    <s v="GLM Grille FO"/>
    <s v="Bisiaux Corinne"/>
    <x v="0"/>
    <s v="23703"/>
    <s v="SADOCKI JIMMY"/>
    <n v="100"/>
    <s v="0002200959"/>
    <s v="Formation"/>
    <x v="0"/>
    <s v="SUSPENSION D'ABONN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02/01/2018"/>
  </r>
  <r>
    <x v="0"/>
    <n v="1"/>
    <x v="0"/>
    <s v="02/01/2018"/>
    <s v="GLM Grille FO"/>
    <s v="LIGENZA CYNTHIA"/>
    <x v="1"/>
    <s v="20994"/>
    <s v="SADOCKI JIMMY"/>
    <n v="100"/>
    <s v="0002964762"/>
    <s v="Formation"/>
    <x v="0"/>
    <s v="NON RECEPTION MQ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n v="1"/>
    <s v=" "/>
    <n v="1"/>
    <s v="02/01/2018"/>
  </r>
  <r>
    <x v="0"/>
    <n v="1"/>
    <x v="0"/>
    <s v="02/01/2018"/>
    <s v="GLM Grille FO"/>
    <s v="LIGENZA CYNTHIA"/>
    <x v="1"/>
    <s v="20994"/>
    <s v="MASCLET ANNIE LAURE"/>
    <n v="100"/>
    <s v="0010531461"/>
    <s v="Formation"/>
    <x v="0"/>
    <s v="Non récept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04/01/2018"/>
  </r>
  <r>
    <x v="0"/>
    <n v="1"/>
    <x v="0"/>
    <s v="02/01/2018"/>
    <s v="GLM Grille FO"/>
    <s v="LUNEAU JULIEN"/>
    <x v="2"/>
    <s v="25086"/>
    <s v="SADOCKI JIMMY"/>
    <n v="85.36666666666666"/>
    <s v="0010431217"/>
    <s v="Formation"/>
    <x v="0"/>
    <s v="NON RECEPTION MQ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0"/>
    <n v="1"/>
    <n v="0"/>
    <n v="1"/>
    <s v=" "/>
    <n v="0"/>
    <n v="1"/>
    <n v="1"/>
    <s v=" "/>
    <n v="1"/>
    <s v="02/01/2018"/>
  </r>
  <r>
    <x v="0"/>
    <n v="1"/>
    <x v="0"/>
    <s v="02/01/2018"/>
    <s v="GLM Grille FO"/>
    <s v="LUNEAU JULIEN"/>
    <x v="2"/>
    <s v="25086"/>
    <s v="LUNEAU JULIEN"/>
    <n v="96.25"/>
    <s v="1951238"/>
    <s v="Supervision"/>
    <x v="0"/>
    <s v="changement d'offre "/>
    <s v="Distance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31/01/2018"/>
  </r>
  <r>
    <x v="0"/>
    <n v="1"/>
    <x v="0"/>
    <s v="02/01/2018"/>
    <s v="GLM Grille FO"/>
    <s v="LUNEAU JULIEN"/>
    <x v="3"/>
    <s v="25084"/>
    <s v="LUNEAU JULIEN"/>
    <n v="94"/>
    <s v="10939832"/>
    <s v="Supervision"/>
    <x v="0"/>
    <s v="portage "/>
    <s v="Distance"/>
    <n v="1"/>
    <n v="1"/>
    <n v="1"/>
    <n v="1"/>
    <n v="1"/>
    <n v="0"/>
    <n v="1"/>
    <n v="1"/>
    <n v="1"/>
    <n v="1"/>
    <n v="1"/>
    <n v="1"/>
    <n v="1"/>
    <n v="1"/>
    <n v="1"/>
    <n v="1"/>
    <n v="1"/>
    <n v="0"/>
    <n v="1"/>
    <n v="1"/>
    <n v="1"/>
    <n v="1"/>
    <n v="1"/>
    <n v="1"/>
    <s v=" "/>
    <n v="1"/>
    <n v="1"/>
    <n v="1"/>
    <s v=" "/>
    <n v="1"/>
    <s v="25/01/2018"/>
  </r>
  <r>
    <x v="0"/>
    <n v="1"/>
    <x v="0"/>
    <s v="03/01/2018"/>
    <s v="GLM Grille FO"/>
    <s v="Bisiaux Corinne"/>
    <x v="0"/>
    <s v="23703"/>
    <s v="Bisiaux Corinne"/>
    <n v="96.25"/>
    <s v="0011149583"/>
    <s v="Supervision"/>
    <x v="1"/>
    <s v="N TRIPL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04/01/2018"/>
  </r>
  <r>
    <x v="0"/>
    <n v="1"/>
    <x v="0"/>
    <s v="03/01/2018"/>
    <s v="GLM Grille FO"/>
    <s v="Bisiaux Corinne"/>
    <x v="0"/>
    <s v="23703"/>
    <s v="MASCLET ANNIE LAURE"/>
    <n v="100"/>
    <s v="10412411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0/01/2018"/>
  </r>
  <r>
    <x v="0"/>
    <n v="1"/>
    <x v="0"/>
    <s v="03/01/2018"/>
    <s v="GLM Grille FO"/>
    <s v="Bisiaux Corinne"/>
    <x v="4"/>
    <s v="21330"/>
    <s v="Bisiaux Corinne"/>
    <n v="100"/>
    <s v="0000859238"/>
    <s v="Supervision"/>
    <x v="0"/>
    <s v="probleme de portage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n v="1"/>
    <n v="1"/>
    <s v=" "/>
    <n v="1"/>
    <s v="04/01/2018"/>
  </r>
  <r>
    <x v="0"/>
    <n v="1"/>
    <x v="0"/>
    <s v="03/01/2018"/>
    <s v="GLM Grille FO"/>
    <s v="Bisiaux Corinne"/>
    <x v="5"/>
    <s v="23704"/>
    <s v="MASCLET ANNIE LAURE"/>
    <n v="90.166666666666671"/>
    <s v="0000797040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0"/>
    <n v="0"/>
    <n v="1"/>
    <n v="1"/>
    <s v=" "/>
    <n v="1"/>
    <n v="1"/>
    <n v="0"/>
    <s v=" "/>
    <n v="1"/>
    <s v="19/01/2018"/>
  </r>
  <r>
    <x v="0"/>
    <n v="1"/>
    <x v="0"/>
    <s v="03/01/2018"/>
    <s v="GLM Grille FO"/>
    <s v="Bisiaux Corinne"/>
    <x v="5"/>
    <s v="23704"/>
    <s v="Bisiaux Corinne"/>
    <n v="97"/>
    <s v="0011086432"/>
    <s v="Supervision"/>
    <x v="1"/>
    <s v="COMMANDE HS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0"/>
    <n v="1"/>
    <n v="1"/>
    <n v="1"/>
    <n v="1"/>
    <n v="1"/>
    <s v=" "/>
    <n v="1"/>
    <s v="04/01/2018"/>
  </r>
  <r>
    <x v="0"/>
    <n v="1"/>
    <x v="0"/>
    <s v="03/01/2018"/>
    <s v="GLM Grille FO"/>
    <s v="Bisiaux Corinne"/>
    <x v="5"/>
    <s v="23704"/>
    <s v="Bisiaux Corinne"/>
    <n v="100"/>
    <s v="10705944"/>
    <s v="Supervision"/>
    <x v="0"/>
    <s v="DEMANDE DE PORTAGE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n v="1"/>
    <n v="1"/>
    <s v=" "/>
    <n v="1"/>
    <s v="04/01/2018"/>
  </r>
  <r>
    <x v="0"/>
    <n v="1"/>
    <x v="0"/>
    <s v="03/01/2018"/>
    <s v="GLM Grille FO"/>
    <s v="Bisiaux Corinne"/>
    <x v="6"/>
    <s v="25085"/>
    <s v="Bisiaux Corinne"/>
    <n v="100"/>
    <s v="0010257703"/>
    <s v="Supervision"/>
    <x v="0"/>
    <s v="ABONNEMENT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9/01/2018"/>
  </r>
  <r>
    <x v="0"/>
    <n v="1"/>
    <x v="0"/>
    <s v="03/01/2018"/>
    <s v="GLM Grille FO"/>
    <s v="LIGENZA CYNTHIA"/>
    <x v="7"/>
    <s v="19896"/>
    <s v="MASCLET ANNIE LAURE"/>
    <n v="90.166666666666671"/>
    <s v="0010297751"/>
    <s v="Formation"/>
    <x v="0"/>
    <s v="Non réception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0"/>
    <n v="1"/>
    <n v="1"/>
    <s v=" "/>
    <n v="1"/>
    <n v="1"/>
    <n v="0"/>
    <s v=" "/>
    <n v="1"/>
    <s v="18/01/2018"/>
  </r>
  <r>
    <x v="0"/>
    <n v="1"/>
    <x v="0"/>
    <s v="03/01/2018"/>
    <s v="GLM Grille FO"/>
    <s v="LUNEAU JULIEN"/>
    <x v="8"/>
    <s v="23707"/>
    <s v="MASCLET ANNIE LAURE"/>
    <n v="89.166666666666671"/>
    <s v="5000412611"/>
    <s v="Formation"/>
    <x v="2"/>
    <s v="Demande d'accès sur le monde.fr"/>
    <s v="Distance"/>
    <n v="1"/>
    <n v="1"/>
    <n v="1"/>
    <n v="1"/>
    <n v="0"/>
    <n v="0"/>
    <n v="1"/>
    <n v="1"/>
    <n v="1"/>
    <n v="1"/>
    <n v="1"/>
    <n v="1"/>
    <n v="1"/>
    <n v="1"/>
    <s v=" "/>
    <n v="1"/>
    <n v="1"/>
    <n v="1"/>
    <n v="1"/>
    <n v="1"/>
    <n v="1"/>
    <n v="0"/>
    <n v="1"/>
    <n v="1"/>
    <s v=" "/>
    <n v="1"/>
    <n v="1"/>
    <n v="1"/>
    <s v=" "/>
    <n v="1"/>
    <s v="04/01/2018"/>
  </r>
  <r>
    <x v="0"/>
    <n v="1"/>
    <x v="0"/>
    <s v="03/01/2018"/>
    <s v="GLM Grille FO"/>
    <s v="LUNEAU JULIEN"/>
    <x v="9"/>
    <s v="25545"/>
    <s v="LUNEAU JULIEN"/>
    <n v="88"/>
    <s v="238972"/>
    <s v="Supervision"/>
    <x v="0"/>
    <s v="reabo"/>
    <s v="Distance"/>
    <n v="1"/>
    <s v=" 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0"/>
    <n v="0"/>
    <n v="1"/>
    <s v=" "/>
    <n v="1"/>
    <n v="1"/>
    <n v="0"/>
    <s v=" "/>
    <n v="1"/>
    <s v="17/01/2018"/>
  </r>
  <r>
    <x v="0"/>
    <n v="1"/>
    <x v="0"/>
    <s v="03/01/2018"/>
    <s v="GLM Grille FO"/>
    <s v="LUNEAU JULIEN"/>
    <x v="9"/>
    <s v="25545"/>
    <s v="LUNEAU JULIEN"/>
    <n v="92.4"/>
    <s v="552376"/>
    <s v="Supervision"/>
    <x v="0"/>
    <s v="chgt de formule "/>
    <s v="Distance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0"/>
    <n v="1"/>
    <s v=" "/>
    <n v="1"/>
    <n v="1"/>
    <n v="1"/>
    <s v=" "/>
    <n v="1"/>
    <n v="1"/>
    <n v="1"/>
    <n v="1"/>
    <n v="1"/>
    <s v="17/01/2018"/>
  </r>
  <r>
    <x v="0"/>
    <n v="1"/>
    <x v="0"/>
    <s v="03/01/2018"/>
    <s v="GLM Grille FO"/>
    <s v="LUNEAU JULIEN"/>
    <x v="2"/>
    <s v="25086"/>
    <s v="MASCLET ANNIE LAURE"/>
    <n v="86.208791208791212"/>
    <s v="1928416"/>
    <s v="Formation"/>
    <x v="0"/>
    <s v="Demande client livraison par Portage"/>
    <s v="Distance"/>
    <n v="1"/>
    <n v="1"/>
    <n v="1"/>
    <n v="1"/>
    <n v="0"/>
    <s v=" "/>
    <n v="1"/>
    <n v="1"/>
    <n v="1"/>
    <n v="1"/>
    <n v="1"/>
    <n v="1"/>
    <s v=" "/>
    <n v="1"/>
    <s v=" "/>
    <n v="1"/>
    <n v="1"/>
    <s v=" "/>
    <n v="0"/>
    <n v="1"/>
    <n v="1"/>
    <n v="1"/>
    <s v=" "/>
    <n v="1"/>
    <s v=" "/>
    <n v="1"/>
    <s v=" "/>
    <n v="1"/>
    <s v=" "/>
    <s v=" "/>
    <s v="08/01/2018"/>
  </r>
  <r>
    <x v="0"/>
    <n v="1"/>
    <x v="0"/>
    <s v="04/01/2018"/>
    <s v="GLM Grille FO"/>
    <s v="Bisiaux Corinne"/>
    <x v="10"/>
    <s v="25543"/>
    <s v="Bisiaux Corinne"/>
    <n v="97"/>
    <s v="2105221"/>
    <s v="Supervision"/>
    <x v="0"/>
    <s v="RESILIATION"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n v="1"/>
    <s v=" "/>
    <n v="1"/>
    <s v="29/01/2018"/>
  </r>
  <r>
    <x v="0"/>
    <n v="1"/>
    <x v="0"/>
    <s v="04/01/2018"/>
    <s v="GLM Grille FO"/>
    <s v="Bisiaux Corinne"/>
    <x v="10"/>
    <s v="25543"/>
    <s v="SADOCKI JIMMY"/>
    <n v="98"/>
    <s v="695326"/>
    <s v="Comité externe"/>
    <x v="0"/>
    <s v="SUSPENSION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0"/>
    <s v=" "/>
    <n v="1"/>
    <s v="04/01/2018"/>
  </r>
  <r>
    <x v="0"/>
    <n v="1"/>
    <x v="0"/>
    <s v="04/01/2018"/>
    <s v="GLM Grille FO"/>
    <s v="Bisiaux Corinne"/>
    <x v="6"/>
    <s v="25085"/>
    <s v="SADOCKI JIMMY"/>
    <n v="90.2"/>
    <s v="0000639996"/>
    <s v="Comité externe"/>
    <x v="0"/>
    <s v="DEMANDE INFO COLLECTION RBA"/>
    <s v="Distance"/>
    <n v="1"/>
    <n v="1"/>
    <n v="1"/>
    <n v="1"/>
    <n v="1"/>
    <n v="1"/>
    <n v="1"/>
    <s v=" "/>
    <n v="1"/>
    <n v="0"/>
    <n v="1"/>
    <n v="1"/>
    <n v="1"/>
    <n v="1"/>
    <s v=" "/>
    <s v=" "/>
    <n v="1"/>
    <n v="1"/>
    <n v="1"/>
    <n v="0"/>
    <s v=" "/>
    <n v="0"/>
    <s v=" "/>
    <n v="1"/>
    <s v=" "/>
    <n v="1"/>
    <n v="1"/>
    <n v="0"/>
    <n v="1"/>
    <n v="1"/>
    <s v="04/01/2018"/>
  </r>
  <r>
    <x v="0"/>
    <n v="1"/>
    <x v="0"/>
    <s v="04/01/2018"/>
    <s v="GLM Grille FO"/>
    <s v="LIGENZA CYNTHIA"/>
    <x v="7"/>
    <s v="19896"/>
    <s v="SADOCKI JIMMY"/>
    <n v="81.2"/>
    <s v="0001035101"/>
    <s v="Comité externe"/>
    <x v="0"/>
    <s v="DEMANDE CONFIRMATION REABO"/>
    <s v="Distance"/>
    <n v="0"/>
    <s v=" "/>
    <n v="1"/>
    <n v="1"/>
    <n v="1"/>
    <n v="1"/>
    <n v="1"/>
    <n v="1"/>
    <n v="1"/>
    <n v="1"/>
    <n v="1"/>
    <n v="1"/>
    <n v="1"/>
    <n v="1"/>
    <s v=" "/>
    <n v="0"/>
    <n v="1"/>
    <n v="1"/>
    <n v="1"/>
    <n v="1"/>
    <n v="0"/>
    <n v="1"/>
    <n v="1"/>
    <n v="1"/>
    <s v=" "/>
    <n v="1"/>
    <n v="1"/>
    <n v="1"/>
    <n v="0"/>
    <n v="1"/>
    <s v="04/01/2018"/>
  </r>
  <r>
    <x v="0"/>
    <n v="1"/>
    <x v="0"/>
    <s v="04/01/2018"/>
    <s v="GLM Grille FO"/>
    <s v="LIGENZA CYNTHIA"/>
    <x v="11"/>
    <s v="25090"/>
    <s v="SADOCKI JIMMY"/>
    <n v="92.2"/>
    <s v="0000639996"/>
    <s v="Comité externe"/>
    <x v="0"/>
    <s v="NON RECEPTION JOURNAL"/>
    <s v="Distance"/>
    <n v="1"/>
    <n v="1"/>
    <n v="1"/>
    <n v="1"/>
    <n v="1"/>
    <n v="1"/>
    <n v="1"/>
    <n v="1"/>
    <n v="1"/>
    <n v="1"/>
    <n v="1"/>
    <n v="1"/>
    <n v="1"/>
    <n v="1"/>
    <n v="0"/>
    <n v="1"/>
    <n v="1"/>
    <n v="1"/>
    <n v="0"/>
    <n v="1"/>
    <s v=" "/>
    <n v="1"/>
    <n v="1"/>
    <n v="1"/>
    <s v=" "/>
    <n v="1"/>
    <n v="1"/>
    <n v="1"/>
    <n v="1"/>
    <n v="1"/>
    <s v="04/01/2018"/>
  </r>
  <r>
    <x v="0"/>
    <n v="1"/>
    <x v="0"/>
    <s v="04/01/2018"/>
    <s v="GLM Grille FO"/>
    <s v="LUNEAU JULIEN"/>
    <x v="9"/>
    <s v="25545"/>
    <s v="SADOCKI JIMMY"/>
    <n v="92.5"/>
    <s v="0000629101"/>
    <s v="Comité externe"/>
    <x v="0"/>
    <s v="SUSPENSION TEMPORAIRE"/>
    <s v="Distance"/>
    <n v="1"/>
    <n v="0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04/01/2018"/>
  </r>
  <r>
    <x v="0"/>
    <n v="1"/>
    <x v="0"/>
    <s v="04/01/2018"/>
    <s v="GLM Grille FO"/>
    <s v="LUNEAU JULIEN"/>
    <x v="2"/>
    <s v="25086"/>
    <s v="SADOCKI JIMMY"/>
    <n v="63.35"/>
    <s v="10711901"/>
    <s v="Comité externe"/>
    <x v="0"/>
    <s v="DEMANDE CONFIRMATION REABO"/>
    <s v="Distance"/>
    <n v="0"/>
    <n v="1"/>
    <n v="1"/>
    <n v="1"/>
    <n v="0"/>
    <n v="1"/>
    <n v="1"/>
    <n v="0"/>
    <n v="1"/>
    <n v="0"/>
    <n v="1"/>
    <n v="1"/>
    <n v="1"/>
    <n v="1"/>
    <n v="1"/>
    <n v="0"/>
    <n v="0"/>
    <n v="1"/>
    <n v="1"/>
    <n v="1"/>
    <s v=" "/>
    <n v="1"/>
    <n v="0"/>
    <n v="1"/>
    <s v=" "/>
    <n v="0"/>
    <n v="1"/>
    <n v="1"/>
    <s v=" "/>
    <n v="1"/>
    <s v="04/01/2018"/>
  </r>
  <r>
    <x v="0"/>
    <n v="1"/>
    <x v="0"/>
    <s v="04/01/2018"/>
    <s v="GLM Grille FO"/>
    <s v="LUNEAU JULIEN"/>
    <x v="3"/>
    <s v="25084"/>
    <s v="SADOCKI JIMMY"/>
    <n v="93.25"/>
    <s v="0011295541"/>
    <s v="Comité externe"/>
    <x v="0"/>
    <s v="NON RECEPTION VPC"/>
    <s v="Distance"/>
    <n v="1"/>
    <n v="1"/>
    <n v="1"/>
    <n v="1"/>
    <n v="1"/>
    <n v="0"/>
    <n v="1"/>
    <n v="1"/>
    <n v="1"/>
    <n v="1"/>
    <n v="1"/>
    <n v="1"/>
    <n v="1"/>
    <n v="0"/>
    <s v=" "/>
    <n v="1"/>
    <n v="1"/>
    <n v="1"/>
    <n v="1"/>
    <n v="1"/>
    <s v=" "/>
    <n v="1"/>
    <n v="0"/>
    <n v="1"/>
    <s v=" "/>
    <n v="1"/>
    <n v="1"/>
    <n v="1"/>
    <s v=" "/>
    <n v="1"/>
    <s v="04/01/2018"/>
  </r>
  <r>
    <x v="0"/>
    <n v="1"/>
    <x v="0"/>
    <s v="05/01/2018"/>
    <s v="GLM Grille FO"/>
    <s v="LUNEAU JULIEN"/>
    <x v="9"/>
    <s v="25545"/>
    <s v="LUNEAU JULIEN"/>
    <n v="100"/>
    <s v="0011295092"/>
    <s v="Supervision"/>
    <x v="0"/>
    <s v="commande article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s v=" "/>
    <n v="1"/>
    <n v="1"/>
    <s v=" "/>
    <n v="1"/>
    <n v="1"/>
    <s v=" "/>
    <s v=" "/>
    <n v="1"/>
    <s v="17/01/2018"/>
  </r>
  <r>
    <x v="0"/>
    <n v="1"/>
    <x v="0"/>
    <s v="05/01/2018"/>
    <s v="GLM Grille FO"/>
    <s v="LUNEAU JULIEN"/>
    <x v="12"/>
    <s v="5858"/>
    <s v="LUNEAU JULIEN"/>
    <n v="98"/>
    <s v="0011292539"/>
    <s v="Supervision"/>
    <x v="1"/>
    <s v="demande d'abo"/>
    <s v="Distance"/>
    <n v="1"/>
    <n v="1"/>
    <n v="1"/>
    <s v=" "/>
    <n v="1"/>
    <n v="1"/>
    <n v="1"/>
    <n v="1"/>
    <s v=" 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0"/>
    <n v="1"/>
    <n v="1"/>
    <m/>
  </r>
  <r>
    <x v="1"/>
    <n v="1"/>
    <x v="0"/>
    <s v="08/01/2018"/>
    <s v="GLM Grille FO"/>
    <s v="LIGENZA CYNTHIA"/>
    <x v="13"/>
    <s v="25088"/>
    <s v="MASCLET ANNIE LAURE"/>
    <n v="58.416666666666664"/>
    <s v="0011273340"/>
    <s v="Formation"/>
    <x v="0"/>
    <s v="Non réception &amp; confirmation de mode de livraison"/>
    <s v="Distance"/>
    <n v="1"/>
    <n v="0"/>
    <n v="1"/>
    <n v="1"/>
    <n v="0"/>
    <n v="0"/>
    <n v="1"/>
    <n v="1"/>
    <n v="1"/>
    <n v="1"/>
    <n v="1"/>
    <n v="0"/>
    <n v="1"/>
    <n v="1"/>
    <s v=" "/>
    <n v="0"/>
    <n v="1"/>
    <n v="1"/>
    <n v="1"/>
    <n v="1"/>
    <n v="0"/>
    <n v="0"/>
    <n v="0"/>
    <n v="1"/>
    <s v=" "/>
    <n v="1"/>
    <n v="0"/>
    <n v="0"/>
    <s v=" "/>
    <n v="1"/>
    <s v="10/01/2018"/>
  </r>
  <r>
    <x v="1"/>
    <n v="1"/>
    <x v="0"/>
    <s v="08/01/2018"/>
    <s v="GLM Grille FO"/>
    <s v="LUNEAU JULIEN"/>
    <x v="8"/>
    <s v="23707"/>
    <s v="MASCLET ANNIE LAURE"/>
    <n v="100"/>
    <s v="0001446399"/>
    <s v="Formation"/>
    <x v="0"/>
    <s v="Problème accès sur l'application depuis tablett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s v=" "/>
    <n v="1"/>
    <n v="1"/>
    <n v="1"/>
    <s v="10/01/2018"/>
  </r>
  <r>
    <x v="1"/>
    <n v="1"/>
    <x v="0"/>
    <s v="08/01/2018"/>
    <s v="GLM Grille FO"/>
    <s v="LUNEAU JULIEN"/>
    <x v="8"/>
    <s v="23707"/>
    <s v="MASCLET ANNIE LAURE"/>
    <n v="100"/>
    <s v="10534035"/>
    <s v="Formation"/>
    <x v="0"/>
    <s v="Client ne parvient pas à accèder à l'espace abonné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0/01/2018"/>
  </r>
  <r>
    <x v="1"/>
    <n v="1"/>
    <x v="0"/>
    <s v="10/01/2018"/>
    <s v="GLM Grille FO"/>
    <s v="LIGENZA CYNTHIA"/>
    <x v="1"/>
    <s v="20994"/>
    <s v="MASCLET ANNIE LAURE"/>
    <n v="93"/>
    <s v="10459056"/>
    <s v="Formation"/>
    <x v="1"/>
    <s v="Demande client relance Reab automatique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3/01/2018"/>
  </r>
  <r>
    <x v="1"/>
    <n v="1"/>
    <x v="0"/>
    <s v="10/01/2018"/>
    <s v="GLM Grille FO"/>
    <s v="LIGENZA CYNTHIA"/>
    <x v="1"/>
    <s v="20994"/>
    <s v="MASCLET ANNIE LAURE"/>
    <n v="100"/>
    <s v="0010643074"/>
    <s v="Formation"/>
    <x v="1"/>
    <s v="Information sur absence de paru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n v="1"/>
    <n v="1"/>
    <s v=" "/>
    <n v="1"/>
    <s v="23/01/2018"/>
  </r>
  <r>
    <x v="1"/>
    <n v="1"/>
    <x v="0"/>
    <s v="10/01/2018"/>
    <s v="GLM Grille FO"/>
    <s v="LUNEAU JULIEN"/>
    <x v="14"/>
    <s v="23902"/>
    <s v="MASCLET ANNIE LAURE"/>
    <n v="100"/>
    <s v="10539298"/>
    <s v="Formation"/>
    <x v="1"/>
    <s v="Demande de facture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25/01/2018"/>
  </r>
  <r>
    <x v="1"/>
    <n v="1"/>
    <x v="0"/>
    <s v="12/01/2018"/>
    <s v="GLM Grille FO"/>
    <s v="Bisiaux Corinne"/>
    <x v="0"/>
    <s v="23703"/>
    <s v="MASCLET ANNIE LAURE"/>
    <n v="100"/>
    <s v="0002170013"/>
    <s v="Formation"/>
    <x v="1"/>
    <s v="Confirmation d'un abonnement en cours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9/01/2018"/>
  </r>
  <r>
    <x v="1"/>
    <n v="1"/>
    <x v="0"/>
    <s v="12/01/2018"/>
    <s v="GLM Grille FO"/>
    <s v="LUNEAU JULIEN"/>
    <x v="14"/>
    <s v="23902"/>
    <s v="MASCLET ANNIE LAURE"/>
    <n v="94.166666666666671"/>
    <s v="0003100464"/>
    <s v="Formation"/>
    <x v="1"/>
    <s v="Confirmation réab"/>
    <s v="Distance"/>
    <n v="1"/>
    <n v="1"/>
    <n v="1"/>
    <n v="1"/>
    <n v="1"/>
    <n v="1"/>
    <n v="1"/>
    <n v="1"/>
    <n v="1"/>
    <n v="1"/>
    <n v="1"/>
    <n v="1"/>
    <n v="1"/>
    <n v="1"/>
    <s v=" "/>
    <n v="1"/>
    <n v="0"/>
    <n v="1"/>
    <n v="1"/>
    <n v="1"/>
    <n v="1"/>
    <n v="1"/>
    <n v="1"/>
    <n v="1"/>
    <s v=" "/>
    <n v="1"/>
    <n v="1"/>
    <n v="1"/>
    <s v=" "/>
    <n v="1"/>
    <s v="25/01/2018"/>
  </r>
  <r>
    <x v="2"/>
    <n v="1"/>
    <x v="0"/>
    <s v="15/01/2018"/>
    <s v="GLM Grille FO"/>
    <s v="Bisiaux Corinne"/>
    <x v="0"/>
    <s v="23703"/>
    <s v="LUNEAU JULIEN"/>
    <n v="96.25"/>
    <s v="0010539833"/>
    <s v="Comité externe"/>
    <x v="1"/>
    <s v="Procédure d'annul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17/01/2018"/>
  </r>
  <r>
    <x v="2"/>
    <n v="1"/>
    <x v="0"/>
    <s v="15/01/2018"/>
    <s v="GLM Grille FO"/>
    <s v="Bisiaux Corinne"/>
    <x v="4"/>
    <s v="21330"/>
    <s v="MASCLET ANNIE LAURE"/>
    <n v="94"/>
    <s v="0010931328"/>
    <s v="Comité externe"/>
    <x v="3"/>
    <s v="Procédure d'annul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0"/>
    <n v="1"/>
    <n v="0"/>
    <n v="1"/>
    <n v="1"/>
    <s v=" "/>
    <n v="1"/>
    <n v="1"/>
    <n v="0"/>
    <s v=" "/>
    <n v="1"/>
    <s v="17/01/2018"/>
  </r>
  <r>
    <x v="2"/>
    <n v="1"/>
    <x v="0"/>
    <s v="15/01/2018"/>
    <s v="GLM Grille FO"/>
    <s v="LIGENZA CYNTHIA"/>
    <x v="1"/>
    <s v="20994"/>
    <s v="MASCLET ANNIE LAURE"/>
    <n v="100"/>
    <s v="0011328825"/>
    <s v="Comité externe"/>
    <x v="3"/>
    <s v="Souscription d'abonnement payant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17/01/2018"/>
  </r>
  <r>
    <x v="2"/>
    <n v="1"/>
    <x v="0"/>
    <s v="15/01/2018"/>
    <s v="GLM Grille FO"/>
    <s v="LIGENZA CYNTHIA"/>
    <x v="1"/>
    <s v="20994"/>
    <s v="MASCLET ANNIE LAURE"/>
    <n v="100"/>
    <s v="0010626409"/>
    <s v="Comité externe"/>
    <x v="3"/>
    <s v="Confirmation enregistrement règlement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7/01/2018"/>
  </r>
  <r>
    <x v="2"/>
    <n v="1"/>
    <x v="0"/>
    <s v="15/01/2018"/>
    <s v="GLM Grille FO"/>
    <s v="LIGENZA CYNTHIA"/>
    <x v="1"/>
    <s v="20994"/>
    <s v="MASCLET ANNIE LAURE"/>
    <n v="100"/>
    <s v="002139556"/>
    <s v="Comité externe"/>
    <x v="3"/>
    <s v="Non réception en France ou à l'étranger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7/01/2018"/>
  </r>
  <r>
    <x v="2"/>
    <n v="1"/>
    <x v="0"/>
    <s v="15/01/2018"/>
    <s v="GLM Grille FO"/>
    <s v="LUNEAU JULIEN"/>
    <x v="12"/>
    <s v="5858"/>
    <s v="LUNEAU JULIEN"/>
    <n v="89"/>
    <s v="0011303736"/>
    <s v="Comité externe"/>
    <x v="1"/>
    <s v="Non réception"/>
    <s v="Distance"/>
    <n v="1"/>
    <s v=" "/>
    <n v="1"/>
    <n v="1"/>
    <n v="1"/>
    <n v="1"/>
    <n v="1"/>
    <n v="1"/>
    <n v="1"/>
    <n v="1"/>
    <n v="1"/>
    <n v="1"/>
    <n v="1"/>
    <n v="1"/>
    <s v=" "/>
    <n v="1"/>
    <n v="0"/>
    <n v="1"/>
    <n v="1"/>
    <n v="1"/>
    <s v=" "/>
    <n v="0"/>
    <n v="1"/>
    <n v="1"/>
    <s v=" "/>
    <n v="1"/>
    <n v="1"/>
    <n v="0"/>
    <s v=" "/>
    <n v="1"/>
    <m/>
  </r>
  <r>
    <x v="2"/>
    <n v="1"/>
    <x v="0"/>
    <s v="15/01/2018"/>
    <s v="GLM Grille FO"/>
    <s v="LUNEAU JULIEN"/>
    <x v="12"/>
    <s v="5858"/>
    <s v="LUNEAU JULIEN"/>
    <n v="100"/>
    <m/>
    <s v="Supervision"/>
    <x v="1"/>
    <s v="commande VPC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n v="1"/>
    <n v="1"/>
    <m/>
  </r>
  <r>
    <x v="2"/>
    <n v="1"/>
    <x v="0"/>
    <s v="15/01/2018"/>
    <s v="GLM Grille FO"/>
    <s v="LUNEAU JULIEN"/>
    <x v="2"/>
    <s v="25086"/>
    <s v="LUNEAU JULIEN"/>
    <n v="93.25"/>
    <s v="2457575"/>
    <s v="Supervision"/>
    <x v="0"/>
    <s v="changement de formule "/>
    <s v="Distance"/>
    <n v="1"/>
    <n v="0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31/01/2018"/>
  </r>
  <r>
    <x v="2"/>
    <n v="1"/>
    <x v="0"/>
    <s v="15/01/2018"/>
    <s v="GLM Grille FO"/>
    <s v="LUNEAU JULIEN"/>
    <x v="14"/>
    <s v="23902"/>
    <s v="MASCLET ANNIE LAURE"/>
    <n v="100"/>
    <s v="0002985312"/>
    <s v="Comité externe"/>
    <x v="3"/>
    <s v="Procédure d'annul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7/01/2018"/>
  </r>
  <r>
    <x v="2"/>
    <n v="1"/>
    <x v="0"/>
    <s v="15/01/2018"/>
    <s v="GLM Grille FO"/>
    <s v="LUNEAU JULIEN"/>
    <x v="14"/>
    <s v="23902"/>
    <s v="MASCLET ANNIE LAURE"/>
    <n v="100"/>
    <s v="0000103205"/>
    <s v="Comité externe"/>
    <x v="3"/>
    <s v="Changement de formules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7/01/2018"/>
  </r>
  <r>
    <x v="2"/>
    <n v="1"/>
    <x v="0"/>
    <s v="15/01/2018"/>
    <s v="GLM Grille FO"/>
    <s v="LUNEAU JULIEN"/>
    <x v="15"/>
    <s v="25546"/>
    <s v="LUNEAU JULIEN"/>
    <n v="92.2"/>
    <s v="5002874526"/>
    <s v="Supervision"/>
    <x v="0"/>
    <s v="non recep"/>
    <s v="Distance"/>
    <n v="1"/>
    <n v="1"/>
    <n v="1"/>
    <n v="1"/>
    <n v="1"/>
    <n v="1"/>
    <n v="1"/>
    <n v="1"/>
    <n v="1"/>
    <n v="0"/>
    <n v="1"/>
    <n v="1"/>
    <n v="1"/>
    <n v="1"/>
    <s v=" "/>
    <n v="1"/>
    <n v="1"/>
    <n v="1"/>
    <n v="1"/>
    <n v="1"/>
    <n v="1"/>
    <n v="0"/>
    <n v="1"/>
    <n v="1"/>
    <s v=" "/>
    <n v="1"/>
    <n v="1"/>
    <n v="0"/>
    <s v=" "/>
    <n v="1"/>
    <s v="23/01/2018"/>
  </r>
  <r>
    <x v="2"/>
    <n v="1"/>
    <x v="0"/>
    <s v="15/01/2018"/>
    <s v="GLM Grille FO"/>
    <s v="LUNEAU JULIEN"/>
    <x v="15"/>
    <s v="25546"/>
    <s v="LUNEAU JULIEN"/>
    <n v="100"/>
    <s v="11214015"/>
    <s v="Supervision"/>
    <x v="0"/>
    <s v="paiement facture 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n v="1"/>
    <n v="1"/>
    <s v="23/01/2018"/>
  </r>
  <r>
    <x v="2"/>
    <n v="1"/>
    <x v="0"/>
    <s v="16/01/2018"/>
    <s v="GLM Grille FO"/>
    <s v="Bisiaux Corinne"/>
    <x v="0"/>
    <s v="23703"/>
    <s v="MASCLET ANNIE LAURE"/>
    <n v="96.25"/>
    <s v="0011189565"/>
    <s v="Comité externe"/>
    <x v="1"/>
    <s v=" Non réception en France ou à l'étranger"/>
    <s v="Distance"/>
    <n v="1"/>
    <n v="1"/>
    <n v="1"/>
    <n v="1"/>
    <n v="1"/>
    <n v="1"/>
    <n v="1"/>
    <n v="1"/>
    <n v="1"/>
    <n v="1"/>
    <n v="1"/>
    <n v="1"/>
    <n v="1"/>
    <n v="1"/>
    <s v=" "/>
    <n v="0"/>
    <n v="1"/>
    <n v="1"/>
    <n v="1"/>
    <n v="1"/>
    <n v="1"/>
    <n v="1"/>
    <n v="1"/>
    <n v="1"/>
    <s v=" "/>
    <n v="1"/>
    <n v="1"/>
    <n v="1"/>
    <n v="1"/>
    <n v="1"/>
    <s v="17/01/2018"/>
  </r>
  <r>
    <x v="2"/>
    <n v="1"/>
    <x v="0"/>
    <s v="16/01/2018"/>
    <s v="GLM Grille FO"/>
    <s v="LIGENZA CYNTHIA"/>
    <x v="13"/>
    <s v="25088"/>
    <s v="MASCLET ANNIE LAURE"/>
    <n v="84"/>
    <s v="0000236992"/>
    <s v="Formation"/>
    <x v="0"/>
    <s v="Problème accès à la matinale"/>
    <s v="Distance"/>
    <n v="1"/>
    <n v="1"/>
    <n v="1"/>
    <n v="1"/>
    <n v="0"/>
    <s v=" "/>
    <n v="1"/>
    <n v="1"/>
    <n v="0"/>
    <n v="1"/>
    <n v="1"/>
    <n v="0"/>
    <n v="1"/>
    <n v="1"/>
    <s v=" "/>
    <n v="1"/>
    <n v="1"/>
    <n v="1"/>
    <n v="1"/>
    <s v=" "/>
    <n v="1"/>
    <s v=" "/>
    <n v="1"/>
    <n v="1"/>
    <s v=" "/>
    <n v="1"/>
    <n v="1"/>
    <s v=" "/>
    <n v="1"/>
    <n v="1"/>
    <s v="18/01/2018"/>
  </r>
  <r>
    <x v="2"/>
    <n v="1"/>
    <x v="0"/>
    <s v="16/01/2018"/>
    <s v="GLM Grille FO"/>
    <s v="LIGENZA CYNTHIA"/>
    <x v="13"/>
    <s v="25088"/>
    <s v="LIGENZA CYNTHIA"/>
    <n v="88.333333333333329"/>
    <s v="0010485534"/>
    <s v="Formation"/>
    <x v="0"/>
    <s v="Demande client information sur son abonnement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0"/>
    <s v="18/01/2018"/>
  </r>
  <r>
    <x v="2"/>
    <n v="1"/>
    <x v="0"/>
    <s v="16/01/2018"/>
    <s v="GLM Grille FO"/>
    <s v="LIGENZA CYNTHIA"/>
    <x v="13"/>
    <s v="25088"/>
    <s v="MASCLET ANNIE LAURE"/>
    <n v="90.36666666666666"/>
    <s v="0010476841"/>
    <s v="Formation"/>
    <x v="0"/>
    <s v="Demande client information sur abonnement doublon"/>
    <s v="Proximité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0"/>
    <n v="1"/>
    <s v=" "/>
    <n v="1"/>
    <n v="1"/>
    <n v="1"/>
    <s v=" "/>
    <n v="1"/>
    <n v="1"/>
    <n v="1"/>
    <n v="1"/>
    <n v="1"/>
    <s v="18/01/2018"/>
  </r>
  <r>
    <x v="2"/>
    <n v="1"/>
    <x v="0"/>
    <s v="16/01/2018"/>
    <s v="GLM Grille FO"/>
    <s v="LIGENZA CYNTHIA"/>
    <x v="7"/>
    <s v="19896"/>
    <s v="MASCLET ANNIE LAURE"/>
    <n v="100"/>
    <s v="0010607710"/>
    <s v="Comité externe"/>
    <x v="1"/>
    <s v=" Procédure d'annul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n v="1"/>
    <n v="1"/>
    <s v="16/01/2018"/>
  </r>
  <r>
    <x v="2"/>
    <n v="1"/>
    <x v="0"/>
    <s v="16/01/2018"/>
    <s v="GLM Grille FO"/>
    <s v="LIGENZA CYNTHIA"/>
    <x v="11"/>
    <s v="25090"/>
    <s v="MASCLET ANNIE LAURE"/>
    <n v="76.92307692307692"/>
    <s v="0010765908"/>
    <s v="Formation"/>
    <x v="0"/>
    <s v="Demande client information sur les abos en cours"/>
    <s v="Distance"/>
    <n v="1"/>
    <s v=" "/>
    <n v="1"/>
    <n v="1"/>
    <n v="0"/>
    <s v=" "/>
    <n v="0"/>
    <n v="1"/>
    <n v="1"/>
    <n v="1"/>
    <n v="1"/>
    <n v="1"/>
    <s v=" "/>
    <n v="0"/>
    <s v=" "/>
    <s v=" "/>
    <n v="0"/>
    <s v=" "/>
    <n v="1"/>
    <n v="1"/>
    <s v=" "/>
    <s v=" "/>
    <s v=" "/>
    <n v="1"/>
    <s v=" "/>
    <n v="1"/>
    <s v=" "/>
    <n v="1"/>
    <n v="0"/>
    <n v="1"/>
    <s v="23/01/2018"/>
  </r>
  <r>
    <x v="2"/>
    <n v="1"/>
    <x v="0"/>
    <s v="16/01/2018"/>
    <s v="GLM Grille FO"/>
    <s v="LIGENZA CYNTHIA"/>
    <x v="11"/>
    <s v="25090"/>
    <s v="MASCLET ANNIE LAURE"/>
    <n v="91.2"/>
    <s v="5003362341"/>
    <s v="Formation"/>
    <x v="0"/>
    <s v="Non réception"/>
    <s v="Distance"/>
    <n v="1"/>
    <n v="1"/>
    <n v="1"/>
    <n v="1"/>
    <n v="0"/>
    <n v="1"/>
    <n v="1"/>
    <n v="1"/>
    <n v="1"/>
    <n v="0"/>
    <n v="1"/>
    <n v="1"/>
    <n v="1"/>
    <n v="1"/>
    <s v=" "/>
    <n v="1"/>
    <n v="1"/>
    <n v="1"/>
    <n v="1"/>
    <n v="1"/>
    <n v="1"/>
    <n v="1"/>
    <n v="1"/>
    <n v="1"/>
    <s v=" "/>
    <n v="1"/>
    <n v="1"/>
    <n v="1"/>
    <n v="1"/>
    <n v="1"/>
    <s v="23/01/2018"/>
  </r>
  <r>
    <x v="2"/>
    <n v="1"/>
    <x v="0"/>
    <s v="16/01/2018"/>
    <s v="GLM Grille FO"/>
    <s v="LIGENZA CYNTHIA"/>
    <x v="11"/>
    <s v="25090"/>
    <s v="MASCLET ANNIE LAURE"/>
    <n v="94"/>
    <s v="0002325205"/>
    <s v="Formation"/>
    <x v="0"/>
    <s v="Suspension temporaire"/>
    <s v="Distance"/>
    <n v="1"/>
    <n v="1"/>
    <n v="1"/>
    <n v="1"/>
    <n v="1"/>
    <n v="1"/>
    <n v="1"/>
    <n v="0"/>
    <n v="1"/>
    <n v="1"/>
    <n v="1"/>
    <n v="1"/>
    <n v="1"/>
    <n v="1"/>
    <s v=" "/>
    <n v="1"/>
    <n v="1"/>
    <n v="1"/>
    <n v="1"/>
    <n v="1"/>
    <s v=" "/>
    <n v="1"/>
    <n v="0"/>
    <n v="1"/>
    <n v="1"/>
    <n v="1"/>
    <n v="1"/>
    <n v="1"/>
    <s v=" "/>
    <n v="1"/>
    <s v="23/01/2018"/>
  </r>
  <r>
    <x v="2"/>
    <n v="1"/>
    <x v="0"/>
    <s v="16/01/2018"/>
    <s v="GLM Grille FO"/>
    <s v="LUNEAU JULIEN"/>
    <x v="9"/>
    <s v="25545"/>
    <s v="MASCLET ANNIE LAURE"/>
    <n v="93"/>
    <s v="0010770900"/>
    <s v="Formation"/>
    <x v="0"/>
    <s v="Impayé"/>
    <s v="Distance"/>
    <n v="1"/>
    <n v="1"/>
    <n v="1"/>
    <n v="1"/>
    <n v="1"/>
    <n v="1"/>
    <n v="1"/>
    <n v="1"/>
    <n v="1"/>
    <n v="1"/>
    <n v="1"/>
    <n v="1"/>
    <n v="1"/>
    <n v="1"/>
    <s v=" "/>
    <n v="1"/>
    <n v="0"/>
    <n v="1"/>
    <n v="1"/>
    <n v="1"/>
    <s v=" "/>
    <n v="1"/>
    <n v="1"/>
    <n v="1"/>
    <s v=" "/>
    <n v="1"/>
    <n v="1"/>
    <n v="1"/>
    <s v=" "/>
    <n v="1"/>
    <s v="23/01/2018"/>
  </r>
  <r>
    <x v="2"/>
    <n v="1"/>
    <x v="0"/>
    <s v="16/01/2018"/>
    <s v="GLM Grille FO"/>
    <s v="LUNEAU JULIEN"/>
    <x v="12"/>
    <s v="5858"/>
    <s v="LUNEAU JULIEN"/>
    <n v="82.61666666666666"/>
    <s v="0002507498"/>
    <s v="Comité externe"/>
    <x v="1"/>
    <s v="Non réception hors séries"/>
    <s v="Distance"/>
    <n v="1"/>
    <n v="1"/>
    <n v="1"/>
    <n v="1"/>
    <n v="1"/>
    <n v="1"/>
    <n v="1"/>
    <n v="1"/>
    <n v="1"/>
    <n v="1"/>
    <n v="1"/>
    <n v="1"/>
    <n v="1"/>
    <n v="1"/>
    <s v=" "/>
    <n v="0"/>
    <n v="0"/>
    <n v="1"/>
    <n v="0"/>
    <n v="1"/>
    <s v=" "/>
    <n v="0"/>
    <n v="1"/>
    <n v="1"/>
    <s v=" "/>
    <n v="1"/>
    <n v="1"/>
    <n v="0"/>
    <n v="1"/>
    <n v="1"/>
    <m/>
  </r>
  <r>
    <x v="2"/>
    <n v="1"/>
    <x v="0"/>
    <s v="16/01/2018"/>
    <s v="GLM Grille FO"/>
    <s v="LUNEAU JULIEN"/>
    <x v="2"/>
    <s v="25086"/>
    <s v="MASCLET ANNIE LAURE"/>
    <n v="93.25"/>
    <s v="0011193833"/>
    <s v="Formation"/>
    <x v="0"/>
    <s v="Problème accès sur le site le monde événément"/>
    <s v="Distance"/>
    <n v="1"/>
    <n v="1"/>
    <n v="1"/>
    <n v="1"/>
    <n v="1"/>
    <n v="1"/>
    <n v="1"/>
    <n v="1"/>
    <n v="1"/>
    <n v="1"/>
    <n v="1"/>
    <n v="1"/>
    <n v="0"/>
    <n v="1"/>
    <s v=" "/>
    <n v="1"/>
    <n v="1"/>
    <n v="1"/>
    <n v="1"/>
    <n v="1"/>
    <s v=" "/>
    <n v="1"/>
    <n v="0"/>
    <n v="1"/>
    <s v=" "/>
    <n v="1"/>
    <n v="1"/>
    <n v="1"/>
    <n v="1"/>
    <n v="1"/>
    <s v="25/01/2018"/>
  </r>
  <r>
    <x v="2"/>
    <n v="1"/>
    <x v="0"/>
    <s v="16/01/2018"/>
    <s v="GLM Grille FO"/>
    <s v="LUNEAU JULIEN"/>
    <x v="2"/>
    <s v="25086"/>
    <s v="MASCLET ANNIE LAURE"/>
    <n v="94.166666666666671"/>
    <s v="0010293156"/>
    <s v="Formation"/>
    <x v="0"/>
    <s v="Procédure d'annulation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n v="1"/>
    <n v="1"/>
    <s v="25/01/2018"/>
  </r>
  <r>
    <x v="2"/>
    <n v="1"/>
    <x v="0"/>
    <s v="16/01/2018"/>
    <s v="GLM Grille FO"/>
    <s v="LUNEAU JULIEN"/>
    <x v="15"/>
    <s v="25546"/>
    <s v="MASCLET ANNIE LAURE"/>
    <n v="100"/>
    <s v="0001791661"/>
    <s v="Formation"/>
    <x v="0"/>
    <s v="Accès au Monde Evénements abonnés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3/01/2018"/>
  </r>
  <r>
    <x v="2"/>
    <n v="1"/>
    <x v="0"/>
    <s v="18/01/2018"/>
    <s v="GLM Grille FO"/>
    <s v="Bisiaux Corinne"/>
    <x v="6"/>
    <s v="25085"/>
    <s v="Bisiaux Corinne"/>
    <n v="96.2"/>
    <s v="2924935"/>
    <s v="Supervision"/>
    <x v="0"/>
    <s v="CROISEMENT DE COURRIER"/>
    <s v="Distance"/>
    <n v="0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s v=" "/>
    <s v="19/01/2018"/>
  </r>
  <r>
    <x v="3"/>
    <n v="1"/>
    <x v="0"/>
    <s v="22/01/2018"/>
    <s v="GLM Grille FO"/>
    <s v="Bisiaux Corinne"/>
    <x v="10"/>
    <s v="25543"/>
    <s v="MASCLET ANNIE LAURE"/>
    <n v="77.583333333333329"/>
    <s v="11251471"/>
    <s v="Formation"/>
    <x v="0"/>
    <s v="Demande client procédure de résiliation"/>
    <s v="Distance"/>
    <n v="1"/>
    <n v="0"/>
    <n v="1"/>
    <n v="1"/>
    <n v="0"/>
    <n v="0"/>
    <n v="1"/>
    <n v="1"/>
    <n v="1"/>
    <n v="1"/>
    <n v="1"/>
    <n v="1"/>
    <n v="1"/>
    <n v="1"/>
    <s v=" "/>
    <n v="1"/>
    <n v="1"/>
    <n v="1"/>
    <n v="1"/>
    <n v="1"/>
    <n v="1"/>
    <n v="0"/>
    <n v="1"/>
    <n v="1"/>
    <s v=" "/>
    <n v="1"/>
    <n v="1"/>
    <n v="0"/>
    <s v=" "/>
    <n v="0"/>
    <s v="29/01/2018"/>
  </r>
  <r>
    <x v="3"/>
    <n v="1"/>
    <x v="0"/>
    <s v="22/01/2018"/>
    <s v="GLM Grille FO"/>
    <s v="Bisiaux Corinne"/>
    <x v="10"/>
    <s v="25543"/>
    <s v="MASCLET ANNIE LAURE"/>
    <n v="92.166666666666671"/>
    <s v="0010476234"/>
    <s v="Formation"/>
    <x v="0"/>
    <s v="Changement de formule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1"/>
    <n v="1"/>
    <n v="1"/>
    <s v="29/01/2018"/>
  </r>
  <r>
    <x v="3"/>
    <n v="1"/>
    <x v="0"/>
    <s v="22/01/2018"/>
    <s v="GLM Grille FO"/>
    <s v="Bisiaux Corinne"/>
    <x v="6"/>
    <s v="25085"/>
    <s v="MASCLET ANNIE LAURE"/>
    <n v="94.166666666666671"/>
    <s v="0010565245"/>
    <s v="Formation"/>
    <x v="0"/>
    <s v="Suspension temporaire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30/01/2018"/>
  </r>
  <r>
    <x v="3"/>
    <n v="1"/>
    <x v="0"/>
    <s v="22/01/2018"/>
    <s v="GLM Grille FO"/>
    <s v="Bisiaux Corinne"/>
    <x v="6"/>
    <s v="25085"/>
    <s v="MASCLET ANNIE LAURE"/>
    <n v="95"/>
    <s v="0000332808"/>
    <s v="Formation"/>
    <x v="0"/>
    <s v=" Impossibilité de se connecter à l'Edition abonnés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n v="1"/>
    <n v="1"/>
    <s v="30/01/2018"/>
  </r>
  <r>
    <x v="3"/>
    <n v="1"/>
    <x v="0"/>
    <s v="22/01/2018"/>
    <s v="GLM Grille FO"/>
    <s v="LIGENZA CYNTHIA"/>
    <x v="13"/>
    <s v="25088"/>
    <s v="MASCLET ANNIE LAURE"/>
    <n v="90"/>
    <s v="11323213"/>
    <s v="Formation"/>
    <x v="2"/>
    <s v="Demande client procédure de création de son compte"/>
    <s v="Distance"/>
    <n v="1"/>
    <s v=" "/>
    <n v="1"/>
    <n v="1"/>
    <n v="0"/>
    <n v="1"/>
    <n v="1"/>
    <n v="1"/>
    <n v="1"/>
    <n v="1"/>
    <n v="1"/>
    <n v="1"/>
    <n v="0"/>
    <n v="1"/>
    <n v="1"/>
    <n v="1"/>
    <n v="1"/>
    <n v="1"/>
    <n v="1"/>
    <n v="1"/>
    <s v=" "/>
    <n v="1"/>
    <n v="1"/>
    <n v="1"/>
    <s v=" "/>
    <n v="1"/>
    <n v="1"/>
    <n v="1"/>
    <s v=" "/>
    <n v="1"/>
    <s v="31/01/2018"/>
  </r>
  <r>
    <x v="3"/>
    <n v="1"/>
    <x v="0"/>
    <s v="22/01/2018"/>
    <s v="GLM Grille FO"/>
    <s v="LIGENZA CYNTHIA"/>
    <x v="11"/>
    <s v="25090"/>
    <s v="MASCLET ANNIE LAURE"/>
    <n v="100"/>
    <s v="0002946731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3/01/2018"/>
  </r>
  <r>
    <x v="3"/>
    <n v="1"/>
    <x v="0"/>
    <s v="22/01/2018"/>
    <s v="GLM Grille FO"/>
    <s v="LUNEAU JULIEN"/>
    <x v="9"/>
    <s v="25545"/>
    <s v="MASCLET ANNIE LAURE"/>
    <n v="78"/>
    <s v="936342"/>
    <s v="Formation"/>
    <x v="2"/>
    <s v="Information sur facture impayé"/>
    <s v="Distance"/>
    <n v="1"/>
    <s v=" "/>
    <n v="1"/>
    <n v="1"/>
    <n v="0"/>
    <n v="0"/>
    <n v="1"/>
    <n v="1"/>
    <n v="1"/>
    <n v="1"/>
    <n v="1"/>
    <n v="0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23/01/2018"/>
  </r>
  <r>
    <x v="3"/>
    <n v="1"/>
    <x v="0"/>
    <s v="22/01/2018"/>
    <s v="GLM Grille FO"/>
    <s v="LUNEAU JULIEN"/>
    <x v="9"/>
    <s v="25545"/>
    <s v="MASCLET ANNIE LAURE"/>
    <n v="83.666666666666671"/>
    <s v="876538"/>
    <s v="Formation"/>
    <x v="0"/>
    <s v="Non réception routage"/>
    <s v="Distance"/>
    <n v="1"/>
    <n v="1"/>
    <n v="1"/>
    <n v="1"/>
    <n v="0"/>
    <n v="0"/>
    <n v="1"/>
    <n v="0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1"/>
    <n v="1"/>
    <s v=" "/>
    <n v="1"/>
    <s v="23/01/2018"/>
  </r>
  <r>
    <x v="3"/>
    <n v="1"/>
    <x v="0"/>
    <s v="22/01/2018"/>
    <s v="GLM Grille FO"/>
    <s v="LUNEAU JULIEN"/>
    <x v="3"/>
    <s v="25084"/>
    <s v="MASCLET ANNIE LAURE"/>
    <n v="94.166666666666671"/>
    <s v="0010989551"/>
    <s v="Formation"/>
    <x v="0"/>
    <s v="Information prélèvement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5/01/2018"/>
  </r>
  <r>
    <x v="3"/>
    <n v="1"/>
    <x v="0"/>
    <s v="22/01/2018"/>
    <s v="GLM Grille FO"/>
    <s v="LUNEAU JULIEN"/>
    <x v="3"/>
    <s v="25084"/>
    <s v="MASCLET ANNIE LAURE"/>
    <n v="95"/>
    <s v="0002530782"/>
    <s v="Formation"/>
    <x v="0"/>
    <s v="Demande client procédure d'annulation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n v="1"/>
    <n v="1"/>
    <s v="25/01/2018"/>
  </r>
  <r>
    <x v="3"/>
    <n v="1"/>
    <x v="0"/>
    <s v="25/01/2018"/>
    <s v="GLM Grille FO"/>
    <s v="Bisiaux Corinne"/>
    <x v="6"/>
    <s v="25085"/>
    <s v="SADOCKI JIMMY"/>
    <n v="74.2"/>
    <s v="0000639803"/>
    <s v="Formation"/>
    <x v="0"/>
    <s v="CHAD + REABO"/>
    <s v="Distance"/>
    <n v="1"/>
    <n v="1"/>
    <n v="1"/>
    <n v="1"/>
    <n v="1"/>
    <n v="1"/>
    <n v="1"/>
    <s v=" "/>
    <n v="1"/>
    <n v="1"/>
    <n v="1"/>
    <n v="1"/>
    <n v="1"/>
    <n v="1"/>
    <n v="0"/>
    <n v="1"/>
    <n v="1"/>
    <n v="1"/>
    <n v="1"/>
    <n v="0"/>
    <s v=" "/>
    <n v="0"/>
    <n v="0"/>
    <n v="0"/>
    <s v=" "/>
    <n v="1"/>
    <n v="1"/>
    <n v="0"/>
    <s v=" "/>
    <n v="0"/>
    <s v="25/01/2018"/>
  </r>
  <r>
    <x v="3"/>
    <n v="1"/>
    <x v="0"/>
    <s v="25/01/2018"/>
    <s v="GLM Grille FO"/>
    <s v="LIGENZA CYNTHIA"/>
    <x v="16"/>
    <s v="23702"/>
    <s v="SADOCKI JIMMY"/>
    <n v="92.5"/>
    <s v="0011337165"/>
    <s v="Formation"/>
    <x v="0"/>
    <s v="REABONNEMENT"/>
    <s v="Distance"/>
    <n v="1"/>
    <n v="1"/>
    <n v="1"/>
    <n v="1"/>
    <n v="1"/>
    <n v="1"/>
    <n v="1"/>
    <n v="1"/>
    <n v="1"/>
    <n v="1"/>
    <n v="1"/>
    <n v="1"/>
    <n v="1"/>
    <n v="1"/>
    <n v="1"/>
    <n v="0"/>
    <n v="1"/>
    <n v="1"/>
    <n v="1"/>
    <n v="1"/>
    <n v="1"/>
    <n v="1"/>
    <n v="0"/>
    <n v="1"/>
    <s v=" "/>
    <n v="1"/>
    <n v="1"/>
    <n v="1"/>
    <n v="1"/>
    <n v="1"/>
    <s v="25/01/2018"/>
  </r>
  <r>
    <x v="4"/>
    <n v="1"/>
    <x v="0"/>
    <s v="29/01/2018"/>
    <s v="GLM Grille FO"/>
    <s v="Bisiaux Corinne"/>
    <x v="10"/>
    <s v="25543"/>
    <s v="MASCLET ANNIE LAURE"/>
    <n v="63.95"/>
    <s v="0001944001"/>
    <s v="Comité externe"/>
    <x v="0"/>
    <s v=" Souscription d'abonnement payant"/>
    <s v="Distance"/>
    <n v="1"/>
    <n v="0"/>
    <n v="1"/>
    <n v="1"/>
    <n v="0"/>
    <n v="0"/>
    <n v="1"/>
    <n v="1"/>
    <n v="0"/>
    <n v="1"/>
    <n v="1"/>
    <n v="0"/>
    <n v="1"/>
    <n v="1"/>
    <s v=" "/>
    <n v="1"/>
    <n v="0"/>
    <n v="1"/>
    <n v="1"/>
    <n v="1"/>
    <n v="1"/>
    <n v="1"/>
    <n v="1"/>
    <n v="0"/>
    <s v=" "/>
    <n v="1"/>
    <n v="1"/>
    <n v="0"/>
    <s v=" "/>
    <n v="1"/>
    <s v="30/01/2018"/>
  </r>
  <r>
    <x v="4"/>
    <n v="1"/>
    <x v="0"/>
    <s v="29/01/2018"/>
    <s v="GLM Grille FO"/>
    <s v="Bisiaux Corinne"/>
    <x v="0"/>
    <s v="23703"/>
    <s v="MASCLET ANNIE LAURE"/>
    <n v="87"/>
    <s v="2887306"/>
    <s v="Comité externe"/>
    <x v="0"/>
    <s v=" Info produit VPC"/>
    <s v="Distance"/>
    <n v="1"/>
    <n v="1"/>
    <n v="1"/>
    <n v="1"/>
    <n v="0"/>
    <n v="1"/>
    <n v="1"/>
    <n v="1"/>
    <n v="0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30/01/2018"/>
  </r>
  <r>
    <x v="4"/>
    <n v="1"/>
    <x v="0"/>
    <s v="29/01/2018"/>
    <s v="GLM Grille FO"/>
    <s v="Bisiaux Corinne"/>
    <x v="0"/>
    <s v="23703"/>
    <s v="MASCLET ANNIE LAURE"/>
    <n v="93"/>
    <s v="548144"/>
    <s v="Comité externe"/>
    <x v="0"/>
    <s v=" Portage en Banlieue"/>
    <s v="Distance"/>
    <n v="1"/>
    <n v="1"/>
    <n v="1"/>
    <n v="1"/>
    <n v="1"/>
    <n v="1"/>
    <n v="1"/>
    <n v="1"/>
    <n v="1"/>
    <n v="1"/>
    <n v="1"/>
    <n v="0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30/01/2018"/>
  </r>
  <r>
    <x v="4"/>
    <n v="1"/>
    <x v="0"/>
    <s v="29/01/2018"/>
    <s v="GLM Grille FO"/>
    <s v="Bisiaux Corinne"/>
    <x v="5"/>
    <s v="23704"/>
    <s v="MASCLET ANNIE LAURE"/>
    <n v="93"/>
    <s v="2887306"/>
    <s v="Comité externe"/>
    <x v="0"/>
    <s v=" Info produit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30/01/2018"/>
  </r>
  <r>
    <x v="4"/>
    <n v="1"/>
    <x v="0"/>
    <s v="29/01/2018"/>
    <s v="GLM Grille FO"/>
    <s v="LIGENZA CYNTHIA"/>
    <x v="13"/>
    <s v="25088"/>
    <s v="MASCLET ANNIE LAURE"/>
    <n v="60.166666666666664"/>
    <s v="0000733265"/>
    <s v="Formation"/>
    <x v="0"/>
    <s v=" Portage en Banlieue"/>
    <s v="Distance"/>
    <n v="1"/>
    <n v="0"/>
    <n v="1"/>
    <n v="1"/>
    <n v="0"/>
    <n v="0"/>
    <n v="1"/>
    <n v="1"/>
    <n v="0"/>
    <n v="1"/>
    <n v="1"/>
    <n v="0"/>
    <n v="1"/>
    <n v="1"/>
    <s v=" "/>
    <s v=" "/>
    <n v="1"/>
    <n v="1"/>
    <n v="1"/>
    <s v=" "/>
    <s v=" "/>
    <s v=" "/>
    <s v=" "/>
    <n v="1"/>
    <s v=" "/>
    <n v="1"/>
    <s v=" "/>
    <s v=" "/>
    <s v=" "/>
    <s v=" "/>
    <s v="30/01/2018"/>
  </r>
  <r>
    <x v="4"/>
    <n v="1"/>
    <x v="0"/>
    <s v="29/01/2018"/>
    <s v="GLM Grille FO"/>
    <s v="LIGENZA CYNTHIA"/>
    <x v="7"/>
    <s v="19896"/>
    <s v="MASCLET ANNIE LAURE"/>
    <n v="87.25"/>
    <s v="0000327054"/>
    <s v="Comité externe"/>
    <x v="0"/>
    <s v=" Réception tardive  France et étranger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s v=" "/>
    <n v="0"/>
    <n v="0"/>
    <n v="1"/>
    <s v=" "/>
    <n v="1"/>
    <n v="1"/>
    <n v="1"/>
    <s v=" "/>
    <n v="1"/>
    <s v="30/01/2018"/>
  </r>
  <r>
    <x v="4"/>
    <n v="1"/>
    <x v="0"/>
    <s v="29/01/2018"/>
    <s v="GLM Grille FO"/>
    <s v="LUNEAU JULIEN"/>
    <x v="9"/>
    <s v="25545"/>
    <s v="MASCLET ANNIE LAURE"/>
    <n v="84.583333333333329"/>
    <s v="0638155"/>
    <s v="Comité externe"/>
    <x v="0"/>
    <s v="Demande portage"/>
    <s v="Distance"/>
    <n v="1"/>
    <n v="1"/>
    <n v="1"/>
    <n v="1"/>
    <n v="0"/>
    <n v="1"/>
    <n v="1"/>
    <n v="0"/>
    <n v="1"/>
    <n v="1"/>
    <n v="1"/>
    <n v="1"/>
    <n v="1"/>
    <n v="1"/>
    <s v=" "/>
    <n v="1"/>
    <n v="1"/>
    <n v="1"/>
    <n v="1"/>
    <n v="1"/>
    <n v="0"/>
    <n v="1"/>
    <n v="1"/>
    <n v="1"/>
    <s v=" "/>
    <n v="1"/>
    <n v="1"/>
    <n v="1"/>
    <s v=" "/>
    <n v="1"/>
    <s v="30/01/2018"/>
  </r>
  <r>
    <x v="4"/>
    <n v="1"/>
    <x v="0"/>
    <s v="29/01/2018"/>
    <s v="GLM Grille FO"/>
    <s v="LUNEAU JULIEN"/>
    <x v="14"/>
    <s v="23902"/>
    <s v="MASCLET ANNIE LAURE"/>
    <n v="88.333333333333329"/>
    <s v="0011165217"/>
    <s v="Comité externe"/>
    <x v="0"/>
    <s v="Portage à Paris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0"/>
    <s v="30/01/2018"/>
  </r>
  <r>
    <x v="4"/>
    <n v="1"/>
    <x v="0"/>
    <s v="29/01/2018"/>
    <s v="GLM Grille FO"/>
    <s v="LUNEAU JULIEN"/>
    <x v="3"/>
    <s v="25084"/>
    <s v="MASCLET ANNIE LAURE"/>
    <n v="79.5"/>
    <s v="0010680519"/>
    <s v="Comité externe"/>
    <x v="0"/>
    <s v="Portage à Paris "/>
    <s v="Distance"/>
    <n v="1"/>
    <n v="1"/>
    <n v="1"/>
    <n v="1"/>
    <n v="0"/>
    <n v="0"/>
    <n v="1"/>
    <n v="1"/>
    <n v="1"/>
    <n v="1"/>
    <n v="1"/>
    <n v="0"/>
    <n v="1"/>
    <n v="1"/>
    <s v=" "/>
    <n v="1"/>
    <n v="1"/>
    <n v="1"/>
    <n v="1"/>
    <n v="1"/>
    <n v="1"/>
    <n v="1"/>
    <n v="1"/>
    <n v="1"/>
    <s v=" "/>
    <n v="1"/>
    <n v="1"/>
    <n v="1"/>
    <s v=" "/>
    <n v="0"/>
    <s v="30/01/2018"/>
  </r>
  <r>
    <x v="4"/>
    <n v="1"/>
    <x v="0"/>
    <s v="29/01/2018"/>
    <s v="GLM Grille FO"/>
    <s v="LUNEAU JULIEN"/>
    <x v="3"/>
    <s v="25084"/>
    <s v="MASCLET ANNIE LAURE"/>
    <n v="90"/>
    <s v="0011319678"/>
    <s v="Comité externe"/>
    <x v="0"/>
    <s v="Demande portage"/>
    <s v="Distance"/>
    <n v="1"/>
    <n v="1"/>
    <n v="1"/>
    <n v="1"/>
    <n v="0"/>
    <n v="0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30/01/2018"/>
  </r>
  <r>
    <x v="4"/>
    <n v="1"/>
    <x v="0"/>
    <s v="29/01/2018"/>
    <s v="GLM Grille FO"/>
    <s v="LUNEAU JULIEN"/>
    <x v="3"/>
    <s v="25084"/>
    <s v="MASCLET ANNIE LAURE"/>
    <n v="91.166666666666671"/>
    <s v="893397"/>
    <s v="Comité externe"/>
    <x v="0"/>
    <s v="Demande portage"/>
    <s v="Proximité"/>
    <n v="1"/>
    <n v="1"/>
    <n v="1"/>
    <n v="1"/>
    <n v="0"/>
    <n v="0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30/01/2018"/>
  </r>
  <r>
    <x v="4"/>
    <n v="1"/>
    <x v="0"/>
    <s v="29/01/2018"/>
    <s v="GLM Grille FO"/>
    <s v="LUNEAU JULIEN"/>
    <x v="15"/>
    <s v="25546"/>
    <s v="MASCLET ANNIE LAURE"/>
    <n v="71.5"/>
    <s v="0002574046"/>
    <s v="Comité externe"/>
    <x v="0"/>
    <s v="Demande portage"/>
    <s v="Distance"/>
    <n v="1"/>
    <n v="1"/>
    <n v="1"/>
    <n v="1"/>
    <n v="0"/>
    <n v="1"/>
    <n v="1"/>
    <n v="0"/>
    <n v="1"/>
    <n v="1"/>
    <n v="1"/>
    <n v="1"/>
    <n v="1"/>
    <n v="1"/>
    <s v=" "/>
    <s v=" "/>
    <n v="0"/>
    <n v="1"/>
    <n v="1"/>
    <n v="1"/>
    <s v=" "/>
    <n v="1"/>
    <s v=" "/>
    <n v="1"/>
    <s v=" "/>
    <n v="1"/>
    <n v="1"/>
    <n v="1"/>
    <s v=" "/>
    <n v="0"/>
    <s v="30/01/2018"/>
  </r>
  <r>
    <x v="4"/>
    <n v="2"/>
    <x v="1"/>
    <s v="01/02/2018"/>
    <s v="GLM Grille FO"/>
    <s v="Bisiaux Corinne"/>
    <x v="10"/>
    <s v="25543"/>
    <s v="MASCLET ANNIE LAURE"/>
    <n v="82.25"/>
    <s v="0000787158"/>
    <s v="Formation"/>
    <x v="0"/>
    <s v="Portage en Province"/>
    <s v="Distance"/>
    <n v="1"/>
    <n v="1"/>
    <n v="1"/>
    <n v="1"/>
    <n v="0"/>
    <n v="0"/>
    <n v="1"/>
    <n v="0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0"/>
    <s v=" "/>
    <n v="1"/>
    <s v="06/02/2018"/>
  </r>
  <r>
    <x v="4"/>
    <n v="2"/>
    <x v="1"/>
    <s v="01/02/2018"/>
    <s v="GLM Grille FO"/>
    <s v="LIGENZA CYNTHIA"/>
    <x v="13"/>
    <s v="25088"/>
    <s v="MASCLET ANNIE LAURE"/>
    <n v="73.833333333333329"/>
    <s v="0000305668"/>
    <s v="Formation"/>
    <x v="0"/>
    <s v="Demande portage"/>
    <s v="Distance"/>
    <n v="1"/>
    <n v="0"/>
    <n v="1"/>
    <n v="1"/>
    <n v="0"/>
    <n v="0"/>
    <n v="1"/>
    <n v="1"/>
    <n v="1"/>
    <n v="1"/>
    <n v="1"/>
    <n v="1"/>
    <n v="1"/>
    <n v="1"/>
    <s v=" "/>
    <n v="1"/>
    <n v="1"/>
    <n v="1"/>
    <n v="1"/>
    <n v="1"/>
    <n v="1"/>
    <n v="0"/>
    <n v="0"/>
    <n v="1"/>
    <s v=" "/>
    <n v="1"/>
    <n v="1"/>
    <n v="0"/>
    <s v=" "/>
    <n v="0"/>
    <s v="21/02/2018"/>
  </r>
  <r>
    <x v="4"/>
    <n v="2"/>
    <x v="1"/>
    <s v="01/02/2018"/>
    <s v="GLM Grille FO"/>
    <s v="LUNEAU JULIEN"/>
    <x v="9"/>
    <s v="25545"/>
    <s v="MASCLET ANNIE LAURE"/>
    <n v="89.5"/>
    <s v="710453"/>
    <s v="Formation"/>
    <x v="0"/>
    <s v="Suspension temporaire"/>
    <s v="Distance"/>
    <n v="1"/>
    <n v="1"/>
    <n v="1"/>
    <n v="1"/>
    <n v="1"/>
    <n v="0"/>
    <n v="1"/>
    <n v="1"/>
    <n v="1"/>
    <n v="1"/>
    <n v="1"/>
    <n v="1"/>
    <n v="1"/>
    <n v="1"/>
    <s v=" "/>
    <n v="0"/>
    <n v="1"/>
    <n v="1"/>
    <n v="1"/>
    <n v="1"/>
    <s v=" "/>
    <n v="1"/>
    <n v="0"/>
    <n v="1"/>
    <s v=" "/>
    <n v="1"/>
    <n v="1"/>
    <n v="1"/>
    <s v=" "/>
    <n v="1"/>
    <s v="09/02/2018"/>
  </r>
  <r>
    <x v="4"/>
    <n v="2"/>
    <x v="1"/>
    <s v="01/02/2018"/>
    <s v="GLM Grille FO"/>
    <s v="LUNEAU JULIEN"/>
    <x v="3"/>
    <s v="25084"/>
    <s v="LUNEAU JULIEN"/>
    <n v="98"/>
    <s v="10610687"/>
    <s v="Supervision"/>
    <x v="0"/>
    <s v="non reception"/>
    <s v="Distance"/>
    <n v="1"/>
    <s v=" "/>
    <n v="1"/>
    <n v="1"/>
    <n v="1"/>
    <n v="1"/>
    <n v="1"/>
    <n v="1"/>
    <n v="1"/>
    <n v="1"/>
    <n v="0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01/02/2018"/>
  </r>
  <r>
    <x v="4"/>
    <n v="2"/>
    <x v="1"/>
    <s v="02/02/2018"/>
    <s v="GLM Grille FO"/>
    <s v="LUNEAU JULIEN"/>
    <x v="9"/>
    <s v="25545"/>
    <s v="LUNEAU JULIEN"/>
    <n v="95"/>
    <s v="0000309018"/>
    <s v="Supervision"/>
    <x v="0"/>
    <s v="non recep "/>
    <s v="Distance"/>
    <n v="1"/>
    <n v="1"/>
    <n v="1"/>
    <n v="1"/>
    <n v="1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0"/>
    <s v="02/02/2018"/>
  </r>
  <r>
    <x v="4"/>
    <n v="2"/>
    <x v="1"/>
    <s v="02/02/2018"/>
    <s v="GLM Grille FO"/>
    <s v="LUNEAU JULIEN"/>
    <x v="14"/>
    <s v="23902"/>
    <s v="LUNEAU JULIEN"/>
    <n v="95"/>
    <s v="0010924033"/>
    <s v="Supervision"/>
    <x v="1"/>
    <s v="augmentation tarifaire 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n v="1"/>
    <n v="1"/>
    <n v="1"/>
    <s v=" "/>
    <n v="1"/>
    <n v="1"/>
    <n v="1"/>
    <n v="1"/>
    <n v="1"/>
    <s v="23/02/2018"/>
  </r>
  <r>
    <x v="4"/>
    <n v="2"/>
    <x v="1"/>
    <s v="02/02/2018"/>
    <s v="GLM Grille FO"/>
    <s v="LUNEAU JULIEN"/>
    <x v="15"/>
    <s v="25546"/>
    <s v="LUNEAU JULIEN"/>
    <n v="96.25"/>
    <s v="0628131"/>
    <s v="Supervision"/>
    <x v="0"/>
    <s v="non recep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0"/>
    <n v="1"/>
    <s v=" "/>
    <n v="1"/>
    <n v="1"/>
    <n v="1"/>
    <s v=" "/>
    <n v="1"/>
    <s v="02/02/2018"/>
  </r>
  <r>
    <x v="5"/>
    <n v="2"/>
    <x v="1"/>
    <s v="05/02/2018"/>
    <s v="GLM Grille FO"/>
    <s v="Bisiaux Corinne"/>
    <x v="10"/>
    <s v="25543"/>
    <s v="Bisiaux Corinne"/>
    <n v="86.25"/>
    <s v="576718"/>
    <s v="Supervision"/>
    <x v="0"/>
    <s v="ECHEANCE ABONNEMENT"/>
    <s v="Distance"/>
    <n v="1"/>
    <n v="0"/>
    <n v="1"/>
    <n v="1"/>
    <n v="0"/>
    <n v="0"/>
    <n v="1"/>
    <n v="1"/>
    <n v="1"/>
    <n v="1"/>
    <n v="1"/>
    <n v="1"/>
    <n v="1"/>
    <n v="1"/>
    <s v=" "/>
    <n v="1"/>
    <n v="1"/>
    <n v="1"/>
    <n v="1"/>
    <n v="1"/>
    <s v=" "/>
    <s v=" "/>
    <s v=" "/>
    <n v="1"/>
    <n v="1"/>
    <n v="1"/>
    <n v="1"/>
    <s v=" "/>
    <s v=" "/>
    <n v="1"/>
    <s v="06/02/2018"/>
  </r>
  <r>
    <x v="5"/>
    <n v="2"/>
    <x v="1"/>
    <s v="05/02/2018"/>
    <s v="GLM Grille FO"/>
    <s v="Bisiaux Corinne"/>
    <x v="0"/>
    <s v="23703"/>
    <s v="Bisiaux Corinne"/>
    <n v="97"/>
    <s v="0011055155"/>
    <s v="Supervision"/>
    <x v="1"/>
    <s v="DECES"/>
    <s v="Distance"/>
    <n v="1"/>
    <n v="1"/>
    <n v="1"/>
    <n v="1"/>
    <n v="1"/>
    <n v="1"/>
    <n v="1"/>
    <n v="1"/>
    <n v="1"/>
    <n v="1"/>
    <n v="1"/>
    <n v="1"/>
    <n v="1"/>
    <n v="1"/>
    <s v=" "/>
    <n v="0"/>
    <n v="1"/>
    <n v="1"/>
    <n v="1"/>
    <n v="1"/>
    <s v=" "/>
    <n v="1"/>
    <n v="1"/>
    <n v="1"/>
    <n v="1"/>
    <n v="1"/>
    <n v="1"/>
    <n v="1"/>
    <s v=" "/>
    <n v="1"/>
    <s v="13/02/2018"/>
  </r>
  <r>
    <x v="5"/>
    <n v="2"/>
    <x v="1"/>
    <s v="05/02/2018"/>
    <s v="GLM Grille FO"/>
    <s v="LIGENZA CYNTHIA"/>
    <x v="7"/>
    <s v="19896"/>
    <s v="MASCLET ANNIE LAURE"/>
    <n v="91"/>
    <s v="0011066649"/>
    <s v="Formation"/>
    <x v="1"/>
    <s v="Procédure d'annulation"/>
    <s v="Distance"/>
    <n v="1"/>
    <n v="1"/>
    <n v="1"/>
    <n v="1"/>
    <n v="1"/>
    <n v="1"/>
    <n v="1"/>
    <n v="1"/>
    <n v="1"/>
    <n v="1"/>
    <n v="1"/>
    <n v="0"/>
    <n v="1"/>
    <n v="1"/>
    <s v=" "/>
    <n v="1"/>
    <n v="1"/>
    <n v="1"/>
    <n v="1"/>
    <n v="1"/>
    <s v=" "/>
    <n v="0"/>
    <n v="1"/>
    <n v="1"/>
    <s v=" "/>
    <n v="1"/>
    <n v="1"/>
    <n v="1"/>
    <s v=" "/>
    <n v="1"/>
    <s v="13/02/2018"/>
  </r>
  <r>
    <x v="5"/>
    <n v="2"/>
    <x v="1"/>
    <s v="05/02/2018"/>
    <s v="GLM Grille FO"/>
    <s v="LIGENZA CYNTHIA"/>
    <x v="11"/>
    <s v="25090"/>
    <s v="MASCLET ANNIE LAURE"/>
    <n v="98"/>
    <s v="0010979957"/>
    <s v="Formation"/>
    <x v="0"/>
    <s v="Portage en Province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n v="1"/>
    <n v="1"/>
    <n v="1"/>
    <n v="1"/>
    <n v="1"/>
    <n v="1"/>
    <s v=" "/>
    <n v="1"/>
    <n v="1"/>
    <n v="0"/>
    <s v=" "/>
    <s v=" "/>
    <m/>
  </r>
  <r>
    <x v="5"/>
    <n v="2"/>
    <x v="1"/>
    <s v="05/02/2018"/>
    <s v="GLM Grille FO"/>
    <s v="LUNEAU JULIEN"/>
    <x v="8"/>
    <s v="23707"/>
    <s v="LUNEAU JULIEN"/>
    <n v="100"/>
    <s v="0011345433"/>
    <s v="Supervision"/>
    <x v="2"/>
    <s v="activat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s v=" "/>
    <s v=" "/>
    <n v="1"/>
    <n v="1"/>
    <n v="1"/>
    <s v=" "/>
    <n v="1"/>
    <n v="1"/>
    <n v="1"/>
    <s v=" "/>
    <n v="1"/>
    <s v="13/02/2018"/>
  </r>
  <r>
    <x v="5"/>
    <n v="2"/>
    <x v="1"/>
    <s v="05/02/2018"/>
    <s v="GLM Grille FO"/>
    <s v="LUNEAU JULIEN"/>
    <x v="8"/>
    <s v="23707"/>
    <s v="MASCLET ANNIE LAURE"/>
    <n v="100"/>
    <s v="5003183652"/>
    <s v="Formation"/>
    <x v="2"/>
    <s v="Problème d'identification appli journal électroniq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3/02/2018"/>
  </r>
  <r>
    <x v="5"/>
    <n v="2"/>
    <x v="1"/>
    <s v="05/02/2018"/>
    <s v="GLM Grille FO"/>
    <s v="LUNEAU JULIEN"/>
    <x v="3"/>
    <s v="25084"/>
    <s v="LUNEAU JULIEN"/>
    <n v="100"/>
    <s v="205147"/>
    <s v="Supervision"/>
    <x v="0"/>
    <s v="non recep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06/02/2018"/>
  </r>
  <r>
    <x v="5"/>
    <n v="2"/>
    <x v="1"/>
    <s v="05/02/2018"/>
    <s v="GLM Grille FO"/>
    <s v="LUNEAU JULIEN"/>
    <x v="15"/>
    <s v="25546"/>
    <s v="LUNEAU JULIEN"/>
    <n v="100"/>
    <s v="0010635732"/>
    <s v="Supervision"/>
    <x v="0"/>
    <s v="portage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09/02/2018"/>
  </r>
  <r>
    <x v="5"/>
    <n v="2"/>
    <x v="1"/>
    <s v="06/02/2018"/>
    <s v="GLM Grille FO"/>
    <s v="Bisiaux Corinne"/>
    <x v="5"/>
    <s v="23704"/>
    <s v="Bisiaux Corinne"/>
    <n v="94.25"/>
    <s v="0010658301"/>
    <s v="Supervision"/>
    <x v="1"/>
    <s v="CHANGEMENT DE FORMULE"/>
    <s v="Distance"/>
    <n v="1"/>
    <n v="0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0"/>
    <n v="1"/>
    <n v="1"/>
    <s v=" "/>
    <n v="1"/>
    <n v="1"/>
    <n v="1"/>
    <s v=" "/>
    <n v="1"/>
    <s v="20/02/2018"/>
  </r>
  <r>
    <x v="5"/>
    <n v="2"/>
    <x v="1"/>
    <s v="07/02/2018"/>
    <s v="GLM Grille FO"/>
    <s v="LIGENZA CYNTHIA"/>
    <x v="1"/>
    <s v="20994"/>
    <s v="MASCLET ANNIE LAURE"/>
    <n v="100"/>
    <s v="0011264609"/>
    <s v="Formation"/>
    <x v="0"/>
    <s v="Portage à Paris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3/02/2018"/>
  </r>
  <r>
    <x v="5"/>
    <n v="2"/>
    <x v="1"/>
    <s v="07/02/2018"/>
    <s v="GLM Grille FO"/>
    <s v="LUNEAU JULIEN"/>
    <x v="8"/>
    <s v="23707"/>
    <s v="MASCLET ANNIE LAURE"/>
    <n v="100"/>
    <s v="0011218673"/>
    <s v="Formation"/>
    <x v="2"/>
    <s v="Recherche et/ou/ aide à la navig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3/02/2018"/>
  </r>
  <r>
    <x v="5"/>
    <n v="2"/>
    <x v="1"/>
    <s v="07/02/2018"/>
    <s v="GLM Grille FO"/>
    <s v="LUNEAU JULIEN"/>
    <x v="17"/>
    <s v="21893"/>
    <s v="MASCLET ANNIE LAURE"/>
    <n v="97"/>
    <s v="0011011467"/>
    <s v="Formation"/>
    <x v="1"/>
    <s v=" Intermédiaire - libraire collecteur"/>
    <s v="Distance"/>
    <n v="1"/>
    <n v="1"/>
    <n v="1"/>
    <n v="1"/>
    <n v="1"/>
    <n v="0"/>
    <n v="1"/>
    <n v="1"/>
    <n v="1"/>
    <n v="1"/>
    <n v="1"/>
    <s v=" 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0/02/2018"/>
  </r>
  <r>
    <x v="5"/>
    <n v="2"/>
    <x v="1"/>
    <s v="07/02/2018"/>
    <s v="GLM Grille FO"/>
    <s v="LUNEAU JULIEN"/>
    <x v="2"/>
    <s v="25086"/>
    <s v="LUNEAU JULIEN"/>
    <n v="96.2"/>
    <s v="0000265894"/>
    <s v="Supervision"/>
    <x v="0"/>
    <s v="reception sms portage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0"/>
    <n v="1"/>
    <s v=" "/>
    <n v="1"/>
    <n v="1"/>
    <n v="1"/>
    <s v=" "/>
    <n v="1"/>
    <n v="1"/>
    <n v="1"/>
    <s v=" "/>
    <n v="1"/>
    <s v="08/02/2018"/>
  </r>
  <r>
    <x v="5"/>
    <n v="2"/>
    <x v="1"/>
    <s v="07/02/2018"/>
    <s v="GLM Grille FO"/>
    <s v="LUNEAU JULIEN"/>
    <x v="2"/>
    <s v="25086"/>
    <s v="LUNEAU JULIEN"/>
    <n v="96.25"/>
    <s v="2257267"/>
    <s v="Supervision"/>
    <x v="0"/>
    <s v="CHAD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08/02/2018"/>
  </r>
  <r>
    <x v="5"/>
    <n v="2"/>
    <x v="1"/>
    <s v="07/02/2018"/>
    <s v="GLM Grille FO"/>
    <s v="LUNEAU JULIEN"/>
    <x v="2"/>
    <s v="25086"/>
    <s v="LUNEAU JULIEN"/>
    <n v="97"/>
    <s v="0011287050"/>
    <s v="Formation"/>
    <x v="0"/>
    <s v="Portage en Province "/>
    <s v="Distance"/>
    <n v="1"/>
    <n v="1"/>
    <n v="1"/>
    <n v="1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08/02/2018"/>
  </r>
  <r>
    <x v="5"/>
    <n v="2"/>
    <x v="1"/>
    <s v="07/02/2018"/>
    <s v="GLM Grille FO"/>
    <s v="LUNEAU JULIEN"/>
    <x v="14"/>
    <s v="23902"/>
    <s v="MASCLET ANNIE LAURE"/>
    <n v="100"/>
    <s v="0011269886"/>
    <s v="Formation"/>
    <x v="3"/>
    <s v="Confirmation enregistrement abo / réabo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3/02/2018"/>
  </r>
  <r>
    <x v="5"/>
    <n v="2"/>
    <x v="1"/>
    <s v="07/02/2018"/>
    <s v="GLM Grille FO"/>
    <s v="LUNEAU JULIEN"/>
    <x v="3"/>
    <s v="25084"/>
    <s v="MASCLET ANNIE LAURE"/>
    <n v="100"/>
    <s v="0000305668"/>
    <s v="Formation"/>
    <x v="0"/>
    <s v="Demande portag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6/02/2018"/>
  </r>
  <r>
    <x v="5"/>
    <n v="2"/>
    <x v="1"/>
    <s v="09/02/2018"/>
    <s v="GLM Grille FO"/>
    <s v="Bisiaux Corinne"/>
    <x v="0"/>
    <s v="23703"/>
    <s v="MASCLET ANNIE LAURE"/>
    <n v="100"/>
    <s v="0010827791"/>
    <s v="Formation"/>
    <x v="3"/>
    <s v="Reste - Procédure d'annulation"/>
    <s v="Distance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13/02/2018"/>
  </r>
  <r>
    <x v="5"/>
    <n v="2"/>
    <x v="1"/>
    <s v="09/02/2018"/>
    <s v="GLM Grille FO"/>
    <s v="Bisiaux Corinne"/>
    <x v="5"/>
    <s v="23704"/>
    <s v="MASCLET ANNIE LAURE"/>
    <n v="83.416666666666671"/>
    <s v="0000212779"/>
    <s v="Formation"/>
    <x v="0"/>
    <s v="Non réception en France ou à l'étranger"/>
    <s v="Distance"/>
    <n v="1"/>
    <n v="0"/>
    <n v="1"/>
    <n v="1"/>
    <n v="0"/>
    <n v="0"/>
    <n v="1"/>
    <n v="1"/>
    <n v="1"/>
    <n v="1"/>
    <n v="1"/>
    <n v="1"/>
    <n v="1"/>
    <n v="1"/>
    <n v="1"/>
    <n v="1"/>
    <n v="1"/>
    <n v="1"/>
    <n v="1"/>
    <n v="1"/>
    <n v="1"/>
    <n v="0"/>
    <n v="1"/>
    <n v="1"/>
    <s v=" "/>
    <n v="1"/>
    <n v="1"/>
    <n v="0"/>
    <s v=" "/>
    <n v="1"/>
    <s v="20/02/2018"/>
  </r>
  <r>
    <x v="5"/>
    <n v="2"/>
    <x v="1"/>
    <s v="09/02/2018"/>
    <s v="GLM Grille FO"/>
    <s v="LUNEAU JULIEN"/>
    <x v="15"/>
    <s v="25546"/>
    <s v="MASCLET ANNIE LAURE"/>
    <n v="97"/>
    <s v="0002352826"/>
    <s v="Formation"/>
    <x v="0"/>
    <s v="CHAD temporaire"/>
    <s v="Distance"/>
    <n v="1"/>
    <n v="1"/>
    <n v="1"/>
    <n v="1"/>
    <n v="1"/>
    <n v="0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n v="1"/>
    <n v="1"/>
    <s v="09/02/2018"/>
  </r>
  <r>
    <x v="6"/>
    <n v="2"/>
    <x v="1"/>
    <s v="12/02/2018"/>
    <s v="GLM Grille FO"/>
    <s v="Bisiaux Corinne"/>
    <x v="10"/>
    <s v="25543"/>
    <s v="Bisiaux Corinne"/>
    <n v="92.5"/>
    <s v="0000863861"/>
    <s v="Supervision"/>
    <x v="0"/>
    <s v="PORTEUR"/>
    <s v="Distance"/>
    <n v="1"/>
    <s v=" "/>
    <n v="1"/>
    <n v="1"/>
    <n v="1"/>
    <n v="1"/>
    <n v="1"/>
    <s v=" "/>
    <n v="1"/>
    <n v="1"/>
    <n v="1"/>
    <n v="1"/>
    <n v="1"/>
    <n v="1"/>
    <n v="1"/>
    <n v="1"/>
    <n v="1"/>
    <n v="1"/>
    <n v="1"/>
    <n v="1"/>
    <n v="1"/>
    <s v=" "/>
    <n v="0"/>
    <n v="1"/>
    <s v=" "/>
    <n v="1"/>
    <s v=" "/>
    <s v=" "/>
    <s v=" "/>
    <n v="1"/>
    <s v="26/02/2018"/>
  </r>
  <r>
    <x v="6"/>
    <n v="2"/>
    <x v="1"/>
    <s v="12/02/2018"/>
    <s v="GLM Grille FO"/>
    <s v="Bisiaux Corinne"/>
    <x v="0"/>
    <s v="23703"/>
    <s v="Bisiaux Corinne"/>
    <n v="100"/>
    <s v="0002512334"/>
    <s v="Supervision"/>
    <x v="1"/>
    <s v="ACCES COMPTE 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Bisiaux Corinne"/>
    <x v="0"/>
    <s v="23703"/>
    <s v="MASCLET ANNIE LAURE"/>
    <n v="100"/>
    <s v="10471088"/>
    <s v="Comité externe"/>
    <x v="3"/>
    <s v="Résili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Bisiaux Corinne"/>
    <x v="0"/>
    <s v="23703"/>
    <s v="MASCLET ANNIE LAURE"/>
    <n v="100"/>
    <s v="2632517"/>
    <s v="Comité externe"/>
    <x v="3"/>
    <s v="Croisement relanc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Bisiaux Corinne"/>
    <x v="4"/>
    <s v="21330"/>
    <s v="Bisiaux Corinne"/>
    <n v="98"/>
    <s v="10641870"/>
    <s v="Supervision"/>
    <x v="1"/>
    <s v="REABONNEMENT 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s v=" "/>
    <n v="1"/>
    <s v=" "/>
    <n v="1"/>
    <n v="1"/>
    <n v="1"/>
    <s v=" "/>
    <n v="1"/>
    <s v="20/02/2018"/>
  </r>
  <r>
    <x v="6"/>
    <n v="2"/>
    <x v="1"/>
    <s v="12/02/2018"/>
    <s v="GLM Grille FO"/>
    <s v="Bisiaux Corinne"/>
    <x v="4"/>
    <s v="21330"/>
    <s v="Bisiaux Corinne"/>
    <n v="100"/>
    <s v="0010609203"/>
    <s v="Supervision"/>
    <x v="1"/>
    <s v="REABONNEMENT 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20/02/2018"/>
  </r>
  <r>
    <x v="6"/>
    <n v="2"/>
    <x v="1"/>
    <s v="12/02/2018"/>
    <s v="GLM Grille FO"/>
    <s v="LIGENZA CYNTHIA"/>
    <x v="7"/>
    <s v="19896"/>
    <s v="MASCLET ANNIE LAURE"/>
    <n v="96"/>
    <s v="110259"/>
    <s v="Comité externe"/>
    <x v="3"/>
    <s v="Résili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0"/>
    <n v="1"/>
    <n v="1"/>
    <s v=" "/>
    <n v="1"/>
    <n v="1"/>
    <n v="0"/>
    <s v=" "/>
    <n v="1"/>
    <s v="13/02/2018"/>
  </r>
  <r>
    <x v="6"/>
    <n v="2"/>
    <x v="1"/>
    <s v="12/02/2018"/>
    <s v="GLM Grille FO"/>
    <s v="LIGENZA CYNTHIA"/>
    <x v="7"/>
    <s v="19896"/>
    <s v="MASCLET ANNIE LAURE"/>
    <n v="100"/>
    <s v="2111325"/>
    <s v="Comité externe"/>
    <x v="3"/>
    <s v="Relance réabonnement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LIGENZA CYNTHIA"/>
    <x v="7"/>
    <s v="19896"/>
    <s v="MASCLET ANNIE LAURE"/>
    <n v="100"/>
    <s v="10118329"/>
    <s v="Comité externe"/>
    <x v="1"/>
    <s v="Résili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LIGENZA CYNTHIA"/>
    <x v="1"/>
    <s v="20994"/>
    <s v="MASCLET ANNIE LAURE"/>
    <n v="100"/>
    <s v="987914"/>
    <s v="Comité externe"/>
    <x v="1"/>
    <s v="Réabonnement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LIGENZA CYNTHIA"/>
    <x v="1"/>
    <s v="20994"/>
    <s v="MASCLET ANNIE LAURE"/>
    <n v="100"/>
    <s v="11350133"/>
    <s v="Comité externe"/>
    <x v="1"/>
    <s v="Connex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LIGENZA CYNTHIA"/>
    <x v="1"/>
    <s v="20994"/>
    <s v="MASCLET ANNIE LAURE"/>
    <n v="100"/>
    <s v="1337775"/>
    <s v="Comité externe"/>
    <x v="1"/>
    <s v="Réabonnement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LIGENZA CYNTHIA"/>
    <x v="1"/>
    <s v="20994"/>
    <s v="MASCLET ANNIE LAURE"/>
    <n v="100"/>
    <s v="10354231"/>
    <s v="Comité externe"/>
    <x v="1"/>
    <s v="Connexion via tablett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n v="1"/>
    <n v="1"/>
    <s v=" "/>
    <n v="1"/>
    <n v="1"/>
    <n v="1"/>
    <s v=" "/>
    <n v="1"/>
    <s v="13/02/2018"/>
  </r>
  <r>
    <x v="6"/>
    <n v="2"/>
    <x v="1"/>
    <s v="12/02/2018"/>
    <s v="GLM Grille FO"/>
    <s v="LUNEAU JULIEN"/>
    <x v="14"/>
    <s v="23902"/>
    <s v="MASCLET ANNIE LAURE"/>
    <n v="100"/>
    <s v="2947884"/>
    <s v="Comité externe"/>
    <x v="1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4/02/2018"/>
  </r>
  <r>
    <x v="6"/>
    <n v="2"/>
    <x v="1"/>
    <s v="12/02/2018"/>
    <s v="GLM Grille FO"/>
    <s v="LUNEAU JULIEN"/>
    <x v="14"/>
    <s v="23902"/>
    <s v="MASCLET ANNIE LAURE"/>
    <n v="100"/>
    <s v="10404427"/>
    <s v="Comité externe"/>
    <x v="3"/>
    <s v="CHAD définitif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14/02/2018"/>
  </r>
  <r>
    <x v="6"/>
    <n v="2"/>
    <x v="1"/>
    <s v="12/02/2018"/>
    <s v="GLM Grille FO"/>
    <s v="LUNEAU JULIEN"/>
    <x v="14"/>
    <s v="23902"/>
    <s v="MASCLET ANNIE LAURE"/>
    <n v="100"/>
    <s v="10480292"/>
    <s v="Comité externe"/>
    <x v="3"/>
    <s v="Connex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4/02/2018"/>
  </r>
  <r>
    <x v="6"/>
    <n v="2"/>
    <x v="1"/>
    <s v="13/02/2018"/>
    <s v="GLM Grille FO"/>
    <s v="LUNEAU JULIEN"/>
    <x v="8"/>
    <s v="23707"/>
    <s v="LUNEAU JULIEN"/>
    <n v="96.2"/>
    <s v="2203966"/>
    <s v="Supervision"/>
    <x v="0"/>
    <s v="non reception "/>
    <s v="Distance"/>
    <n v="1"/>
    <n v="1"/>
    <n v="1"/>
    <n v="1"/>
    <n v="1"/>
    <n v="1"/>
    <n v="0"/>
    <n v="1"/>
    <n v="1"/>
    <n v="1"/>
    <n v="1"/>
    <n v="1"/>
    <n v="1"/>
    <n v="0"/>
    <s v=" "/>
    <n v="1"/>
    <n v="1"/>
    <n v="1"/>
    <n v="0"/>
    <n v="1"/>
    <s v=" "/>
    <n v="1"/>
    <n v="1"/>
    <n v="1"/>
    <s v=" "/>
    <n v="1"/>
    <n v="1"/>
    <n v="1"/>
    <s v=" "/>
    <n v="1"/>
    <s v="13/02/2018"/>
  </r>
  <r>
    <x v="6"/>
    <n v="2"/>
    <x v="1"/>
    <s v="13/02/2018"/>
    <s v="GLM Grille FO"/>
    <s v="LUNEAU JULIEN"/>
    <x v="12"/>
    <s v="5858"/>
    <s v="LUNEAU JULIEN"/>
    <n v="100"/>
    <s v="0010571114"/>
    <s v="Supervision"/>
    <x v="3"/>
    <s v="résiliiation 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3/02/2018"/>
  </r>
  <r>
    <x v="6"/>
    <n v="2"/>
    <x v="1"/>
    <s v="14/02/2018"/>
    <s v="GLM Grille FO"/>
    <s v="Bisiaux Corinne"/>
    <x v="10"/>
    <s v="25543"/>
    <s v="MASCLET ANNIE LAURE"/>
    <n v="85.666666666666671"/>
    <s v="0011348521"/>
    <s v="Formation"/>
    <x v="0"/>
    <m/>
    <s v="Distance"/>
    <n v="1"/>
    <n v="1"/>
    <n v="1"/>
    <n v="1"/>
    <n v="0"/>
    <n v="0"/>
    <n v="1"/>
    <n v="1"/>
    <n v="1"/>
    <n v="1"/>
    <n v="1"/>
    <n v="1"/>
    <n v="0"/>
    <n v="1"/>
    <s v=" "/>
    <n v="1"/>
    <n v="1"/>
    <n v="1"/>
    <n v="1"/>
    <n v="1"/>
    <n v="1"/>
    <n v="0"/>
    <n v="1"/>
    <n v="1"/>
    <s v=" "/>
    <n v="1"/>
    <n v="1"/>
    <s v=" "/>
    <s v=" "/>
    <n v="1"/>
    <s v="26/02/2018"/>
  </r>
  <r>
    <x v="6"/>
    <n v="2"/>
    <x v="1"/>
    <s v="14/02/2018"/>
    <s v="GLM Grille FO"/>
    <s v="Bisiaux Corinne"/>
    <x v="10"/>
    <s v="25543"/>
    <s v="MASCLET ANNIE LAURE"/>
    <n v="90.36666666666666"/>
    <s v="0000617906"/>
    <s v="Formation"/>
    <x v="0"/>
    <s v="Demande de facture acquittée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0"/>
    <s v=" "/>
    <n v="1"/>
    <n v="1"/>
    <n v="1"/>
    <s v=" "/>
    <n v="1"/>
    <s v="26/02/2018"/>
  </r>
  <r>
    <x v="6"/>
    <n v="2"/>
    <x v="1"/>
    <s v="14/02/2018"/>
    <s v="GLM Grille FO"/>
    <s v="Bisiaux Corinne"/>
    <x v="4"/>
    <s v="21330"/>
    <s v="MASCLET ANNIE LAURE"/>
    <n v="91.166666666666671"/>
    <s v="0003197538"/>
    <s v="Formation"/>
    <x v="1"/>
    <s v="Demande de réexpédition"/>
    <s v="Distance"/>
    <n v="1"/>
    <n v="1"/>
    <n v="1"/>
    <n v="1"/>
    <n v="0"/>
    <n v="0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0/02/2018"/>
  </r>
  <r>
    <x v="6"/>
    <n v="2"/>
    <x v="1"/>
    <s v="14/02/2018"/>
    <s v="GLM Grille FO"/>
    <s v="LIGENZA CYNTHIA"/>
    <x v="16"/>
    <s v="23702"/>
    <s v="MASCLET ANNIE LAURE"/>
    <n v="100"/>
    <s v="0000252010"/>
    <s v="Formation"/>
    <x v="2"/>
    <s v="Reste-Procédure d'annulation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n v="1"/>
    <n v="1"/>
    <s v="21/02/2018"/>
  </r>
  <r>
    <x v="6"/>
    <n v="2"/>
    <x v="1"/>
    <s v="14/02/2018"/>
    <s v="GLM Grille FO"/>
    <s v="LIGENZA CYNTHIA"/>
    <x v="16"/>
    <s v="23702"/>
    <s v="MASCLET ANNIE LAURE"/>
    <n v="100"/>
    <s v="5004317158"/>
    <s v="Formation"/>
    <x v="0"/>
    <s v=" Demande la date de début d'abonnement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21/02/2018"/>
  </r>
  <r>
    <x v="6"/>
    <n v="2"/>
    <x v="1"/>
    <s v="14/02/2018"/>
    <s v="GLM Grille FO"/>
    <s v="LIGENZA CYNTHIA"/>
    <x v="13"/>
    <s v="25088"/>
    <s v="MASCLET ANNIE LAURE"/>
    <n v="88.333333333333329"/>
    <s v="0002958733"/>
    <s v="Formation"/>
    <x v="2"/>
    <s v="Connexion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0"/>
    <s v="21/02/2018"/>
  </r>
  <r>
    <x v="6"/>
    <n v="2"/>
    <x v="1"/>
    <s v="14/02/2018"/>
    <s v="GLM Grille FO"/>
    <s v="LIGENZA CYNTHIA"/>
    <x v="11"/>
    <s v="25090"/>
    <s v="MASCLET ANNIE LAURE"/>
    <n v="96.2"/>
    <s v="0001932040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0"/>
    <n v="1"/>
    <n v="1"/>
    <s v=" "/>
    <n v="1"/>
    <n v="1"/>
    <s v=" "/>
    <n v="1"/>
    <n v="1"/>
    <n v="1"/>
    <s v=" "/>
    <n v="1"/>
    <m/>
  </r>
  <r>
    <x v="6"/>
    <n v="2"/>
    <x v="1"/>
    <s v="14/02/2018"/>
    <s v="GLM Grille FO"/>
    <s v="LUNEAU JULIEN"/>
    <x v="9"/>
    <s v="25545"/>
    <s v="MASCLET ANNIE LAURE"/>
    <n v="90"/>
    <s v="0003114931"/>
    <s v="Formation"/>
    <x v="0"/>
    <s v="CHAD temporaire"/>
    <s v="Distance"/>
    <n v="1"/>
    <n v="1"/>
    <n v="1"/>
    <n v="1"/>
    <n v="0"/>
    <n v="0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6/02/2018"/>
  </r>
  <r>
    <x v="6"/>
    <n v="2"/>
    <x v="1"/>
    <s v="14/02/2018"/>
    <s v="GLM Grille FO"/>
    <s v="LUNEAU JULIEN"/>
    <x v="9"/>
    <s v="25545"/>
    <s v="MASCLET ANNIE LAURE"/>
    <n v="96.25"/>
    <s v="0010273845"/>
    <s v="Formation"/>
    <x v="0"/>
    <s v="Modification de coordonnées bancaires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1"/>
    <n v="1"/>
    <s v=" "/>
    <n v="1"/>
    <s v="26/02/2018"/>
  </r>
  <r>
    <x v="6"/>
    <n v="2"/>
    <x v="1"/>
    <s v="14/02/2018"/>
    <s v="GLM Grille FO"/>
    <s v="LUNEAU JULIEN"/>
    <x v="2"/>
    <s v="25086"/>
    <s v="MASCLET ANNIE LAURE"/>
    <n v="100"/>
    <s v="0001639241"/>
    <s v="Formation"/>
    <x v="0"/>
    <s v="Portage en Banlieue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26/02/2018"/>
  </r>
  <r>
    <x v="7"/>
    <n v="2"/>
    <x v="1"/>
    <s v="19/02/2018"/>
    <s v="GLM Grille FO"/>
    <s v="Bisiaux Corinne"/>
    <x v="10"/>
    <s v="25543"/>
    <s v="Bisiaux Corinne"/>
    <n v="92.166666666666671"/>
    <s v="520859"/>
    <s v="Supervision"/>
    <x v="0"/>
    <s v="SUSPENSION "/>
    <s v="Distance"/>
    <n v="1"/>
    <n v="1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n v="1"/>
    <n v="0"/>
    <s v=" "/>
    <n v="1"/>
    <s v="26/02/2018"/>
  </r>
  <r>
    <x v="7"/>
    <n v="2"/>
    <x v="1"/>
    <s v="19/02/2018"/>
    <s v="GLM Grille FO"/>
    <s v="Bisiaux Corinne"/>
    <x v="0"/>
    <s v="23703"/>
    <s v="Bisiaux Corinne"/>
    <n v="93"/>
    <s v="11133774"/>
    <s v="Supervision"/>
    <x v="1"/>
    <s v="NON RECEPT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0"/>
    <n v="1"/>
    <s v=" "/>
    <n v="1"/>
    <s v="20/02/2018"/>
  </r>
  <r>
    <x v="7"/>
    <n v="2"/>
    <x v="1"/>
    <s v="19/02/2018"/>
    <s v="GLM Grille FO"/>
    <s v="Bisiaux Corinne"/>
    <x v="4"/>
    <s v="21330"/>
    <s v="Bisiaux Corinne"/>
    <n v="95.879120879120876"/>
    <s v="5000201078"/>
    <s v="Supervision"/>
    <x v="0"/>
    <s v="connexion "/>
    <s v="Distance"/>
    <n v="1"/>
    <n v="0"/>
    <n v="1"/>
    <n v="1"/>
    <n v="1"/>
    <s v=" "/>
    <n v="1"/>
    <n v="1"/>
    <n v="1"/>
    <n v="1"/>
    <n v="1"/>
    <n v="1"/>
    <s v=" "/>
    <n v="1"/>
    <s v=" "/>
    <n v="1"/>
    <n v="1"/>
    <s v=" "/>
    <n v="1"/>
    <n v="1"/>
    <n v="1"/>
    <n v="1"/>
    <n v="1"/>
    <n v="1"/>
    <s v=" "/>
    <n v="1"/>
    <s v=" "/>
    <n v="1"/>
    <s v=" "/>
    <n v="1"/>
    <s v="20/02/2018"/>
  </r>
  <r>
    <x v="7"/>
    <n v="2"/>
    <x v="1"/>
    <s v="19/02/2018"/>
    <s v="GLM Grille FO"/>
    <s v="Bisiaux Corinne"/>
    <x v="5"/>
    <s v="23704"/>
    <s v="Bisiaux Corinne"/>
    <n v="94"/>
    <s v="3056993"/>
    <s v="Supervision"/>
    <x v="0"/>
    <s v="NON RECEPTION "/>
    <s v="Distance"/>
    <n v="1"/>
    <n v="0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n v="1"/>
    <s v=" "/>
    <n v="1"/>
    <s v="20/02/2018"/>
  </r>
  <r>
    <x v="7"/>
    <n v="2"/>
    <x v="1"/>
    <s v="19/02/2018"/>
    <s v="GLM Grille FO"/>
    <s v="Bisiaux Corinne"/>
    <x v="5"/>
    <s v="23704"/>
    <s v="Bisiaux Corinne"/>
    <n v="94.25"/>
    <s v="10555067"/>
    <s v="Supervision"/>
    <x v="1"/>
    <s v="RESILIATION"/>
    <s v="Distance"/>
    <n v="1"/>
    <n v="0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1"/>
    <s v=" "/>
    <n v="1"/>
    <s v="20/02/2018"/>
  </r>
  <r>
    <x v="7"/>
    <n v="2"/>
    <x v="1"/>
    <s v="19/02/2018"/>
    <s v="GLM Grille FO"/>
    <s v="LIGENZA CYNTHIA"/>
    <x v="16"/>
    <s v="23702"/>
    <s v="MASCLET ANNIE LAURE"/>
    <n v="100"/>
    <s v="0001792201"/>
    <s v="Formation"/>
    <x v="0"/>
    <s v=" Portage en Province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1/02/2018"/>
  </r>
  <r>
    <x v="7"/>
    <n v="2"/>
    <x v="1"/>
    <s v="19/02/2018"/>
    <s v="GLM Grille FO"/>
    <s v="LUNEAU JULIEN"/>
    <x v="8"/>
    <s v="23707"/>
    <s v="MASCLET ANNIE LAURE"/>
    <n v="100"/>
    <s v="0002093807"/>
    <s v="Formation"/>
    <x v="0"/>
    <s v="Suspension temporair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3/02/2018"/>
  </r>
  <r>
    <x v="7"/>
    <n v="2"/>
    <x v="1"/>
    <s v="19/02/2018"/>
    <s v="GLM Grille FO"/>
    <s v="LUNEAU JULIEN"/>
    <x v="12"/>
    <s v="5858"/>
    <s v="MASCLET ANNIE LAURE"/>
    <n v="100"/>
    <s v="0000918786"/>
    <s v="Formation"/>
    <x v="0"/>
    <s v="CHAD temporaire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3/02/2018"/>
  </r>
  <r>
    <x v="7"/>
    <n v="2"/>
    <x v="1"/>
    <s v="19/02/2018"/>
    <s v="GLM Grille FO"/>
    <s v="LUNEAU JULIEN"/>
    <x v="2"/>
    <s v="25086"/>
    <s v="MASCLET ANNIE LAURE"/>
    <n v="83.666666666666671"/>
    <s v="0010640277"/>
    <s v="Formation"/>
    <x v="0"/>
    <s v="Rétention OK"/>
    <s v="Distance"/>
    <n v="1"/>
    <n v="0"/>
    <n v="1"/>
    <n v="1"/>
    <n v="1"/>
    <n v="0"/>
    <n v="1"/>
    <n v="1"/>
    <n v="1"/>
    <n v="1"/>
    <n v="1"/>
    <n v="0"/>
    <n v="1"/>
    <n v="1"/>
    <s v=" "/>
    <n v="1"/>
    <n v="1"/>
    <n v="1"/>
    <n v="1"/>
    <n v="1"/>
    <n v="1"/>
    <n v="1"/>
    <n v="0"/>
    <n v="1"/>
    <s v=" "/>
    <n v="1"/>
    <n v="1"/>
    <n v="1"/>
    <s v=" "/>
    <n v="1"/>
    <s v="26/02/2018"/>
  </r>
  <r>
    <x v="7"/>
    <n v="2"/>
    <x v="1"/>
    <s v="21/02/2018"/>
    <s v="GLM Grille FO"/>
    <s v="Bisiaux Corinne"/>
    <x v="6"/>
    <s v="25085"/>
    <s v="Bisiaux Corinne"/>
    <n v="88.333333333333329"/>
    <s v="0011355266"/>
    <s v="Formation"/>
    <x v="0"/>
    <s v="Non réception en France ou à l'étranger"/>
    <s v="Distance"/>
    <n v="1"/>
    <s v=" "/>
    <n v="1"/>
    <n v="1"/>
    <n v="0"/>
    <n v="1"/>
    <n v="1"/>
    <n v="1"/>
    <n v="1"/>
    <n v="1"/>
    <n v="1"/>
    <n v="1"/>
    <n v="1"/>
    <n v="1"/>
    <s v=" "/>
    <n v="1"/>
    <n v="0"/>
    <n v="1"/>
    <n v="1"/>
    <n v="1"/>
    <n v="1"/>
    <n v="1"/>
    <s v=" "/>
    <n v="1"/>
    <s v=" "/>
    <n v="1"/>
    <n v="1"/>
    <n v="1"/>
    <s v=" "/>
    <n v="1"/>
    <s v="02/03/2018"/>
  </r>
  <r>
    <x v="7"/>
    <n v="2"/>
    <x v="1"/>
    <s v="21/02/2018"/>
    <s v="GLM Grille FO"/>
    <s v="Bisiaux Corinne"/>
    <x v="6"/>
    <s v="25085"/>
    <s v="MASCLET ANNIE LAURE"/>
    <n v="100"/>
    <s v="0011277036"/>
    <s v="Formation"/>
    <x v="0"/>
    <s v="Changement de formules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02/03/2018"/>
  </r>
  <r>
    <x v="7"/>
    <n v="2"/>
    <x v="1"/>
    <s v="21/02/2018"/>
    <s v="GLM Grille FO"/>
    <s v="LIGENZA CYNTHIA"/>
    <x v="13"/>
    <s v="25088"/>
    <s v="LIGENZA CYNTHIA"/>
    <n v="88.333333333333329"/>
    <s v="0002644635"/>
    <s v="Formation"/>
    <x v="0"/>
    <s v=" Suspension temporaire"/>
    <s v="Distance"/>
    <n v="1"/>
    <n v="1"/>
    <n v="1"/>
    <n v="1"/>
    <n v="0"/>
    <n v="1"/>
    <n v="1"/>
    <n v="1"/>
    <n v="1"/>
    <n v="1"/>
    <n v="1"/>
    <n v="0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1/02/2018"/>
  </r>
  <r>
    <x v="7"/>
    <n v="2"/>
    <x v="1"/>
    <s v="21/02/2018"/>
    <s v="GLM Grille FO"/>
    <s v="LIGENZA CYNTHIA"/>
    <x v="13"/>
    <s v="25088"/>
    <s v="MASCLET ANNIE LAURE"/>
    <n v="91"/>
    <s v="5001561053"/>
    <s v="Formation"/>
    <x v="0"/>
    <s v="Probblème de connexion"/>
    <s v="Distance"/>
    <n v="1"/>
    <n v="1"/>
    <n v="1"/>
    <n v="1"/>
    <n v="0"/>
    <s v=" "/>
    <n v="1"/>
    <s v=" "/>
    <n v="1"/>
    <n v="1"/>
    <n v="1"/>
    <n v="1"/>
    <n v="1"/>
    <n v="1"/>
    <s v=" "/>
    <s v=" "/>
    <s v=" "/>
    <n v="1"/>
    <n v="1"/>
    <n v="1"/>
    <s v=" "/>
    <n v="0"/>
    <s v=" "/>
    <n v="1"/>
    <s v=" "/>
    <n v="1"/>
    <n v="1"/>
    <n v="1"/>
    <n v="1"/>
    <n v="1"/>
    <s v="21/02/2018"/>
  </r>
  <r>
    <x v="7"/>
    <n v="2"/>
    <x v="1"/>
    <s v="21/02/2018"/>
    <s v="GLM Grille FO"/>
    <s v="LUNEAU JULIEN"/>
    <x v="8"/>
    <s v="23707"/>
    <s v="MASCLET ANNIE LAURE"/>
    <n v="100"/>
    <s v="5003144399"/>
    <s v="Comité externe"/>
    <x v="2"/>
    <s v="MAJ appli 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m/>
  </r>
  <r>
    <x v="7"/>
    <n v="2"/>
    <x v="1"/>
    <s v="21/02/2018"/>
    <s v="GLM Grille FO"/>
    <s v="LUNEAU JULIEN"/>
    <x v="9"/>
    <s v="25545"/>
    <s v="MASCLET ANNIE LAURE"/>
    <n v="94.166666666666671"/>
    <s v="0010397893"/>
    <s v="Formation"/>
    <x v="0"/>
    <s v="Modification / ajout / correction des informations"/>
    <s v="Distance"/>
    <n v="1"/>
    <n v="1"/>
    <n v="1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26/02/2018"/>
  </r>
  <r>
    <x v="7"/>
    <n v="2"/>
    <x v="1"/>
    <s v="21/02/2018"/>
    <s v="GLM Grille FO"/>
    <s v="LUNEAU JULIEN"/>
    <x v="15"/>
    <s v="25546"/>
    <s v="MASCLET ANNIE LAURE"/>
    <n v="100"/>
    <s v="0002203332"/>
    <s v="Formation"/>
    <x v="0"/>
    <s v="Impossibilité de se connecter à l'Edition abonnés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n v="1"/>
    <n v="1"/>
    <s v=" "/>
    <n v="1"/>
    <n v="1"/>
    <n v="1"/>
    <s v=" "/>
    <n v="1"/>
    <n v="1"/>
    <n v="1"/>
    <n v="1"/>
    <n v="1"/>
    <s v="26/02/2018"/>
  </r>
  <r>
    <x v="7"/>
    <n v="2"/>
    <x v="1"/>
    <s v="22/02/2018"/>
    <s v="GLM Grille FO"/>
    <s v="LIGENZA CYNTHIA"/>
    <x v="18"/>
    <s v="24750"/>
    <s v="LUNEAU JULIEN"/>
    <n v="96.25"/>
    <s v="259056"/>
    <s v="Comité externe"/>
    <x v="2"/>
    <s v="Demande identifiant et mot de pass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1"/>
    <n v="1"/>
    <n v="1"/>
    <n v="1"/>
    <s v="27/02/2018"/>
  </r>
  <r>
    <x v="7"/>
    <n v="2"/>
    <x v="1"/>
    <s v="22/02/2018"/>
    <s v="GLM Grille FO"/>
    <s v="LUNEAU JULIEN"/>
    <x v="8"/>
    <s v="23707"/>
    <s v="MASCLET ANNIE LAURE"/>
    <n v="100"/>
    <s v="10829094"/>
    <s v="Comité externe"/>
    <x v="2"/>
    <s v="Impayé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m/>
  </r>
  <r>
    <x v="8"/>
    <n v="2"/>
    <x v="1"/>
    <s v="26/02/2018"/>
    <s v="GLM Grille FO"/>
    <s v="Bisiaux Corinne"/>
    <x v="10"/>
    <s v="25543"/>
    <s v="MASCLET ANNIE LAURE"/>
    <n v="71.7"/>
    <s v="5003077809"/>
    <s v="Comité externe"/>
    <x v="0"/>
    <s v="Non réception"/>
    <s v="Distance"/>
    <n v="1"/>
    <n v="1"/>
    <n v="1"/>
    <n v="1"/>
    <n v="0"/>
    <n v="0"/>
    <n v="1"/>
    <n v="1"/>
    <n v="1"/>
    <n v="1"/>
    <n v="1"/>
    <n v="1"/>
    <n v="1"/>
    <n v="1"/>
    <s v=" "/>
    <n v="1"/>
    <n v="1"/>
    <n v="1"/>
    <n v="0"/>
    <n v="1"/>
    <n v="0"/>
    <n v="0"/>
    <n v="1"/>
    <n v="1"/>
    <s v=" "/>
    <n v="1"/>
    <n v="1"/>
    <n v="0"/>
    <s v=" "/>
    <n v="0"/>
    <s v="27/02/2018"/>
  </r>
  <r>
    <x v="8"/>
    <n v="2"/>
    <x v="1"/>
    <s v="26/02/2018"/>
    <s v="GLM Grille FO"/>
    <s v="LIGENZA CYNTHIA"/>
    <x v="18"/>
    <s v="24750"/>
    <s v="MASCLET ANNIE LAURE"/>
    <n v="93.25"/>
    <s v="5000447564"/>
    <s v="Comité externe"/>
    <x v="2"/>
    <s v=" Consultation/recherche articles"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1"/>
    <n v="1"/>
    <s v=" "/>
    <n v="1"/>
    <s v="27/02/2018"/>
  </r>
  <r>
    <x v="8"/>
    <n v="2"/>
    <x v="1"/>
    <s v="26/02/2018"/>
    <s v="GLM Grille FO"/>
    <s v="LIGENZA CYNTHIA"/>
    <x v="13"/>
    <s v="25088"/>
    <s v="MASCLET ANNIE LAURE"/>
    <n v="59.1"/>
    <s v="10930472"/>
    <s v="Comité externe"/>
    <x v="0"/>
    <s v="Non réception"/>
    <s v="Distance"/>
    <n v="1"/>
    <n v="0"/>
    <n v="1"/>
    <n v="1"/>
    <n v="0"/>
    <n v="0"/>
    <n v="1"/>
    <n v="1"/>
    <n v="1"/>
    <n v="0"/>
    <n v="1"/>
    <n v="1"/>
    <n v="1"/>
    <n v="1"/>
    <s v=" "/>
    <n v="1"/>
    <n v="1"/>
    <n v="1"/>
    <n v="0"/>
    <n v="1"/>
    <s v=" "/>
    <n v="0"/>
    <s v=" "/>
    <n v="1"/>
    <s v=" "/>
    <n v="0"/>
    <s v=" "/>
    <n v="0"/>
    <s v=" "/>
    <n v="0"/>
    <s v="28/02/2018"/>
  </r>
  <r>
    <x v="8"/>
    <n v="2"/>
    <x v="1"/>
    <s v="26/02/2018"/>
    <s v="GLM Grille FO"/>
    <s v="LUNEAU JULIEN"/>
    <x v="9"/>
    <s v="25545"/>
    <s v="MASCLET ANNIE LAURE"/>
    <n v="90.36666666666666"/>
    <s v="11298237"/>
    <s v="Comité externe"/>
    <x v="0"/>
    <s v="Non réception"/>
    <s v="Distance"/>
    <n v="0"/>
    <n v="1"/>
    <n v="1"/>
    <n v="1"/>
    <n v="1"/>
    <n v="1"/>
    <n v="1"/>
    <n v="1"/>
    <n v="1"/>
    <n v="1"/>
    <n v="1"/>
    <s v=" "/>
    <n v="1"/>
    <n v="1"/>
    <s v=" "/>
    <n v="1"/>
    <n v="1"/>
    <n v="1"/>
    <n v="1"/>
    <n v="1"/>
    <n v="0"/>
    <n v="1"/>
    <n v="1"/>
    <n v="1"/>
    <s v=" "/>
    <n v="1"/>
    <n v="1"/>
    <n v="1"/>
    <n v="1"/>
    <n v="1"/>
    <s v="28/02/2018"/>
  </r>
  <r>
    <x v="8"/>
    <n v="2"/>
    <x v="1"/>
    <s v="26/02/2018"/>
    <s v="GLM Grille FO"/>
    <s v="LUNEAU JULIEN"/>
    <x v="12"/>
    <s v="5858"/>
    <s v="MASCLET ANNIE LAURE"/>
    <n v="56.5"/>
    <s v="1470421"/>
    <s v="Comité externe"/>
    <x v="0"/>
    <s v="Non réception"/>
    <s v="Distance"/>
    <n v="1"/>
    <n v="1"/>
    <n v="1"/>
    <n v="1"/>
    <n v="0"/>
    <n v="0"/>
    <n v="1"/>
    <n v="1"/>
    <n v="0"/>
    <n v="1"/>
    <n v="1"/>
    <n v="1"/>
    <n v="1"/>
    <n v="1"/>
    <s v=" "/>
    <n v="0"/>
    <n v="0"/>
    <n v="1"/>
    <n v="1"/>
    <n v="0"/>
    <s v=" "/>
    <n v="0"/>
    <n v="0"/>
    <n v="1"/>
    <s v=" "/>
    <n v="1"/>
    <n v="1"/>
    <n v="0"/>
    <s v=" "/>
    <n v="0"/>
    <m/>
  </r>
  <r>
    <x v="8"/>
    <n v="2"/>
    <x v="1"/>
    <s v="26/02/2018"/>
    <s v="GLM Grille FO"/>
    <s v="LUNEAU JULIEN"/>
    <x v="2"/>
    <s v="25086"/>
    <s v="MASCLET ANNIE LAURE"/>
    <n v="84.533333333333331"/>
    <s v="296335"/>
    <s v="Comité externe"/>
    <x v="0"/>
    <s v="Relance réabonnement"/>
    <s v="Distance"/>
    <n v="1"/>
    <s v=" "/>
    <n v="1"/>
    <n v="1"/>
    <n v="0"/>
    <n v="1"/>
    <n v="1"/>
    <n v="1"/>
    <n v="1"/>
    <n v="1"/>
    <n v="1"/>
    <n v="1"/>
    <n v="1"/>
    <n v="1"/>
    <n v="1"/>
    <s v=" "/>
    <n v="1"/>
    <n v="1"/>
    <n v="0"/>
    <n v="1"/>
    <n v="0"/>
    <n v="1"/>
    <s v=" "/>
    <n v="1"/>
    <s v=" "/>
    <n v="1"/>
    <n v="1"/>
    <n v="1"/>
    <s v=" "/>
    <n v="1"/>
    <s v="28/02/2018"/>
  </r>
  <r>
    <x v="8"/>
    <n v="3"/>
    <x v="2"/>
    <s v="02/03/2018"/>
    <s v="GLM Grille FO"/>
    <s v="Bisiaux Corinne"/>
    <x v="10"/>
    <s v="25543"/>
    <s v="MASCLET ANNIE LAURE"/>
    <n v="74.5"/>
    <s v="0003114272"/>
    <s v="Formation"/>
    <x v="0"/>
    <s v="Non réception"/>
    <s v="Distance"/>
    <n v="1"/>
    <n v="0"/>
    <n v="1"/>
    <n v="1"/>
    <n v="0"/>
    <n v="1"/>
    <n v="1"/>
    <n v="1"/>
    <n v="1"/>
    <n v="1"/>
    <n v="1"/>
    <n v="1"/>
    <n v="1"/>
    <n v="1"/>
    <n v="1"/>
    <n v="1"/>
    <n v="1"/>
    <n v="1"/>
    <n v="1"/>
    <n v="1"/>
    <s v=" "/>
    <n v="0"/>
    <n v="0"/>
    <n v="1"/>
    <s v=" "/>
    <n v="1"/>
    <n v="1"/>
    <n v="0"/>
    <s v=" "/>
    <n v="0"/>
    <s v="26/03/2018"/>
  </r>
  <r>
    <x v="8"/>
    <n v="3"/>
    <x v="2"/>
    <s v="02/03/2018"/>
    <s v="GLM Grille FO"/>
    <s v="LIGENZA CYNTHIA"/>
    <x v="13"/>
    <s v="25088"/>
    <s v="MASCLET ANNIE LAURE"/>
    <n v="75.25"/>
    <s v="196621"/>
    <s v="Formation"/>
    <x v="0"/>
    <s v="Non réception"/>
    <s v="Distance"/>
    <n v="1"/>
    <n v="0"/>
    <n v="1"/>
    <n v="1"/>
    <n v="0"/>
    <n v="0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0"/>
    <s v=" "/>
    <n v="0"/>
    <s v="27/03/2018"/>
  </r>
  <r>
    <x v="8"/>
    <n v="3"/>
    <x v="2"/>
    <s v="02/03/2018"/>
    <s v="GLM Grille FO"/>
    <s v="LIGENZA CYNTHIA"/>
    <x v="13"/>
    <s v="25088"/>
    <s v="MASCLET ANNIE LAURE"/>
    <n v="86.25"/>
    <s v="0010183529"/>
    <s v="Formation"/>
    <x v="0"/>
    <s v="Changement de formule"/>
    <s v="Distance"/>
    <n v="1"/>
    <n v="0"/>
    <n v="1"/>
    <n v="1"/>
    <n v="0"/>
    <n v="0"/>
    <n v="1"/>
    <n v="1"/>
    <n v="1"/>
    <n v="1"/>
    <n v="1"/>
    <n v="1"/>
    <n v="1"/>
    <n v="1"/>
    <s v=" "/>
    <n v="1"/>
    <n v="1"/>
    <n v="1"/>
    <n v="1"/>
    <n v="1"/>
    <n v="1"/>
    <n v="0"/>
    <n v="1"/>
    <n v="1"/>
    <s v=" "/>
    <n v="1"/>
    <n v="1"/>
    <n v="1"/>
    <n v="1"/>
    <n v="1"/>
    <s v="27/03/2018"/>
  </r>
  <r>
    <x v="8"/>
    <n v="3"/>
    <x v="2"/>
    <s v="02/03/2018"/>
    <s v="GLM Grille FO"/>
    <s v="LIGENZA CYNTHIA"/>
    <x v="7"/>
    <s v="19896"/>
    <s v="MASCLET ANNIE LAURE"/>
    <n v="100"/>
    <s v="1627553"/>
    <s v="Formation"/>
    <x v="0"/>
    <s v="Suspension temporair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5/03/2018"/>
  </r>
  <r>
    <x v="8"/>
    <n v="3"/>
    <x v="2"/>
    <s v="02/03/2018"/>
    <s v="GLM Grille FO"/>
    <s v="LIGENZA CYNTHIA"/>
    <x v="7"/>
    <s v="19896"/>
    <s v="MASCLET ANNIE LAURE"/>
    <n v="100"/>
    <s v="2992018"/>
    <s v="Formation"/>
    <x v="1"/>
    <s v="Résiliation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15/03/2018"/>
  </r>
  <r>
    <x v="8"/>
    <n v="3"/>
    <x v="2"/>
    <s v="02/03/2018"/>
    <s v="GLM Grille FO"/>
    <s v="LUNEAU JULIEN"/>
    <x v="2"/>
    <s v="25086"/>
    <s v="MASCLET ANNIE LAURE"/>
    <n v="100"/>
    <s v="0000280841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06/03/2018"/>
  </r>
  <r>
    <x v="8"/>
    <n v="3"/>
    <x v="2"/>
    <s v="02/03/2018"/>
    <s v="GLM Grille FO"/>
    <s v="LUNEAU JULIEN"/>
    <x v="15"/>
    <s v="25546"/>
    <s v="MASCLET ANNIE LAURE"/>
    <n v="82.5"/>
    <s v="0010446932"/>
    <s v="Formation"/>
    <x v="0"/>
    <s v="Non réception"/>
    <s v="Distance"/>
    <n v="1"/>
    <n v="0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0"/>
    <s v="15/03/2018"/>
  </r>
  <r>
    <x v="9"/>
    <n v="3"/>
    <x v="2"/>
    <s v="05/03/2018"/>
    <s v="GLM Grille FO"/>
    <s v="Bisiaux Corinne"/>
    <x v="4"/>
    <s v="21330"/>
    <s v="MASCLET ANNIE LAURE"/>
    <n v="85.45"/>
    <s v="243300"/>
    <s v="Comité externe"/>
    <x v="0"/>
    <s v="Non réception"/>
    <s v="Distance"/>
    <n v="1"/>
    <n v="0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0"/>
    <n v="1"/>
    <n v="0"/>
    <s v=" "/>
    <n v="1"/>
    <s v="06/03/2018"/>
  </r>
  <r>
    <x v="9"/>
    <n v="3"/>
    <x v="2"/>
    <s v="05/03/2018"/>
    <s v="GLM Grille FO"/>
    <s v="Bisiaux Corinne"/>
    <x v="4"/>
    <s v="21330"/>
    <s v="MASCLET ANNIE LAURE"/>
    <n v="96"/>
    <s v="11300395"/>
    <s v="Comité externe"/>
    <x v="0"/>
    <m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0"/>
    <n v="1"/>
    <n v="1"/>
    <s v=" "/>
    <n v="1"/>
    <n v="1"/>
    <n v="0"/>
    <s v=" "/>
    <n v="1"/>
    <s v="06/03/2018"/>
  </r>
  <r>
    <x v="9"/>
    <n v="3"/>
    <x v="2"/>
    <s v="05/03/2018"/>
    <s v="GLM Grille FO"/>
    <s v="LIGENZA CYNTHIA"/>
    <x v="13"/>
    <s v="25088"/>
    <s v="MASCLET ANNIE LAURE"/>
    <n v="85.45"/>
    <s v="2310140"/>
    <s v="Comité externe"/>
    <x v="0"/>
    <s v="Changement d'adresse temporaire"/>
    <s v="Distance"/>
    <n v="1"/>
    <n v="0"/>
    <n v="1"/>
    <n v="1"/>
    <n v="0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0"/>
    <n v="1"/>
    <n v="1"/>
    <s v=" "/>
    <n v="1"/>
    <s v="27/03/2018"/>
  </r>
  <r>
    <x v="9"/>
    <n v="3"/>
    <x v="2"/>
    <s v="05/03/2018"/>
    <s v="GLM Grille FO"/>
    <s v="LIGENZA CYNTHIA"/>
    <x v="7"/>
    <s v="19896"/>
    <s v="MASCLET ANNIE LAURE"/>
    <n v="100"/>
    <s v="560811"/>
    <s v="Comité externe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06/03/2018"/>
  </r>
  <r>
    <x v="9"/>
    <n v="3"/>
    <x v="2"/>
    <s v="05/03/2018"/>
    <s v="GLM Grille FO"/>
    <s v="LIGENZA CYNTHIA"/>
    <x v="11"/>
    <s v="25090"/>
    <s v="MASCLET ANNIE LAURE"/>
    <n v="89.2"/>
    <s v="205989"/>
    <s v="Comité externe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0"/>
    <n v="1"/>
    <s v=" "/>
    <n v="1"/>
    <n v="1"/>
    <n v="1"/>
    <s v=" "/>
    <n v="1"/>
    <n v="1"/>
    <n v="1"/>
    <s v=" "/>
    <n v="0"/>
    <s v="06/03/2018"/>
  </r>
  <r>
    <x v="9"/>
    <n v="3"/>
    <x v="2"/>
    <s v="05/03/2018"/>
    <s v="GLM Grille FO"/>
    <s v="LUNEAU JULIEN"/>
    <x v="9"/>
    <s v="25545"/>
    <s v="MASCLET ANNIE LAURE"/>
    <n v="91"/>
    <s v="0000198863"/>
    <s v="Comité externe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0"/>
    <s v=" "/>
    <n v="0"/>
    <s v="06/03/2018"/>
  </r>
  <r>
    <x v="9"/>
    <n v="3"/>
    <x v="2"/>
    <s v="05/03/2018"/>
    <s v="GLM Grille FO"/>
    <s v="LUNEAU JULIEN"/>
    <x v="12"/>
    <s v="5858"/>
    <s v="MASCLET ANNIE LAURE"/>
    <n v="100"/>
    <s v="1965350"/>
    <s v="Comité externe"/>
    <x v="0"/>
    <s v="Changement de formul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06/03/2018"/>
  </r>
  <r>
    <x v="9"/>
    <n v="3"/>
    <x v="2"/>
    <s v="05/03/2018"/>
    <s v="GLM Grille FO"/>
    <s v="LUNEAU JULIEN"/>
    <x v="2"/>
    <s v="25086"/>
    <s v="MASCLET ANNIE LAURE"/>
    <n v="97"/>
    <s v="10654108"/>
    <s v="Comité externe"/>
    <x v="0"/>
    <s v="Non réception"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06/03/2018"/>
  </r>
  <r>
    <x v="9"/>
    <n v="3"/>
    <x v="2"/>
    <s v="05/03/2018"/>
    <s v="GLM Grille FO"/>
    <s v="LUNEAU JULIEN"/>
    <x v="14"/>
    <s v="23902"/>
    <s v="MASCLET ANNIE LAURE"/>
    <n v="94"/>
    <s v="0010435846"/>
    <s v="Formation"/>
    <x v="3"/>
    <s v="Résiliation"/>
    <s v="Distance"/>
    <n v="1"/>
    <n v="1"/>
    <n v="1"/>
    <n v="0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4/03/2018"/>
  </r>
  <r>
    <x v="9"/>
    <n v="3"/>
    <x v="2"/>
    <s v="05/03/2018"/>
    <s v="GLM Grille FO"/>
    <s v="LUNEAU JULIEN"/>
    <x v="14"/>
    <s v="23902"/>
    <s v="MASCLET ANNIE LAURE"/>
    <n v="100"/>
    <s v="2135068"/>
    <s v="Comité externe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06/03/2018"/>
  </r>
  <r>
    <x v="9"/>
    <n v="3"/>
    <x v="2"/>
    <s v="05/03/2018"/>
    <s v="GLM Grille FO"/>
    <s v="LUNEAU JULIEN"/>
    <x v="3"/>
    <s v="25084"/>
    <s v="LUNEAU JULIEN"/>
    <n v="96.2"/>
    <s v="2197746"/>
    <s v="Comité externe"/>
    <x v="0"/>
    <s v="Non réception"/>
    <s v="Distance"/>
    <n v="0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06/03/2018"/>
  </r>
  <r>
    <x v="9"/>
    <n v="3"/>
    <x v="2"/>
    <s v="05/03/2018"/>
    <s v="GLM Grille FO"/>
    <s v="LUNEAU JULIEN"/>
    <x v="15"/>
    <s v="25546"/>
    <s v="LUNEAU JULIEN"/>
    <n v="100"/>
    <s v="11307035"/>
    <s v="Comité externe"/>
    <x v="2"/>
    <s v="Demande validation remboursement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n v="1"/>
    <n v="1"/>
    <m/>
  </r>
  <r>
    <x v="9"/>
    <n v="3"/>
    <x v="2"/>
    <s v="06/03/2018"/>
    <s v="GLM Grille FO"/>
    <s v="Bisiaux Corinne"/>
    <x v="0"/>
    <s v="23703"/>
    <s v="MASCLET ANNIE LAURE"/>
    <n v="96.25"/>
    <s v="2024450"/>
    <s v="Formation"/>
    <x v="3"/>
    <s v="Modification de coordonnées bancaires"/>
    <s v="Distance"/>
    <n v="1"/>
    <n v="0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0/03/2018"/>
  </r>
  <r>
    <x v="9"/>
    <n v="3"/>
    <x v="2"/>
    <s v="06/03/2018"/>
    <s v="GLM Grille FO"/>
    <s v="Bisiaux Corinne"/>
    <x v="0"/>
    <s v="23703"/>
    <s v="MASCLET ANNIE LAURE"/>
    <n v="100"/>
    <s v="0011271392"/>
    <s v="Formation"/>
    <x v="3"/>
    <s v="Chad définitif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0/03/2018"/>
  </r>
  <r>
    <x v="9"/>
    <n v="3"/>
    <x v="2"/>
    <s v="06/03/2018"/>
    <s v="GLM Grille FO"/>
    <s v="LIGENZA CYNTHIA"/>
    <x v="1"/>
    <s v="20994"/>
    <s v="MASCLET ANNIE LAURE"/>
    <n v="100"/>
    <s v="10161434"/>
    <s v="Formation"/>
    <x v="1"/>
    <s v="Réabonnement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8/03/2018"/>
  </r>
  <r>
    <x v="9"/>
    <n v="3"/>
    <x v="2"/>
    <s v="06/03/2018"/>
    <s v="GLM Grille FO"/>
    <s v="LUNEAU JULIEN"/>
    <x v="17"/>
    <s v="21893"/>
    <s v="MASCLET ANNIE LAURE"/>
    <n v="100"/>
    <s v="0001936877"/>
    <s v="Formation"/>
    <x v="0"/>
    <s v="Réponse ANO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8/03/2018"/>
  </r>
  <r>
    <x v="9"/>
    <n v="3"/>
    <x v="2"/>
    <s v="06/03/2018"/>
    <s v="GLM Grille FO"/>
    <s v="LUNEAU JULIEN"/>
    <x v="12"/>
    <s v="5858"/>
    <s v="LUNEAU JULIEN"/>
    <n v="96.25"/>
    <s v="308160"/>
    <s v="Comité externe"/>
    <x v="0"/>
    <s v="Non réception"/>
    <s v="Distance"/>
    <n v="1"/>
    <n v="0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06/03/2018"/>
  </r>
  <r>
    <x v="9"/>
    <n v="3"/>
    <x v="2"/>
    <s v="06/03/2018"/>
    <s v="GLM Grille FO"/>
    <s v="LUNEAU JULIEN"/>
    <x v="3"/>
    <s v="25084"/>
    <s v="MASCLET ANNIE LAURE"/>
    <n v="100"/>
    <s v="5004384302"/>
    <s v="Comité externe"/>
    <x v="2"/>
    <s v="Impayé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06/03/2018"/>
  </r>
  <r>
    <x v="9"/>
    <n v="3"/>
    <x v="2"/>
    <s v="07/03/2018"/>
    <s v="GLM Grille FO"/>
    <s v="Bisiaux Corinne"/>
    <x v="5"/>
    <s v="23704"/>
    <s v="MASCLET ANNIE LAURE"/>
    <n v="92.25"/>
    <s v="0010435846"/>
    <s v="Formation"/>
    <x v="3"/>
    <s v="Résiliation"/>
    <s v="Distance"/>
    <n v="1"/>
    <n v="0"/>
    <n v="1"/>
    <n v="0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15/03/2018"/>
  </r>
  <r>
    <x v="9"/>
    <n v="3"/>
    <x v="2"/>
    <s v="07/03/2018"/>
    <s v="GLM Grille FO"/>
    <s v="Bisiaux Corinne"/>
    <x v="6"/>
    <s v="25085"/>
    <s v="MASCLET ANNIE LAURE"/>
    <n v="88.75"/>
    <s v="0002155696"/>
    <s v="Formation"/>
    <x v="0"/>
    <s v="Demande de facture à payer ou administrative"/>
    <s v="Distance"/>
    <n v="1"/>
    <n v="0"/>
    <n v="1"/>
    <n v="1"/>
    <n v="1"/>
    <n v="1"/>
    <n v="1"/>
    <n v="0"/>
    <n v="1"/>
    <n v="1"/>
    <n v="1"/>
    <n v="1"/>
    <n v="1"/>
    <n v="1"/>
    <s v=" "/>
    <n v="0"/>
    <n v="1"/>
    <n v="1"/>
    <n v="1"/>
    <n v="1"/>
    <s v=" "/>
    <n v="1"/>
    <n v="1"/>
    <n v="1"/>
    <s v=" "/>
    <n v="1"/>
    <n v="1"/>
    <n v="1"/>
    <s v=" "/>
    <n v="1"/>
    <s v="16/03/2018"/>
  </r>
  <r>
    <x v="9"/>
    <n v="3"/>
    <x v="2"/>
    <s v="07/03/2018"/>
    <s v="GLM Grille FO"/>
    <s v="Bisiaux Corinne"/>
    <x v="6"/>
    <s v="25085"/>
    <s v="MASCLET ANNIE LAURE"/>
    <n v="89.5"/>
    <s v="10210928"/>
    <s v="Formation"/>
    <x v="0"/>
    <s v=" Demande de facture à payer ou administrative"/>
    <s v="Distance"/>
    <n v="1"/>
    <n v="0"/>
    <n v="1"/>
    <n v="1"/>
    <n v="1"/>
    <n v="0"/>
    <n v="1"/>
    <n v="1"/>
    <n v="1"/>
    <n v="1"/>
    <n v="1"/>
    <n v="1"/>
    <n v="1"/>
    <n v="1"/>
    <s v=" "/>
    <n v="0"/>
    <n v="1"/>
    <n v="1"/>
    <n v="1"/>
    <n v="1"/>
    <s v=" "/>
    <n v="1"/>
    <n v="1"/>
    <n v="1"/>
    <s v=" "/>
    <n v="1"/>
    <s v=" "/>
    <n v="1"/>
    <s v=" "/>
    <n v="1"/>
    <s v="16/03/2018"/>
  </r>
  <r>
    <x v="10"/>
    <n v="3"/>
    <x v="2"/>
    <s v="12/03/2018"/>
    <s v="GLM Grille FO"/>
    <s v="LIGENZA CYNTHIA"/>
    <x v="16"/>
    <s v="23702"/>
    <s v="MASCLET ANNIE LAURE"/>
    <n v="94.25"/>
    <s v="0011346692"/>
    <s v="Formation"/>
    <x v="0"/>
    <s v="Refus de portage"/>
    <s v="Distance"/>
    <n v="1"/>
    <n v="0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0"/>
    <s v=" "/>
    <n v="1"/>
    <s v="15/03/2018"/>
  </r>
  <r>
    <x v="10"/>
    <n v="3"/>
    <x v="2"/>
    <s v="12/03/2018"/>
    <s v="GLM Grille FO"/>
    <s v="LIGENZA CYNTHIA"/>
    <x v="16"/>
    <s v="23702"/>
    <s v="MASCLET ANNIE LAURE"/>
    <n v="96.25"/>
    <s v="0011274383"/>
    <s v="Formation"/>
    <x v="0"/>
    <m/>
    <s v="Distance"/>
    <n v="1"/>
    <n v="0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5/03/2018"/>
  </r>
  <r>
    <x v="10"/>
    <n v="3"/>
    <x v="2"/>
    <s v="12/03/2018"/>
    <s v="GLM Grille FO"/>
    <s v="LUNEAU JULIEN"/>
    <x v="3"/>
    <s v="25084"/>
    <s v="MASCLET ANNIE LAURE"/>
    <n v="100"/>
    <s v="0000550728"/>
    <s v="Formation"/>
    <x v="0"/>
    <s v="Rétention OK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n v="1"/>
    <n v="1"/>
    <s v="15/03/2018"/>
  </r>
  <r>
    <x v="10"/>
    <n v="3"/>
    <x v="2"/>
    <s v="13/03/2018"/>
    <s v="GLM Grille FO"/>
    <s v="Bisiaux Corinne"/>
    <x v="10"/>
    <s v="25543"/>
    <s v="MASCLET ANNIE LAURE"/>
    <n v="85.416666666666671"/>
    <s v="5002564079"/>
    <s v="Formation"/>
    <x v="0"/>
    <s v=" Rejet de prélèvement CB"/>
    <s v="Distance"/>
    <n v="1"/>
    <n v="0"/>
    <n v="1"/>
    <n v="1"/>
    <n v="1"/>
    <n v="0"/>
    <n v="1"/>
    <n v="1"/>
    <n v="1"/>
    <n v="1"/>
    <n v="1"/>
    <n v="1"/>
    <n v="1"/>
    <n v="1"/>
    <s v=" "/>
    <n v="1"/>
    <n v="1"/>
    <n v="1"/>
    <n v="1"/>
    <n v="1"/>
    <n v="0"/>
    <n v="0"/>
    <n v="1"/>
    <n v="1"/>
    <s v=" "/>
    <n v="1"/>
    <n v="1"/>
    <n v="1"/>
    <s v=" "/>
    <n v="1"/>
    <s v="26/03/2018"/>
  </r>
  <r>
    <x v="10"/>
    <n v="3"/>
    <x v="2"/>
    <s v="13/03/2018"/>
    <s v="GLM Grille FO"/>
    <s v="LUNEAU JULIEN"/>
    <x v="8"/>
    <s v="23707"/>
    <s v="MASCLET ANNIE LAURE"/>
    <n v="100"/>
    <s v="0010210329"/>
    <s v="Formation"/>
    <x v="0"/>
    <s v="Demande identifiant et mot de pass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4/03/2018"/>
  </r>
  <r>
    <x v="10"/>
    <n v="3"/>
    <x v="2"/>
    <s v="13/03/2018"/>
    <s v="GLM Grille FO"/>
    <s v="LUNEAU JULIEN"/>
    <x v="8"/>
    <s v="23707"/>
    <s v="LUNEAU JULIEN"/>
    <n v="100"/>
    <s v="0010210329"/>
    <s v="Supervision"/>
    <x v="2"/>
    <s v="maj adresse mail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7/03/2018"/>
  </r>
  <r>
    <x v="10"/>
    <n v="3"/>
    <x v="2"/>
    <s v="13/03/2018"/>
    <s v="GLM Grille FO"/>
    <s v="LUNEAU JULIEN"/>
    <x v="14"/>
    <s v="23902"/>
    <s v="LUNEAU JULIEN"/>
    <n v="100"/>
    <s v="0010525152"/>
    <s v="Supervision"/>
    <x v="0"/>
    <s v="non recept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8/03/2018"/>
  </r>
  <r>
    <x v="10"/>
    <n v="3"/>
    <x v="2"/>
    <s v="14/03/2018"/>
    <s v="GLM Grille FO"/>
    <s v="Bisiaux Corinne"/>
    <x v="10"/>
    <s v="25543"/>
    <s v="MASCLET ANNIE LAURE"/>
    <n v="89.25"/>
    <s v="0000212521"/>
    <s v="Formation"/>
    <x v="0"/>
    <s v="CHAD temporaire"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0"/>
    <n v="0"/>
    <n v="1"/>
    <s v=" "/>
    <n v="1"/>
    <n v="1"/>
    <n v="0"/>
    <s v=" "/>
    <n v="1"/>
    <s v="26/03/2018"/>
  </r>
  <r>
    <x v="10"/>
    <n v="3"/>
    <x v="2"/>
    <s v="14/03/2018"/>
    <s v="GLM Grille FO"/>
    <s v="Bisiaux Corinne"/>
    <x v="5"/>
    <s v="23704"/>
    <s v="MASCLET ANNIE LAURE"/>
    <n v="92.2"/>
    <s v="0001159661"/>
    <s v="Formation"/>
    <x v="1"/>
    <s v="Changement de formules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0"/>
    <n v="1"/>
    <n v="0"/>
    <s v=" "/>
    <n v="1"/>
    <s v="15/03/2018"/>
  </r>
  <r>
    <x v="10"/>
    <n v="3"/>
    <x v="2"/>
    <s v="14/03/2018"/>
    <s v="GLM Grille FO"/>
    <s v="LIGENZA CYNTHIA"/>
    <x v="11"/>
    <s v="25090"/>
    <s v="MASCLET ANNIE LAURE"/>
    <n v="100"/>
    <s v="5002712203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5/03/2018"/>
  </r>
  <r>
    <x v="10"/>
    <n v="3"/>
    <x v="2"/>
    <s v="14/03/2018"/>
    <s v="GLM Grille FO"/>
    <s v="LUNEAU JULIEN"/>
    <x v="9"/>
    <s v="25545"/>
    <s v="MASCLET ANNIE LAURE"/>
    <n v="98"/>
    <s v="0011368162"/>
    <s v="Formation"/>
    <x v="0"/>
    <s v="Non réception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1"/>
    <s v=" "/>
    <n v="1"/>
    <s v="16/03/2018"/>
  </r>
  <r>
    <x v="10"/>
    <n v="3"/>
    <x v="2"/>
    <s v="14/03/2018"/>
    <s v="GLM Grille FO"/>
    <s v="LUNEAU JULIEN"/>
    <x v="9"/>
    <s v="25545"/>
    <s v="MASCLET ANNIE LAURE"/>
    <n v="100"/>
    <s v="0011373169"/>
    <s v="Formation"/>
    <x v="0"/>
    <s v=" Souscription d'abonnement payant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16/03/2018"/>
  </r>
  <r>
    <x v="10"/>
    <n v="3"/>
    <x v="2"/>
    <s v="15/03/2018"/>
    <s v="GLM Grille FO"/>
    <s v="Bisiaux Corinne"/>
    <x v="10"/>
    <s v="25543"/>
    <s v="Bisiaux Corinne"/>
    <n v="90.166666666666671"/>
    <s v="1310191"/>
    <s v="Supervision"/>
    <x v="0"/>
    <s v="NON RECEPTION "/>
    <s v="Distance"/>
    <n v="1"/>
    <n v="1"/>
    <n v="1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0"/>
    <n v="1"/>
    <n v="1"/>
    <n v="1"/>
    <n v="1"/>
    <n v="1"/>
    <n v="0"/>
    <s v=" "/>
    <n v="1"/>
    <s v="26/03/2018"/>
  </r>
  <r>
    <x v="10"/>
    <n v="3"/>
    <x v="2"/>
    <s v="15/03/2018"/>
    <s v="GLM Grille FO"/>
    <s v="Bisiaux Corinne"/>
    <x v="0"/>
    <s v="23703"/>
    <s v="MASCLET ANNIE LAURE"/>
    <n v="100"/>
    <s v="10680717"/>
    <s v="Supervision"/>
    <x v="1"/>
    <s v="RESILIAT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n v="1"/>
    <n v="1"/>
    <s v=" "/>
    <n v="1"/>
    <s v="20/03/2018"/>
  </r>
  <r>
    <x v="10"/>
    <n v="3"/>
    <x v="2"/>
    <s v="15/03/2018"/>
    <s v="GLM Grille FO"/>
    <s v="Bisiaux Corinne"/>
    <x v="4"/>
    <s v="21330"/>
    <s v="Bisiaux Corinne"/>
    <n v="90"/>
    <s v="0011358019"/>
    <s v="Supervision"/>
    <x v="0"/>
    <s v="NON RECEPTION "/>
    <s v="Distance"/>
    <n v="1"/>
    <n v="1"/>
    <n v="1"/>
    <n v="1"/>
    <n v="1"/>
    <n v="1"/>
    <n v="1"/>
    <n v="1"/>
    <n v="0"/>
    <n v="1"/>
    <n v="1"/>
    <n v="1"/>
    <n v="1"/>
    <n v="1"/>
    <s v=" "/>
    <n v="1"/>
    <n v="1"/>
    <n v="1"/>
    <n v="1"/>
    <n v="1"/>
    <n v="1"/>
    <n v="0"/>
    <n v="1"/>
    <n v="1"/>
    <n v="1"/>
    <n v="1"/>
    <n v="1"/>
    <n v="0"/>
    <s v=" "/>
    <n v="1"/>
    <s v="20/03/2018"/>
  </r>
  <r>
    <x v="10"/>
    <n v="3"/>
    <x v="2"/>
    <s v="15/03/2018"/>
    <s v="GLM Grille FO"/>
    <s v="Bisiaux Corinne"/>
    <x v="5"/>
    <s v="23704"/>
    <s v="Bisiaux Corinne"/>
    <n v="96"/>
    <s v="1576161"/>
    <s v="Supervision"/>
    <x v="1"/>
    <s v="REABONNEMENT 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0"/>
    <n v="1"/>
    <n v="1"/>
    <n v="1"/>
    <n v="1"/>
    <n v="1"/>
    <n v="0"/>
    <s v=" "/>
    <n v="1"/>
    <s v="27/03/2018"/>
  </r>
  <r>
    <x v="10"/>
    <n v="3"/>
    <x v="2"/>
    <s v="15/03/2018"/>
    <s v="GLM Grille FO"/>
    <s v="Bisiaux Corinne"/>
    <x v="6"/>
    <s v="25085"/>
    <s v="Bisiaux Corinne"/>
    <n v="96"/>
    <s v="0000551285"/>
    <s v="Supervision"/>
    <x v="0"/>
    <m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0"/>
    <n v="1"/>
    <n v="1"/>
    <n v="1"/>
    <n v="1"/>
    <n v="1"/>
    <n v="0"/>
    <s v=" "/>
    <n v="1"/>
    <s v="27/03/2018"/>
  </r>
  <r>
    <x v="10"/>
    <n v="3"/>
    <x v="2"/>
    <s v="15/03/2018"/>
    <s v="GLM Grille FO"/>
    <s v="LUNEAU JULIEN"/>
    <x v="9"/>
    <s v="25545"/>
    <s v="LUNEAU JULIEN"/>
    <n v="100"/>
    <s v="Armande pierette "/>
    <s v="Supervision"/>
    <x v="0"/>
    <s v="suspens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7/03/2018"/>
  </r>
  <r>
    <x v="10"/>
    <n v="3"/>
    <x v="2"/>
    <s v="15/03/2018"/>
    <s v="GLM Grille FO"/>
    <s v="LUNEAU JULIEN"/>
    <x v="15"/>
    <s v="25546"/>
    <s v="MASCLET ANNIE LAURE"/>
    <n v="97"/>
    <s v="5003548380"/>
    <s v="Supervision"/>
    <x v="0"/>
    <s v="non reception via la poste "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5/03/2018"/>
  </r>
  <r>
    <x v="10"/>
    <n v="3"/>
    <x v="2"/>
    <s v="15/03/2018"/>
    <s v="GLM Grille FO"/>
    <s v="LUNEAU JULIEN"/>
    <x v="15"/>
    <s v="25546"/>
    <s v="MASCLET ANNIE LAURE"/>
    <n v="97"/>
    <s v="5003548380"/>
    <s v="Supervision"/>
    <x v="0"/>
    <s v="non reception via la poste "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15/03/2018"/>
  </r>
  <r>
    <x v="10"/>
    <n v="3"/>
    <x v="2"/>
    <s v="16/03/2018"/>
    <s v="GLM Grille FO"/>
    <s v="LUNEAU JULIEN"/>
    <x v="2"/>
    <s v="25086"/>
    <s v="MASCLET ANNIE LAURE"/>
    <n v="77.86666666666666"/>
    <s v="0002837741"/>
    <s v="Formation"/>
    <x v="0"/>
    <s v="Non réception"/>
    <s v="Distance"/>
    <n v="1"/>
    <n v="0"/>
    <n v="1"/>
    <n v="1"/>
    <n v="1"/>
    <n v="0"/>
    <n v="1"/>
    <n v="1"/>
    <n v="1"/>
    <n v="1"/>
    <n v="1"/>
    <n v="1"/>
    <n v="1"/>
    <n v="1"/>
    <s v=" "/>
    <n v="1"/>
    <n v="1"/>
    <n v="1"/>
    <n v="0"/>
    <n v="1"/>
    <n v="1"/>
    <n v="0"/>
    <n v="0"/>
    <n v="1"/>
    <s v=" "/>
    <n v="1"/>
    <n v="1"/>
    <n v="1"/>
    <s v=" "/>
    <n v="0"/>
    <s v="29/03/2018"/>
  </r>
  <r>
    <x v="10"/>
    <n v="3"/>
    <x v="2"/>
    <s v="16/03/2018"/>
    <s v="GLM Grille FO"/>
    <s v="LUNEAU JULIEN"/>
    <x v="2"/>
    <s v="25086"/>
    <s v="MASCLET ANNIE LAURE"/>
    <n v="93.25"/>
    <s v="0000212779"/>
    <s v="Formation"/>
    <x v="0"/>
    <m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1"/>
    <n v="1"/>
    <s v=" "/>
    <n v="1"/>
    <s v="29/03/2018"/>
  </r>
  <r>
    <x v="11"/>
    <n v="3"/>
    <x v="2"/>
    <s v="19/03/2018"/>
    <s v="GLM Grille FO"/>
    <s v="Bisiaux Corinne"/>
    <x v="0"/>
    <s v="23703"/>
    <s v="Bisiaux Corinne"/>
    <n v="94.166666666666671"/>
    <s v="211548"/>
    <s v="Supervision"/>
    <x v="3"/>
    <s v="ECHEANCE ABONNEMENT"/>
    <s v="Distance"/>
    <n v="1"/>
    <s v=" "/>
    <n v="1"/>
    <n v="1"/>
    <n v="0"/>
    <n v="1"/>
    <n v="1"/>
    <n v="1"/>
    <n v="1"/>
    <n v="1"/>
    <n v="1"/>
    <n v="1"/>
    <n v="1"/>
    <n v="1"/>
    <s v=" "/>
    <n v="1"/>
    <n v="1"/>
    <n v="1"/>
    <n v="1"/>
    <n v="1"/>
    <n v="1"/>
    <n v="1"/>
    <n v="1"/>
    <n v="1"/>
    <s v=" "/>
    <n v="1"/>
    <n v="1"/>
    <n v="1"/>
    <s v=" "/>
    <n v="1"/>
    <s v="20/03/2018"/>
  </r>
  <r>
    <x v="11"/>
    <n v="3"/>
    <x v="2"/>
    <s v="19/03/2018"/>
    <s v="GLM Grille FO"/>
    <s v="Bisiaux Corinne"/>
    <x v="0"/>
    <s v="23703"/>
    <s v="LUNEAU JULIEN"/>
    <n v="96.25"/>
    <s v="10573219"/>
    <s v="Comité externe"/>
    <x v="3"/>
    <s v="Résilia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20/03/2018"/>
  </r>
  <r>
    <x v="11"/>
    <n v="3"/>
    <x v="2"/>
    <s v="19/03/2018"/>
    <s v="GLM Grille FO"/>
    <s v="Bisiaux Corinne"/>
    <x v="0"/>
    <s v="23703"/>
    <s v="MASCLET ANNIE LAURE"/>
    <n v="100"/>
    <s v="11372573"/>
    <s v="Comité externe"/>
    <x v="1"/>
    <s v="Problème ou oubli de login/password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0/03/2018"/>
  </r>
  <r>
    <x v="11"/>
    <n v="3"/>
    <x v="2"/>
    <s v="19/03/2018"/>
    <s v="GLM Grille FO"/>
    <s v="Bisiaux Corinne"/>
    <x v="0"/>
    <s v="23703"/>
    <s v="LUNEAU JULIEN"/>
    <n v="100"/>
    <s v="970009"/>
    <s v="Comité externe"/>
    <x v="3"/>
    <s v="Résiliation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s v=" "/>
    <s v=" "/>
    <s v=" "/>
    <n v="1"/>
    <n v="1"/>
    <s v=" "/>
    <n v="1"/>
    <n v="1"/>
    <s v=" "/>
    <s v=" "/>
    <n v="1"/>
    <s v="20/03/2018"/>
  </r>
  <r>
    <x v="11"/>
    <n v="3"/>
    <x v="2"/>
    <s v="19/03/2018"/>
    <s v="GLM Grille FO"/>
    <s v="Bisiaux Corinne"/>
    <x v="4"/>
    <s v="21330"/>
    <s v="MASCLET ANNIE LAURE"/>
    <n v="93"/>
    <s v="547098"/>
    <s v="Comité externe"/>
    <x v="3"/>
    <s v="Souscription de réabonnement payant"/>
    <s v="Distance"/>
    <n v="1"/>
    <n v="1"/>
    <n v="1"/>
    <n v="1"/>
    <n v="1"/>
    <n v="0"/>
    <n v="1"/>
    <n v="1"/>
    <n v="1"/>
    <n v="1"/>
    <n v="1"/>
    <n v="1"/>
    <n v="1"/>
    <n v="1"/>
    <n v="1"/>
    <n v="1"/>
    <n v="1"/>
    <n v="1"/>
    <n v="1"/>
    <n v="1"/>
    <s v=" "/>
    <n v="0"/>
    <n v="1"/>
    <n v="1"/>
    <s v=" "/>
    <n v="1"/>
    <n v="1"/>
    <n v="0"/>
    <s v=" "/>
    <n v="1"/>
    <s v="20/03/2018"/>
  </r>
  <r>
    <x v="11"/>
    <n v="3"/>
    <x v="2"/>
    <s v="19/03/2018"/>
    <s v="GLM Grille FO"/>
    <s v="Bisiaux Corinne"/>
    <x v="5"/>
    <s v="23704"/>
    <s v="MASCLET ANNIE LAURE"/>
    <n v="95"/>
    <s v="10490048"/>
    <s v="Comité externe"/>
    <x v="3"/>
    <s v=" Difficulté de connexion"/>
    <s v="Distance"/>
    <n v="1"/>
    <s v=" 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1"/>
    <s v=" "/>
    <n v="1"/>
    <s v="28/03/2018"/>
  </r>
  <r>
    <x v="11"/>
    <n v="3"/>
    <x v="2"/>
    <s v="19/03/2018"/>
    <s v="GLM Grille FO"/>
    <s v="Bisiaux Corinne"/>
    <x v="5"/>
    <s v="23704"/>
    <s v="MASCLET ANNIE LAURE"/>
    <n v="96.25"/>
    <s v="10673269"/>
    <s v="Comité externe"/>
    <x v="1"/>
    <s v="Réception en double exemplaire"/>
    <s v="Distance"/>
    <n v="1"/>
    <n v="1"/>
    <n v="1"/>
    <n v="1"/>
    <n v="1"/>
    <n v="1"/>
    <n v="1"/>
    <n v="1"/>
    <n v="1"/>
    <n v="1"/>
    <n v="1"/>
    <n v="1"/>
    <n v="1"/>
    <n v="1"/>
    <s v=" "/>
    <n v="0"/>
    <n v="1"/>
    <n v="1"/>
    <n v="1"/>
    <n v="1"/>
    <s v=" "/>
    <n v="1"/>
    <n v="1"/>
    <n v="1"/>
    <s v=" "/>
    <n v="1"/>
    <n v="1"/>
    <n v="1"/>
    <s v=" "/>
    <n v="1"/>
    <s v="28/03/2018"/>
  </r>
  <r>
    <x v="11"/>
    <n v="3"/>
    <x v="2"/>
    <s v="19/03/2018"/>
    <s v="GLM Grille FO"/>
    <s v="Bisiaux Corinne"/>
    <x v="5"/>
    <s v="23704"/>
    <s v="MASCLET ANNIE LAURE"/>
    <n v="96.25"/>
    <s v="11307514"/>
    <s v="Comité externe"/>
    <x v="1"/>
    <s v="Suspension temporair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28/03/2018"/>
  </r>
  <r>
    <x v="11"/>
    <n v="3"/>
    <x v="2"/>
    <s v="19/03/2018"/>
    <s v="GLM Grille FO"/>
    <s v="Bisiaux Corinne"/>
    <x v="5"/>
    <s v="23704"/>
    <s v="Bisiaux Corinne"/>
    <n v="100"/>
    <s v="0011361641"/>
    <s v="Supervision"/>
    <x v="1"/>
    <s v="connexion 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s v=" "/>
    <n v="1"/>
    <n v="1"/>
    <n v="1"/>
    <n v="1"/>
    <s v=" "/>
    <n v="1"/>
    <n v="1"/>
    <n v="1"/>
    <s v=" "/>
    <n v="1"/>
    <s v="27/03/2018"/>
  </r>
  <r>
    <x v="11"/>
    <n v="3"/>
    <x v="2"/>
    <s v="19/03/2018"/>
    <s v="GLM Grille FO"/>
    <s v="LIGENZA CYNTHIA"/>
    <x v="7"/>
    <s v="19896"/>
    <s v="LUNEAU JULIEN"/>
    <n v="90.416666666666671"/>
    <s v="10512501"/>
    <s v="Comité externe"/>
    <x v="1"/>
    <s v="résilia"/>
    <s v="Distance"/>
    <n v="1"/>
    <s v=" "/>
    <n v="1"/>
    <n v="1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0"/>
    <n v="1"/>
    <n v="1"/>
    <n v="1"/>
    <n v="1"/>
    <n v="1"/>
    <s v=" "/>
    <n v="1"/>
    <s v="20/03/2018"/>
  </r>
  <r>
    <x v="11"/>
    <n v="3"/>
    <x v="2"/>
    <s v="19/03/2018"/>
    <s v="GLM Grille FO"/>
    <s v="LIGENZA CYNTHIA"/>
    <x v="1"/>
    <s v="20994"/>
    <s v="MASCLET ANNIE LAURE"/>
    <n v="96"/>
    <s v="10450588"/>
    <s v="Comité externe"/>
    <x v="3"/>
    <s v="Changement de destinatair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0"/>
    <s v=" "/>
    <n v="1"/>
    <s v="28/03/2018"/>
  </r>
  <r>
    <x v="11"/>
    <n v="3"/>
    <x v="2"/>
    <s v="19/03/2018"/>
    <s v="GLM Grille FO"/>
    <s v="LIGENZA CYNTHIA"/>
    <x v="1"/>
    <s v="20994"/>
    <s v="MASCLET ANNIE LAURE"/>
    <n v="100"/>
    <s v="11043367"/>
    <s v="Comité externe"/>
    <x v="1"/>
    <s v="Résiliation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28/03/2018"/>
  </r>
  <r>
    <x v="11"/>
    <n v="3"/>
    <x v="2"/>
    <s v="19/03/2018"/>
    <s v="GLM Grille FO"/>
    <s v="LUNEAU JULIEN"/>
    <x v="17"/>
    <s v="21893"/>
    <s v="MASCLET ANNIE LAURE"/>
    <n v="100"/>
    <s v="2983096"/>
    <s v="Formation"/>
    <x v="0"/>
    <s v="Suspension temporair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8/03/2018"/>
  </r>
  <r>
    <x v="11"/>
    <n v="3"/>
    <x v="2"/>
    <s v="19/03/2018"/>
    <s v="GLM Grille FO"/>
    <s v="LUNEAU JULIEN"/>
    <x v="2"/>
    <s v="25086"/>
    <s v="LUNEAU JULIEN"/>
    <n v="97"/>
    <s v="5002226973"/>
    <s v="Supervision"/>
    <x v="0"/>
    <m/>
    <s v="Distance"/>
    <n v="1"/>
    <n v="1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9/03/2018"/>
  </r>
  <r>
    <x v="11"/>
    <n v="3"/>
    <x v="2"/>
    <s v="19/03/2018"/>
    <s v="GLM Grille FO"/>
    <s v="LUNEAU JULIEN"/>
    <x v="14"/>
    <s v="23902"/>
    <s v="MASCLET ANNIE LAURE"/>
    <n v="93"/>
    <s v="10613386"/>
    <s v="Comité externe"/>
    <x v="1"/>
    <s v="Réabonnement"/>
    <s v="Distance"/>
    <n v="1"/>
    <s v=" "/>
    <n v="1"/>
    <n v="1"/>
    <n v="1"/>
    <n v="1"/>
    <n v="1"/>
    <n v="1"/>
    <n v="1"/>
    <n v="1"/>
    <n v="1"/>
    <n v="1"/>
    <n v="1"/>
    <n v="1"/>
    <s v=" "/>
    <n v="0"/>
    <n v="1"/>
    <n v="1"/>
    <n v="1"/>
    <n v="1"/>
    <s v=" "/>
    <n v="1"/>
    <n v="1"/>
    <n v="1"/>
    <s v=" "/>
    <n v="1"/>
    <n v="1"/>
    <n v="0"/>
    <s v=" "/>
    <n v="1"/>
    <s v="20/03/2018"/>
  </r>
  <r>
    <x v="11"/>
    <n v="3"/>
    <x v="2"/>
    <s v="19/03/2018"/>
    <s v="GLM Grille FO"/>
    <s v="LUNEAU JULIEN"/>
    <x v="14"/>
    <s v="23902"/>
    <s v="MASCLET ANNIE LAURE"/>
    <n v="96.25"/>
    <s v="1147755"/>
    <s v="Comité externe"/>
    <x v="1"/>
    <s v="CHAD temporaire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0"/>
    <n v="1"/>
    <s v=" "/>
    <n v="1"/>
    <n v="1"/>
    <n v="1"/>
    <s v=" "/>
    <n v="1"/>
    <s v="20/03/2018"/>
  </r>
  <r>
    <x v="11"/>
    <n v="3"/>
    <x v="2"/>
    <s v="19/03/2018"/>
    <s v="GLM Grille FO"/>
    <s v="LUNEAU JULIEN"/>
    <x v="3"/>
    <s v="25084"/>
    <s v="LUNEAU JULIEN"/>
    <n v="100"/>
    <s v="233000"/>
    <s v="Supervision"/>
    <x v="0"/>
    <s v="suspens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7/03/2018"/>
  </r>
  <r>
    <x v="11"/>
    <n v="3"/>
    <x v="2"/>
    <s v="20/03/2018"/>
    <s v="GLM Grille FO"/>
    <s v="Bisiaux Corinne"/>
    <x v="4"/>
    <s v="21330"/>
    <s v="MASCLET ANNIE LAURE"/>
    <n v="86"/>
    <s v="10382221"/>
    <s v="Comité externe"/>
    <x v="1"/>
    <s v="Résiliation"/>
    <s v="Distance"/>
    <n v="1"/>
    <n v="1"/>
    <n v="1"/>
    <n v="1"/>
    <n v="1"/>
    <n v="0"/>
    <n v="1"/>
    <n v="1"/>
    <n v="1"/>
    <n v="1"/>
    <n v="1"/>
    <n v="0"/>
    <n v="1"/>
    <n v="1"/>
    <s v=" "/>
    <n v="1"/>
    <n v="1"/>
    <n v="1"/>
    <n v="1"/>
    <n v="1"/>
    <s v=" "/>
    <n v="0"/>
    <n v="1"/>
    <n v="1"/>
    <s v=" "/>
    <n v="1"/>
    <n v="1"/>
    <n v="0"/>
    <s v=" "/>
    <n v="1"/>
    <s v="20/03/2018"/>
  </r>
  <r>
    <x v="11"/>
    <n v="3"/>
    <x v="2"/>
    <s v="20/03/2018"/>
    <s v="GLM Grille FO"/>
    <s v="Bisiaux Corinne"/>
    <x v="4"/>
    <s v="21330"/>
    <s v="MASCLET ANNIE LAURE"/>
    <n v="87"/>
    <s v="2156079"/>
    <s v="Comité externe"/>
    <x v="1"/>
    <s v="Demande de Facture"/>
    <s v="Distance"/>
    <n v="1"/>
    <s v=" "/>
    <n v="1"/>
    <n v="0"/>
    <n v="1"/>
    <n v="0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0"/>
    <s v=" "/>
    <n v="1"/>
    <s v="20/03/2018"/>
  </r>
  <r>
    <x v="11"/>
    <n v="3"/>
    <x v="2"/>
    <s v="20/03/2018"/>
    <s v="GLM Grille FO"/>
    <s v="LIGENZA CYNTHIA"/>
    <x v="16"/>
    <s v="23702"/>
    <s v="MASCLET ANNIE LAURE"/>
    <n v="100"/>
    <s v="0002224536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7/03/2018"/>
  </r>
  <r>
    <x v="11"/>
    <n v="3"/>
    <x v="2"/>
    <s v="20/03/2018"/>
    <s v="GLM Grille FO"/>
    <s v="LIGENZA CYNTHIA"/>
    <x v="1"/>
    <s v="20994"/>
    <s v="MASCLET ANNIE LAURE"/>
    <n v="96.2"/>
    <s v="10401566"/>
    <s v="Comité externe"/>
    <x v="1"/>
    <s v="Demande la date de fin d'abonnement"/>
    <s v="Distance"/>
    <n v="0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8/03/2018"/>
  </r>
  <r>
    <x v="11"/>
    <n v="3"/>
    <x v="2"/>
    <s v="20/03/2018"/>
    <s v="GLM Grille FO"/>
    <s v="LUNEAU JULIEN"/>
    <x v="12"/>
    <s v="5858"/>
    <s v="LUNEAU JULIEN"/>
    <n v="92.25"/>
    <s v="1945657"/>
    <s v="Supervision"/>
    <x v="0"/>
    <s v="suspension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0"/>
    <n v="0"/>
    <n v="1"/>
    <s v=" "/>
    <n v="1"/>
    <n v="1"/>
    <n v="0"/>
    <s v=" "/>
    <n v="1"/>
    <s v="29/03/2018"/>
  </r>
  <r>
    <x v="11"/>
    <n v="3"/>
    <x v="2"/>
    <s v="20/03/2018"/>
    <s v="GLM Grille FO"/>
    <s v="LUNEAU JULIEN"/>
    <x v="12"/>
    <s v="5858"/>
    <s v="MASCLET ANNIE LAURE"/>
    <n v="93"/>
    <s v="10815636"/>
    <s v="Formation"/>
    <x v="0"/>
    <s v="Confirmation enregistrement règlement"/>
    <s v="Distance"/>
    <n v="1"/>
    <s v=" "/>
    <n v="1"/>
    <n v="1"/>
    <n v="0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29/03/2018"/>
  </r>
  <r>
    <x v="11"/>
    <n v="3"/>
    <x v="2"/>
    <s v="21/03/2018"/>
    <s v="GLM Grille FO"/>
    <s v="Bisiaux Corinne"/>
    <x v="6"/>
    <s v="25085"/>
    <s v="MASCLET ANNIE LAURE"/>
    <n v="89.25"/>
    <s v="0011217771"/>
    <s v="Formation"/>
    <x v="2"/>
    <s v="Impayé"/>
    <s v="Distance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0"/>
    <s v="26/03/2018"/>
  </r>
  <r>
    <x v="11"/>
    <n v="3"/>
    <x v="2"/>
    <s v="21/03/2018"/>
    <s v="GLM Grille FO"/>
    <s v="LIGENZA CYNTHIA"/>
    <x v="13"/>
    <s v="25088"/>
    <s v="MASCLET ANNIE LAURE"/>
    <n v="86.25"/>
    <s v="0011247763"/>
    <s v="Formation"/>
    <x v="0"/>
    <s v="Non réception"/>
    <s v="Distance"/>
    <n v="1"/>
    <n v="0"/>
    <n v="1"/>
    <n v="1"/>
    <n v="1"/>
    <n v="0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0"/>
    <s v="27/03/2018"/>
  </r>
  <r>
    <x v="11"/>
    <n v="3"/>
    <x v="2"/>
    <s v="21/03/2018"/>
    <s v="GLM Grille FO"/>
    <s v="LIGENZA CYNTHIA"/>
    <x v="11"/>
    <s v="25090"/>
    <s v="MASCLET ANNIE LAURE"/>
    <n v="96.25"/>
    <s v="0010371743"/>
    <s v="Formation"/>
    <x v="0"/>
    <s v="Impayé"/>
    <s v="Distance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28/03/2018"/>
  </r>
  <r>
    <x v="11"/>
    <n v="3"/>
    <x v="2"/>
    <s v="21/03/2018"/>
    <s v="GLM Grille FO"/>
    <s v="LUNEAU JULIEN"/>
    <x v="8"/>
    <s v="23707"/>
    <s v="MASCLET ANNIE LAURE"/>
    <n v="96.25"/>
    <s v="0001327437"/>
    <s v="Formation"/>
    <x v="0"/>
    <s v="Non réception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0"/>
    <n v="1"/>
    <s v=" "/>
    <n v="1"/>
    <n v="1"/>
    <n v="1"/>
    <s v=" "/>
    <n v="1"/>
    <s v="27/03/2018"/>
  </r>
  <r>
    <x v="11"/>
    <n v="3"/>
    <x v="2"/>
    <s v="21/03/2018"/>
    <s v="GLM Grille FO"/>
    <s v="LUNEAU JULIEN"/>
    <x v="3"/>
    <s v="25084"/>
    <s v="MASCLET ANNIE LAURE"/>
    <n v="100"/>
    <s v="0004000160"/>
    <s v="Formation"/>
    <x v="0"/>
    <s v="Commande d'abonnement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7/03/2018"/>
  </r>
  <r>
    <x v="11"/>
    <n v="3"/>
    <x v="2"/>
    <s v="22/03/2018"/>
    <s v="GLM Grille FO"/>
    <s v="LUNEAU JULIEN"/>
    <x v="8"/>
    <s v="23707"/>
    <s v="SADOCKI JIMMY"/>
    <n v="100"/>
    <s v="0000528926"/>
    <s v="Formation"/>
    <x v="0"/>
    <s v="CHAD TEMPO"/>
    <s v="Distance"/>
    <n v="1"/>
    <s v=" 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s v="23/03/2018"/>
  </r>
  <r>
    <x v="11"/>
    <n v="3"/>
    <x v="2"/>
    <s v="22/03/2018"/>
    <s v="GLM Grille FO"/>
    <s v="LUNEAU JULIEN"/>
    <x v="3"/>
    <s v="25084"/>
    <s v="SADOCKI JIMMY"/>
    <n v="86.666666666666671"/>
    <s v="0000236406"/>
    <s v="Formation"/>
    <x v="0"/>
    <s v="RESILIATION"/>
    <s v="Distance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1"/>
    <n v="1"/>
    <n v="0"/>
    <n v="1"/>
    <n v="0"/>
    <n v="1"/>
    <s v=" "/>
    <n v="1"/>
    <n v="1"/>
    <n v="1"/>
    <s v=" "/>
    <n v="1"/>
    <s v="27/03/2018"/>
  </r>
  <r>
    <x v="11"/>
    <n v="3"/>
    <x v="2"/>
    <s v="23/03/2018"/>
    <s v="GLM Grille FO"/>
    <s v="LUNEAU JULIEN"/>
    <x v="17"/>
    <s v="21893"/>
    <s v="LUNEAU JULIEN"/>
    <n v="100"/>
    <s v="0010601808"/>
    <s v="Supervision"/>
    <x v="1"/>
    <s v="changement de formule 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28/03/2018"/>
  </r>
  <r>
    <x v="12"/>
    <n v="3"/>
    <x v="2"/>
    <s v="26/03/2018"/>
    <s v="GLM Grille FO"/>
    <s v="Bisiaux Corinne"/>
    <x v="0"/>
    <s v="23703"/>
    <s v="SADOCKI JIMMY"/>
    <n v="98"/>
    <s v="0010924845"/>
    <s v="Formation"/>
    <x v="3"/>
    <s v="IMPAYE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s v=" "/>
    <n v="1"/>
    <n v="1"/>
    <n v="1"/>
    <s v=" "/>
    <n v="1"/>
    <n v="1"/>
    <n v="1"/>
    <s v=" "/>
    <n v="1"/>
    <s v="29/03/2018"/>
  </r>
  <r>
    <x v="12"/>
    <n v="3"/>
    <x v="2"/>
    <s v="26/03/2018"/>
    <s v="GLM Grille FO"/>
    <s v="Bisiaux Corinne"/>
    <x v="5"/>
    <s v="23704"/>
    <s v="SADOCKI JIMMY"/>
    <n v="96"/>
    <s v="0010483407"/>
    <s v="Formation"/>
    <x v="3"/>
    <s v="RECEPTION EN DOUBL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0"/>
    <n v="1"/>
    <n v="1"/>
    <s v=" "/>
    <n v="1"/>
    <n v="1"/>
    <n v="0"/>
    <s v=" "/>
    <n v="1"/>
    <s v="29/03/2018"/>
  </r>
  <r>
    <x v="12"/>
    <n v="3"/>
    <x v="2"/>
    <s v="26/03/2018"/>
    <s v="GLM Grille FO"/>
    <s v="LIGENZA CYNTHIA"/>
    <x v="7"/>
    <s v="19896"/>
    <s v="SADOCKI JIMMY"/>
    <n v="92.5"/>
    <s v="0010728478"/>
    <s v="Formation"/>
    <x v="3"/>
    <s v="RETENTION"/>
    <s v="Distance"/>
    <n v="1"/>
    <n v="1"/>
    <n v="1"/>
    <n v="1"/>
    <n v="1"/>
    <n v="1"/>
    <n v="1"/>
    <n v="1"/>
    <n v="1"/>
    <n v="1"/>
    <n v="1"/>
    <n v="1"/>
    <n v="1"/>
    <n v="1"/>
    <n v="1"/>
    <n v="0"/>
    <n v="1"/>
    <n v="1"/>
    <n v="1"/>
    <n v="1"/>
    <s v=" "/>
    <s v=" "/>
    <n v="0"/>
    <n v="1"/>
    <s v=" "/>
    <n v="1"/>
    <n v="1"/>
    <n v="1"/>
    <s v=" "/>
    <n v="1"/>
    <s v="29/03/2018"/>
  </r>
  <r>
    <x v="12"/>
    <n v="3"/>
    <x v="2"/>
    <s v="26/03/2018"/>
    <s v="GLM Grille FO"/>
    <s v="LIGENZA CYNTHIA"/>
    <x v="1"/>
    <s v="20994"/>
    <s v="SADOCKI JIMMY"/>
    <n v="100"/>
    <s v="0010688368"/>
    <s v="Formation"/>
    <x v="3"/>
    <s v="CHAD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n v="1"/>
    <n v="1"/>
    <s v=" "/>
    <n v="1"/>
    <s v="29/03/2018"/>
  </r>
  <r>
    <x v="12"/>
    <n v="3"/>
    <x v="2"/>
    <s v="28/03/2018"/>
    <s v="GLM Grille FO"/>
    <s v="Bisiaux Corinne"/>
    <x v="5"/>
    <s v="23704"/>
    <s v="SADOCKI JIMMY"/>
    <n v="98"/>
    <s v="0000846344"/>
    <s v="Formation"/>
    <x v="3"/>
    <s v="DEMANDE ACCES NUMERIQUE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0"/>
    <n v="1"/>
    <n v="1"/>
    <s v=" "/>
    <n v="1"/>
    <n v="1"/>
    <n v="1"/>
    <s v=" "/>
    <n v="1"/>
    <s v="29/03/2018"/>
  </r>
  <r>
    <x v="12"/>
    <n v="3"/>
    <x v="2"/>
    <s v="28/03/2018"/>
    <s v="GLM Grille FO"/>
    <s v="LUNEAU JULIEN"/>
    <x v="14"/>
    <s v="23902"/>
    <s v="SADOCKI JIMMY"/>
    <n v="98"/>
    <s v="0010192455"/>
    <s v="Formation"/>
    <x v="3"/>
    <s v="CONFIRMATION ABO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s v=" "/>
    <n v="1"/>
    <n v="1"/>
    <n v="1"/>
    <s v=" "/>
    <n v="1"/>
    <n v="1"/>
    <n v="1"/>
    <s v=" "/>
    <n v="1"/>
    <s v="29/03/2018"/>
  </r>
  <r>
    <x v="12"/>
    <n v="3"/>
    <x v="2"/>
    <s v="28/03/2018"/>
    <s v="GLM Grille FO"/>
    <s v="LUNEAU JULIEN"/>
    <x v="14"/>
    <s v="23902"/>
    <s v="SADOCKI JIMMY"/>
    <n v="100"/>
    <s v="0003112626"/>
    <s v="Formation"/>
    <x v="3"/>
    <s v="RETENTION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n v="1"/>
    <s v="29/03/2018"/>
  </r>
  <r>
    <x v="13"/>
    <n v="4"/>
    <x v="3"/>
    <s v="03/04/2018"/>
    <s v="GLM Grille FO"/>
    <s v="Bisiaux Corinne"/>
    <x v="10"/>
    <s v="25543"/>
    <s v="SADOCKI JIMMY"/>
    <n v="92.4"/>
    <s v="0011053492"/>
    <s v="Comité Interne"/>
    <x v="0"/>
    <s v="CHANGEMENT DE FORMUL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0"/>
    <n v="1"/>
    <s v=" "/>
    <n v="1"/>
    <n v="1"/>
    <n v="0"/>
    <s v=" "/>
    <n v="1"/>
    <n v="1"/>
    <n v="1"/>
    <n v="1"/>
    <n v="1"/>
    <m/>
  </r>
  <r>
    <x v="13"/>
    <n v="4"/>
    <x v="3"/>
    <s v="03/04/2018"/>
    <s v="GLM Grille FO"/>
    <s v="Bisiaux Corinne"/>
    <x v="6"/>
    <s v="25085"/>
    <s v="SADOCKI JIMMY"/>
    <n v="94"/>
    <s v="0000217266"/>
    <s v="Comité Interne"/>
    <x v="0"/>
    <s v="DEMADE INFO ABO"/>
    <s v="Distance"/>
    <n v="1"/>
    <n v="1"/>
    <n v="1"/>
    <n v="1"/>
    <n v="1"/>
    <n v="1"/>
    <n v="1"/>
    <n v="1"/>
    <n v="0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m/>
  </r>
  <r>
    <x v="13"/>
    <n v="4"/>
    <x v="3"/>
    <s v="03/04/2018"/>
    <s v="GLM Grille FO"/>
    <s v="LIGENZA CYNTHIA"/>
    <x v="16"/>
    <s v="23702"/>
    <s v="SADOCKI JIMMY"/>
    <n v="96.25"/>
    <s v="0000194543"/>
    <s v="Comité Interne"/>
    <x v="0"/>
    <s v="CHAD TEMPO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1"/>
    <n v="1"/>
    <s v=" "/>
    <n v="1"/>
    <m/>
  </r>
  <r>
    <x v="13"/>
    <n v="4"/>
    <x v="3"/>
    <s v="03/04/2018"/>
    <s v="GLM Grille FO"/>
    <s v="LIGENZA CYNTHIA"/>
    <x v="7"/>
    <s v="19896"/>
    <s v="SADOCKI JIMMY"/>
    <n v="100"/>
    <s v="0000337639"/>
    <s v="Comité Interne"/>
    <x v="0"/>
    <s v="SUSPENSION TEMPO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n v="1"/>
    <s v=" "/>
    <n v="1"/>
    <m/>
  </r>
  <r>
    <x v="13"/>
    <n v="4"/>
    <x v="3"/>
    <s v="03/04/2018"/>
    <s v="GLM Grille FO"/>
    <s v="LIGENZA CYNTHIA"/>
    <x v="11"/>
    <s v="25090"/>
    <s v="SADOCKI JIMMY"/>
    <n v="96.25"/>
    <s v="0000204784"/>
    <s v="Comité Interne"/>
    <x v="0"/>
    <s v="CHANGEMENT CBC"/>
    <s v="Distance"/>
    <n v="1"/>
    <n v="1"/>
    <n v="1"/>
    <n v="1"/>
    <n v="1"/>
    <n v="1"/>
    <n v="1"/>
    <n v="1"/>
    <n v="1"/>
    <n v="1"/>
    <n v="1"/>
    <n v="1"/>
    <n v="1"/>
    <n v="1"/>
    <n v="1"/>
    <n v="0"/>
    <n v="1"/>
    <n v="1"/>
    <n v="1"/>
    <n v="1"/>
    <n v="1"/>
    <n v="1"/>
    <n v="1"/>
    <n v="1"/>
    <s v=" "/>
    <n v="1"/>
    <n v="1"/>
    <n v="1"/>
    <s v=" "/>
    <n v="1"/>
    <m/>
  </r>
  <r>
    <x v="13"/>
    <n v="4"/>
    <x v="3"/>
    <s v="03/04/2018"/>
    <s v="GLM Grille FO"/>
    <s v="LUNEAU JULIEN"/>
    <x v="8"/>
    <s v="23707"/>
    <s v="SADOCKI JIMMY"/>
    <n v="84.416666666666671"/>
    <s v="5001285900"/>
    <s v="Comité Interne"/>
    <x v="2"/>
    <s v="RESILIATION"/>
    <s v="Distance"/>
    <n v="1"/>
    <n v="1"/>
    <n v="1"/>
    <n v="0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0"/>
    <n v="1"/>
    <s v=" "/>
    <n v="1"/>
    <m/>
  </r>
  <r>
    <x v="13"/>
    <n v="4"/>
    <x v="3"/>
    <s v="03/04/2018"/>
    <s v="GLM Grille FO"/>
    <s v="LUNEAU JULIEN"/>
    <x v="8"/>
    <s v="23707"/>
    <s v="SADOCKI JIMMY"/>
    <n v="93"/>
    <s v="0000848711"/>
    <s v="Comité Interne"/>
    <x v="0"/>
    <s v="NON RECEPTION PORTAGE"/>
    <s v="Distance"/>
    <n v="1"/>
    <n v="1"/>
    <n v="1"/>
    <n v="1"/>
    <n v="1"/>
    <n v="1"/>
    <n v="1"/>
    <n v="1"/>
    <n v="1"/>
    <n v="1"/>
    <n v="1"/>
    <n v="1"/>
    <n v="1"/>
    <n v="1"/>
    <s v=" "/>
    <n v="1"/>
    <n v="0"/>
    <n v="1"/>
    <n v="1"/>
    <n v="1"/>
    <s v=" "/>
    <n v="1"/>
    <n v="1"/>
    <n v="1"/>
    <s v=" "/>
    <n v="1"/>
    <n v="1"/>
    <n v="1"/>
    <s v=" "/>
    <n v="1"/>
    <m/>
  </r>
  <r>
    <x v="13"/>
    <n v="4"/>
    <x v="3"/>
    <s v="03/04/2018"/>
    <s v="GLM Grille FO"/>
    <s v="LUNEAU JULIEN"/>
    <x v="9"/>
    <s v="25545"/>
    <s v="SADOCKI JIMMY"/>
    <n v="95"/>
    <s v="0002007109"/>
    <s v="Comité Interne"/>
    <x v="0"/>
    <s v="RECEPTION PORTAGE"/>
    <s v="Distance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n v="1"/>
    <n v="1"/>
    <n v="1"/>
    <n v="0"/>
    <n v="1"/>
    <s v=" "/>
    <n v="1"/>
    <n v="1"/>
    <n v="1"/>
    <s v=" "/>
    <n v="1"/>
    <m/>
  </r>
  <r>
    <x v="13"/>
    <n v="4"/>
    <x v="3"/>
    <s v="03/04/2018"/>
    <s v="GLM Grille FO"/>
    <s v="LUNEAU JULIEN"/>
    <x v="9"/>
    <s v="25545"/>
    <s v="SADOCKI JIMMY"/>
    <n v="100"/>
    <s v="0000871734"/>
    <s v="Comité Interne"/>
    <x v="0"/>
    <s v="CHAD TEMPO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s v=" "/>
    <n v="1"/>
    <n v="1"/>
    <n v="1"/>
    <s v=" "/>
    <n v="1"/>
    <n v="1"/>
    <n v="1"/>
    <s v=" "/>
    <n v="1"/>
    <m/>
  </r>
  <r>
    <x v="13"/>
    <n v="4"/>
    <x v="3"/>
    <s v="03/04/2018"/>
    <s v="GLM Grille FO"/>
    <s v="LUNEAU JULIEN"/>
    <x v="2"/>
    <s v="25086"/>
    <s v="SADOCKI JIMMY"/>
    <n v="93.25"/>
    <s v="0001747446"/>
    <s v="Comité Interne"/>
    <x v="0"/>
    <s v="CHAD TEMPO"/>
    <s v="Distance"/>
    <n v="1"/>
    <n v="1"/>
    <n v="1"/>
    <n v="1"/>
    <n v="1"/>
    <n v="1"/>
    <n v="1"/>
    <n v="1"/>
    <n v="1"/>
    <n v="1"/>
    <n v="1"/>
    <n v="1"/>
    <n v="0"/>
    <n v="1"/>
    <n v="1"/>
    <n v="1"/>
    <n v="1"/>
    <n v="1"/>
    <n v="1"/>
    <n v="1"/>
    <s v=" "/>
    <n v="1"/>
    <n v="0"/>
    <n v="1"/>
    <s v=" "/>
    <n v="1"/>
    <n v="1"/>
    <n v="1"/>
    <s v=" "/>
    <n v="1"/>
    <m/>
  </r>
  <r>
    <x v="13"/>
    <n v="4"/>
    <x v="3"/>
    <s v="03/04/2018"/>
    <s v="GLM Grille FO"/>
    <s v="LUNEAU JULIEN"/>
    <x v="3"/>
    <s v="25084"/>
    <s v="SADOCKI JIMMY"/>
    <n v="96.25"/>
    <s v="0000914458"/>
    <s v="Comité Interne"/>
    <x v="0"/>
    <s v="PB PORTAGE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0"/>
    <n v="1"/>
    <s v=" "/>
    <n v="1"/>
    <n v="1"/>
    <n v="1"/>
    <s v=" "/>
    <n v="1"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4"/>
    <m/>
    <x v="4"/>
    <m/>
    <m/>
    <m/>
    <x v="19"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00">
  <r>
    <x v="0"/>
    <n v="1"/>
    <x v="0"/>
    <s v="ASF"/>
    <s v="02/01/2018"/>
    <s v="GLM Grille BO"/>
    <s v="Bisiaux Corinne"/>
    <x v="0"/>
    <s v="21891"/>
    <s v="Bisiaux Corinne"/>
    <n v="100"/>
    <s v="0010357705"/>
    <s v="43"/>
    <s v="Supervision"/>
    <x v="0"/>
    <s v="ABONNEMENT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s v=" "/>
    <s v=" "/>
    <s v="04/01/2018"/>
  </r>
  <r>
    <x v="0"/>
    <n v="1"/>
    <x v="0"/>
    <s v="ASF"/>
    <s v="02/01/2018"/>
    <s v="GLM Grille BO"/>
    <s v="Bisiaux Corinne"/>
    <x v="1"/>
    <s v="21330"/>
    <s v="Bisiaux Corinne"/>
    <n v="100"/>
    <s v="0011296506"/>
    <s v="1"/>
    <s v="Supervision"/>
    <x v="1"/>
    <s v="LIVRAISON MAUVAISE ADRESSE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s v=" "/>
    <s v=" "/>
    <s v="04/01/2018"/>
  </r>
  <r>
    <x v="0"/>
    <n v="1"/>
    <x v="0"/>
    <s v="ASF"/>
    <s v="02/01/2018"/>
    <s v="GLM Grille BO"/>
    <s v="Bisiaux Corinne"/>
    <x v="1"/>
    <s v="21330"/>
    <s v="Bisiaux Corinne"/>
    <n v="100"/>
    <s v="11267741 "/>
    <s v="1"/>
    <s v="Supervision"/>
    <x v="1"/>
    <s v="CHANGEMENT D OFFRE"/>
    <s v="Distance"/>
    <n v="1"/>
    <n v="1"/>
    <n v="1"/>
    <n v="1"/>
    <n v="1"/>
    <n v="1"/>
    <n v="1"/>
    <n v="1"/>
    <s v=" "/>
    <n v="1"/>
    <n v="1"/>
    <n v="1"/>
    <n v="1"/>
    <n v="1"/>
    <s v=" "/>
    <n v="1"/>
    <s v=" "/>
    <n v="1"/>
    <s v=" "/>
    <n v="1"/>
    <n v="1"/>
    <n v="1"/>
    <n v="1"/>
    <s v="04/01/2018"/>
  </r>
  <r>
    <x v="0"/>
    <n v="1"/>
    <x v="0"/>
    <s v="ASF"/>
    <s v="02/01/2018"/>
    <s v="GLM Grille BO"/>
    <s v="Bisiaux Corinne"/>
    <x v="2"/>
    <s v="23979"/>
    <s v="Bisiaux Corinne"/>
    <n v="98"/>
    <s v="0011266588"/>
    <s v="1"/>
    <s v="Supervision"/>
    <x v="0"/>
    <s v="ACCES COMPTE "/>
    <s v="Distance"/>
    <n v="1"/>
    <n v="1"/>
    <n v="1"/>
    <n v="1"/>
    <n v="1"/>
    <n v="1"/>
    <n v="1"/>
    <n v="1"/>
    <n v="0"/>
    <n v="1"/>
    <n v="1"/>
    <n v="1"/>
    <n v="1"/>
    <n v="1"/>
    <s v=" "/>
    <n v="1"/>
    <n v="1"/>
    <n v="1"/>
    <n v="1"/>
    <n v="1"/>
    <s v=" "/>
    <s v=" "/>
    <s v=" "/>
    <s v="04/01/2018"/>
  </r>
  <r>
    <x v="0"/>
    <n v="1"/>
    <x v="0"/>
    <s v="ASF"/>
    <s v="02/01/2018"/>
    <s v="GLM Grille BO"/>
    <s v="Bisiaux Corinne"/>
    <x v="2"/>
    <s v="23979"/>
    <s v="Bisiaux Corinne"/>
    <n v="100"/>
    <s v="0002166864"/>
    <s v="48"/>
    <s v="Supervision"/>
    <x v="0"/>
    <s v="SEPA"/>
    <s v="Distance"/>
    <n v="1"/>
    <n v="1"/>
    <n v="1"/>
    <n v="1"/>
    <n v="1"/>
    <n v="1"/>
    <n v="1"/>
    <n v="1"/>
    <s v=" "/>
    <n v="1"/>
    <n v="1"/>
    <n v="1"/>
    <n v="1"/>
    <n v="1"/>
    <s v=" "/>
    <n v="1"/>
    <s v=" "/>
    <n v="1"/>
    <n v="1"/>
    <n v="1"/>
    <n v="1"/>
    <s v=" "/>
    <s v=" "/>
    <s v="04/01/2018"/>
  </r>
  <r>
    <x v="0"/>
    <n v="1"/>
    <x v="0"/>
    <s v="ASF"/>
    <s v="02/01/2018"/>
    <s v="GLM Grille BO"/>
    <s v="Bisiaux Corinne"/>
    <x v="3"/>
    <s v="23704"/>
    <s v="MASCLET ANNIE LAURE"/>
    <n v="100"/>
    <s v="0000916218"/>
    <s v="1"/>
    <s v="Formation"/>
    <x v="1"/>
    <s v="Demande de 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3/01/2018"/>
  </r>
  <r>
    <x v="0"/>
    <n v="1"/>
    <x v="0"/>
    <s v="ASF"/>
    <s v="02/01/2018"/>
    <s v="GLM Grille BO"/>
    <s v="Bisiaux Corinne"/>
    <x v="3"/>
    <s v="23704"/>
    <s v="Bisiaux Corinne"/>
    <n v="100"/>
    <s v="0000916218"/>
    <s v="1"/>
    <s v="Supervision"/>
    <x v="1"/>
    <s v="RESILIAT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s v=" "/>
    <s v=" "/>
    <s v="04/01/2018"/>
  </r>
  <r>
    <x v="0"/>
    <n v="1"/>
    <x v="0"/>
    <s v="ASF"/>
    <s v="02/01/2018"/>
    <s v="GLM Grille BO"/>
    <s v="Bisiaux Corinne"/>
    <x v="3"/>
    <s v="23704"/>
    <s v="Bisiaux Corinne"/>
    <n v="100"/>
    <s v="0010448132"/>
    <s v="9"/>
    <s v="Supervision"/>
    <x v="1"/>
    <s v="RESILIATION "/>
    <s v="Distance"/>
    <n v="1"/>
    <n v="1"/>
    <n v="1"/>
    <n v="1"/>
    <n v="1"/>
    <n v="1"/>
    <n v="1"/>
    <n v="1"/>
    <n v="1"/>
    <n v="1"/>
    <n v="1"/>
    <n v="1"/>
    <n v="1"/>
    <n v="1"/>
    <s v=" "/>
    <n v="1"/>
    <n v="1"/>
    <n v="1"/>
    <n v="1"/>
    <n v="1"/>
    <n v="1"/>
    <n v="1"/>
    <n v="1"/>
    <s v="04/01/2018"/>
  </r>
  <r>
    <x v="0"/>
    <n v="1"/>
    <x v="0"/>
    <s v="ASF"/>
    <s v="02/01/2018"/>
    <s v="GLM Grille BO"/>
    <s v="LIGENZA CYNTHIA"/>
    <x v="4"/>
    <s v="24754"/>
    <s v="MASCLET ANNIE LAURE"/>
    <n v="100"/>
    <s v="0010746946"/>
    <s v="1"/>
    <s v="Formation"/>
    <x v="1"/>
    <s v="Demande de 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3/01/2018"/>
  </r>
  <r>
    <x v="0"/>
    <n v="1"/>
    <x v="0"/>
    <s v="ASF"/>
    <s v="02/01/2018"/>
    <s v="GLM Grille BO"/>
    <s v="LIGENZA CYNTHIA"/>
    <x v="5"/>
    <s v="22348"/>
    <s v="SADOCKI JIMMY"/>
    <n v="100"/>
    <s v="0011298746"/>
    <s v="1"/>
    <s v="Formation"/>
    <x v="0"/>
    <s v="DEMANDE ID / MP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s v=" "/>
    <s v=" "/>
    <n v="1"/>
    <s v="03/01/2018"/>
  </r>
  <r>
    <x v="0"/>
    <n v="1"/>
    <x v="0"/>
    <s v="ASF"/>
    <s v="02/01/2018"/>
    <s v="GLM Grille BO"/>
    <s v="LUNEAU JULIEN"/>
    <x v="6"/>
    <s v="16209"/>
    <s v="LUNEAU JULIEN"/>
    <n v="94.72"/>
    <s v="0011181747"/>
    <s v="1"/>
    <s v="Supervision"/>
    <x v="0"/>
    <s v="résiliation "/>
    <s v="Distance"/>
    <n v="1"/>
    <n v="1"/>
    <n v="1"/>
    <n v="1"/>
    <n v="1"/>
    <n v="1"/>
    <n v="1"/>
    <s v=" "/>
    <s v=" "/>
    <n v="0"/>
    <n v="1"/>
    <n v="1"/>
    <n v="1"/>
    <n v="1"/>
    <s v=" "/>
    <n v="1"/>
    <n v="1"/>
    <n v="0"/>
    <n v="1"/>
    <n v="1"/>
    <s v=" "/>
    <s v=" "/>
    <s v=" "/>
    <s v="01/02/2018"/>
  </r>
  <r>
    <x v="0"/>
    <n v="1"/>
    <x v="0"/>
    <s v="ASF"/>
    <s v="02/01/2018"/>
    <s v="GLM Grille BO"/>
    <s v="LUNEAU JULIEN"/>
    <x v="7"/>
    <s v="21893"/>
    <s v="MASCLET ANNIE LAURE"/>
    <n v="95.6"/>
    <s v="0001809123"/>
    <s v="1"/>
    <s v="Formation"/>
    <x v="1"/>
    <s v="Demande information sur abo offer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0"/>
    <n v="1"/>
    <n v="1"/>
    <n v="1"/>
    <s v=" "/>
    <n v="1"/>
    <s v="08/01/2018"/>
  </r>
  <r>
    <x v="0"/>
    <n v="1"/>
    <x v="0"/>
    <s v="ASF"/>
    <s v="02/01/2018"/>
    <s v="GLM Grille BO"/>
    <s v="LUNEAU JULIEN"/>
    <x v="7"/>
    <s v="21893"/>
    <s v="SADOCKI JIMMY"/>
    <n v="100"/>
    <s v="0000249256"/>
    <s v="85"/>
    <s v="Formation"/>
    <x v="2"/>
    <s v="NON RECEP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n v="1"/>
    <n v="1"/>
    <s v="03/01/2018"/>
  </r>
  <r>
    <x v="0"/>
    <n v="1"/>
    <x v="0"/>
    <s v="ASF"/>
    <s v="02/01/2018"/>
    <s v="GLM Grille BO"/>
    <s v="LUNEAU JULIEN"/>
    <x v="8"/>
    <s v="9573"/>
    <s v="LUNEAU JULIEN"/>
    <n v="100"/>
    <s v="5003807343"/>
    <s v="1"/>
    <s v="Supervision"/>
    <x v="0"/>
    <s v="résiliation 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s v=" "/>
    <s v=" "/>
    <s v=" "/>
    <s v="17/01/2018"/>
  </r>
  <r>
    <x v="0"/>
    <n v="1"/>
    <x v="0"/>
    <s v="ASF"/>
    <s v="03/01/2018"/>
    <s v="GLM Grille BO"/>
    <s v="Bisiaux Corinne"/>
    <x v="0"/>
    <s v="21891"/>
    <s v="Bisiaux Corinne"/>
    <n v="100"/>
    <s v="0010991229"/>
    <s v="15"/>
    <s v="Supervision"/>
    <x v="0"/>
    <s v="BDC 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s v=" "/>
    <s v="04/01/2018"/>
  </r>
  <r>
    <x v="0"/>
    <n v="1"/>
    <x v="0"/>
    <s v="ASF"/>
    <s v="03/01/2018"/>
    <s v="GLM Grille BO"/>
    <s v="Bisiaux Corinne"/>
    <x v="9"/>
    <s v="23703"/>
    <s v="MASCLET ANNIE LAURE"/>
    <n v="100"/>
    <s v="0010788956"/>
    <s v="1"/>
    <s v="Formation"/>
    <x v="1"/>
    <s v="Demande de 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4/01/2018"/>
  </r>
  <r>
    <x v="0"/>
    <n v="1"/>
    <x v="0"/>
    <s v="ASF"/>
    <s v="03/01/2018"/>
    <s v="GLM Grille BO"/>
    <s v="Bisiaux Corinne"/>
    <x v="1"/>
    <s v="21330"/>
    <s v="MASCLET ANNIE LAURE"/>
    <n v="100"/>
    <s v="0011303107"/>
    <s v="2"/>
    <s v="Formation"/>
    <x v="1"/>
    <s v="Demande procédure pour accèder à son espace cli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4/01/2018"/>
  </r>
  <r>
    <x v="0"/>
    <n v="1"/>
    <x v="0"/>
    <s v="ASF"/>
    <s v="03/01/2018"/>
    <s v="GLM Grille BO"/>
    <s v="LIGENZA CYNTHIA"/>
    <x v="5"/>
    <s v="22348"/>
    <s v="MASCLET ANNIE LAURE"/>
    <n v="100"/>
    <s v="0011107520"/>
    <s v="2"/>
    <s v="Formation"/>
    <x v="0"/>
    <s v="Demande de 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4/01/2018"/>
  </r>
  <r>
    <x v="0"/>
    <n v="1"/>
    <x v="0"/>
    <s v="ASF"/>
    <s v="04/01/2018"/>
    <s v="GLM Grille BO"/>
    <s v="LUNEAU JULIEN"/>
    <x v="10"/>
    <s v="23707"/>
    <s v="MASCLET ANNIE LAURE"/>
    <n v="100"/>
    <s v="0011310325"/>
    <s v="1"/>
    <s v="Formation"/>
    <x v="0"/>
    <s v="Problème de connex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0/01/2018"/>
  </r>
  <r>
    <x v="0"/>
    <n v="1"/>
    <x v="0"/>
    <s v="ASF"/>
    <s v="05/01/2018"/>
    <s v="GLM Grille BO"/>
    <s v="Bisiaux Corinne"/>
    <x v="1"/>
    <s v="21330"/>
    <s v="MASCLET ANNIE LAURE"/>
    <n v="100"/>
    <s v="0011289700"/>
    <s v="1"/>
    <s v="Formation"/>
    <x v="1"/>
    <s v="Modification adresse de livrais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0/01/2018"/>
  </r>
  <r>
    <x v="0"/>
    <n v="1"/>
    <x v="0"/>
    <s v="ASF"/>
    <s v="05/01/2018"/>
    <s v="GLM Grille BO"/>
    <s v="Bisiaux Corinne"/>
    <x v="3"/>
    <s v="23704"/>
    <s v="MASCLET ANNIE LAURE"/>
    <n v="98"/>
    <s v="3014294"/>
    <s v="3"/>
    <s v="Formation"/>
    <x v="1"/>
    <s v="MAJ coordonnées bancaires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19/01/2018"/>
  </r>
  <r>
    <x v="0"/>
    <n v="1"/>
    <x v="0"/>
    <s v="ASF"/>
    <s v="05/01/2018"/>
    <s v="GLM Grille BO"/>
    <s v="LIGENZA CYNTHIA"/>
    <x v="11"/>
    <s v="20994"/>
    <s v="MASCLET ANNIE LAURE"/>
    <n v="100"/>
    <s v="0011309873"/>
    <s v="2"/>
    <s v="Formation"/>
    <x v="1"/>
    <s v="Problème de connexion espace cli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3/01/2018"/>
  </r>
  <r>
    <x v="0"/>
    <n v="1"/>
    <x v="0"/>
    <s v="ASF"/>
    <s v="05/01/2018"/>
    <s v="GLM Grille BO"/>
    <s v="LUNEAU JULIEN"/>
    <x v="10"/>
    <s v="23707"/>
    <s v="MASCLET ANNIE LAURE"/>
    <n v="100"/>
    <s v="11298764"/>
    <s v="2"/>
    <s v="Formation"/>
    <x v="2"/>
    <s v="Procédure connexion au sit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0/01/2018"/>
  </r>
  <r>
    <x v="0"/>
    <n v="1"/>
    <x v="0"/>
    <s v="ASF"/>
    <s v="05/01/2018"/>
    <s v="GLM Grille BO"/>
    <s v="LUNEAU JULIEN"/>
    <x v="12"/>
    <s v="25258"/>
    <s v="MASCLET ANNIE LAURE"/>
    <n v="100"/>
    <s v="5003122358"/>
    <s v="1"/>
    <s v="Formation"/>
    <x v="0"/>
    <s v="Demande client changement de formule"/>
    <s v="Distance"/>
    <s v=" 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10/01/2018"/>
  </r>
  <r>
    <x v="1"/>
    <n v="1"/>
    <x v="0"/>
    <s v="ASF"/>
    <s v="08/01/2018"/>
    <s v="GLM Grille BO"/>
    <s v="Bisiaux Corinne"/>
    <x v="13"/>
    <s v="24719"/>
    <s v="LIGENZA CYNTHIA"/>
    <n v="100"/>
    <s v="5003676107"/>
    <s v="2"/>
    <s v="Comité externe"/>
    <x v="0"/>
    <s v="resilia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10/01/2018"/>
  </r>
  <r>
    <x v="1"/>
    <n v="1"/>
    <x v="0"/>
    <s v="ASF"/>
    <s v="08/01/2018"/>
    <s v="GLM Grille BO"/>
    <s v="Bisiaux Corinne"/>
    <x v="2"/>
    <s v="23979"/>
    <s v="MASCLET ANNIE LAURE"/>
    <n v="100"/>
    <s v="0011206421"/>
    <s v="1"/>
    <s v="Formation"/>
    <x v="0"/>
    <s v="Demande client confirmation coordonnées bancaires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n v="1"/>
    <n v="1"/>
    <s v="19/01/2018"/>
  </r>
  <r>
    <x v="1"/>
    <n v="1"/>
    <x v="0"/>
    <s v="ASF"/>
    <s v="08/01/2018"/>
    <s v="GLM Grille BO"/>
    <s v="Bisiaux Corinne"/>
    <x v="2"/>
    <s v="23979"/>
    <s v="LIGENZA CYNTHIA"/>
    <n v="100"/>
    <s v="11319904"/>
    <s v="2"/>
    <s v="Comité externe"/>
    <x v="0"/>
    <s v="reception justif etudiant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s v=" "/>
    <s v=" "/>
    <s v=" "/>
    <s v=" "/>
    <s v="09/01/2018"/>
  </r>
  <r>
    <x v="1"/>
    <n v="1"/>
    <x v="0"/>
    <s v="ASF"/>
    <s v="08/01/2018"/>
    <s v="GLM Grille BO"/>
    <s v="LIGENZA CYNTHIA"/>
    <x v="14"/>
    <s v="24750"/>
    <s v="GENGEMBRE MAGALIE"/>
    <n v="90.4"/>
    <s v="5002910228"/>
    <s v="8"/>
    <s v="Controleur"/>
    <x v="0"/>
    <s v="impayé"/>
    <s v="Distance"/>
    <n v="1"/>
    <n v="0"/>
    <n v="1"/>
    <n v="1"/>
    <n v="1"/>
    <n v="1"/>
    <n v="1"/>
    <n v="1"/>
    <s v=" "/>
    <n v="1"/>
    <n v="1"/>
    <n v="1"/>
    <n v="1"/>
    <n v="1"/>
    <s v=" "/>
    <n v="1"/>
    <n v="0"/>
    <n v="1"/>
    <n v="1"/>
    <n v="1"/>
    <s v=" "/>
    <s v=" "/>
    <s v=" "/>
    <s v="18/01/2018"/>
  </r>
  <r>
    <x v="1"/>
    <n v="1"/>
    <x v="0"/>
    <s v="ASF"/>
    <s v="08/01/2018"/>
    <s v="GLM Grille BO"/>
    <s v="LIGENZA CYNTHIA"/>
    <x v="14"/>
    <s v="24750"/>
    <s v="GENGEMBRE MAGALIE"/>
    <n v="100"/>
    <s v="5000648279"/>
    <s v="2"/>
    <s v="Controleur"/>
    <x v="0"/>
    <s v="activation iTunes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18/01/2018"/>
  </r>
  <r>
    <x v="1"/>
    <n v="1"/>
    <x v="0"/>
    <s v="ASF"/>
    <s v="08/01/2018"/>
    <s v="GLM Grille BO"/>
    <s v="LIGENZA CYNTHIA"/>
    <x v="5"/>
    <s v="22348"/>
    <s v="LIGENZA CYNTHIA"/>
    <n v="100"/>
    <s v="11298312"/>
    <s v="1"/>
    <s v="Comité externe"/>
    <x v="0"/>
    <s v="demande de resil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09/01/2018"/>
  </r>
  <r>
    <x v="1"/>
    <n v="1"/>
    <x v="0"/>
    <s v="ASF"/>
    <s v="08/01/2018"/>
    <s v="GLM Grille BO"/>
    <s v="LIGENZA CYNTHIA"/>
    <x v="5"/>
    <s v="22348"/>
    <s v="LIGENZA CYNTHIA"/>
    <n v="100"/>
    <s v="11318740"/>
    <s v="2"/>
    <s v="Comité externe"/>
    <x v="0"/>
    <s v="demande de resil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09/01/2018"/>
  </r>
  <r>
    <x v="1"/>
    <n v="1"/>
    <x v="0"/>
    <s v="ASF"/>
    <s v="08/01/2018"/>
    <s v="GLM Grille BO"/>
    <s v="LUNEAU JULIEN"/>
    <x v="10"/>
    <s v="23707"/>
    <s v="LIGENZA CYNTHIA"/>
    <n v="31.111111111111111"/>
    <s v="5000446167"/>
    <s v="2"/>
    <s v="Comité externe"/>
    <x v="0"/>
    <s v="demande de conf abo"/>
    <s v="Distance"/>
    <n v="0"/>
    <s v=" "/>
    <n v="0"/>
    <n v="1"/>
    <n v="1"/>
    <s v=" "/>
    <n v="1"/>
    <s v=" "/>
    <s v=" "/>
    <n v="1"/>
    <n v="1"/>
    <n v="0"/>
    <s v=" "/>
    <s v=" "/>
    <s v=" "/>
    <s v=" "/>
    <s v=" "/>
    <s v=" "/>
    <s v=" "/>
    <s v=" "/>
    <s v=" "/>
    <s v=" "/>
    <s v=" "/>
    <s v="09/01/2018"/>
  </r>
  <r>
    <x v="1"/>
    <n v="1"/>
    <x v="0"/>
    <s v="ASF"/>
    <s v="08/01/2018"/>
    <s v="GLM Grille BO"/>
    <s v="LUNEAU JULIEN"/>
    <x v="10"/>
    <s v="23707"/>
    <s v="GENGEMBRE MAGALIE"/>
    <n v="80.72"/>
    <s v="0010987835"/>
    <s v="1"/>
    <s v="Controleur"/>
    <x v="0"/>
    <s v="résiliation "/>
    <s v="Distance"/>
    <n v="1"/>
    <n v="1"/>
    <n v="1"/>
    <n v="1"/>
    <n v="1"/>
    <n v="1"/>
    <n v="1"/>
    <s v=" "/>
    <s v=" "/>
    <n v="1"/>
    <n v="0"/>
    <n v="0"/>
    <n v="1"/>
    <n v="1"/>
    <s v=" "/>
    <n v="1"/>
    <s v=" "/>
    <n v="0"/>
    <n v="1"/>
    <n v="1"/>
    <s v=" "/>
    <s v=" "/>
    <s v=" "/>
    <s v="31/01/2018"/>
  </r>
  <r>
    <x v="1"/>
    <n v="1"/>
    <x v="0"/>
    <s v="ASF"/>
    <s v="08/01/2018"/>
    <s v="GLM Grille BO"/>
    <s v="LUNEAU JULIEN"/>
    <x v="10"/>
    <s v="23707"/>
    <s v="LIGENZA CYNTHIA"/>
    <n v="93.4"/>
    <s v="5004214996"/>
    <s v="1"/>
    <s v="Comité externe"/>
    <x v="0"/>
    <s v="changement de formule"/>
    <s v="Distance"/>
    <n v="1"/>
    <n v="0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09/01/2018"/>
  </r>
  <r>
    <x v="1"/>
    <n v="1"/>
    <x v="0"/>
    <s v="ASF"/>
    <s v="08/01/2018"/>
    <s v="GLM Grille BO"/>
    <s v="LUNEAU JULIEN"/>
    <x v="10"/>
    <s v="23707"/>
    <s v="GENGEMBRE MAGALIE"/>
    <n v="100"/>
    <s v="0011310325"/>
    <s v="1"/>
    <s v="Controleur"/>
    <x v="0"/>
    <s v="connexion "/>
    <s v="Distance"/>
    <n v="1"/>
    <n v="1"/>
    <n v="1"/>
    <n v="1"/>
    <n v="1"/>
    <n v="1"/>
    <n v="1"/>
    <n v="1"/>
    <s v=" "/>
    <n v="1"/>
    <n v="1"/>
    <n v="1"/>
    <n v="1"/>
    <n v="1"/>
    <s v=" "/>
    <n v="1"/>
    <s v=" "/>
    <n v="1"/>
    <n v="1"/>
    <n v="1"/>
    <s v=" "/>
    <s v=" "/>
    <s v=" "/>
    <s v="31/01/2018"/>
  </r>
  <r>
    <x v="1"/>
    <n v="1"/>
    <x v="0"/>
    <s v="ASF"/>
    <s v="08/01/2018"/>
    <s v="GLM Grille BO"/>
    <s v="LUNEAU JULIEN"/>
    <x v="6"/>
    <s v="16209"/>
    <s v="LIGENZA CYNTHIA"/>
    <n v="100"/>
    <s v="5003118660"/>
    <s v="3"/>
    <s v="Comité externe"/>
    <x v="0"/>
    <s v="changement de formul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n v="1"/>
    <s v="09/01/2018"/>
  </r>
  <r>
    <x v="1"/>
    <n v="1"/>
    <x v="0"/>
    <s v="ASF"/>
    <s v="08/01/2018"/>
    <s v="GLM Grille BO"/>
    <s v="LUNEAU JULIEN"/>
    <x v="6"/>
    <s v="16209"/>
    <s v="LIGENZA CYNTHIA"/>
    <n v="100"/>
    <s v="5004327156"/>
    <s v="3"/>
    <s v="Comité externe"/>
    <x v="0"/>
    <s v="changement de formul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09/01/2018"/>
  </r>
  <r>
    <x v="1"/>
    <n v="1"/>
    <x v="0"/>
    <s v="ASF"/>
    <s v="08/01/2018"/>
    <s v="GLM Grille BO"/>
    <s v="LUNEAU JULIEN"/>
    <x v="7"/>
    <s v="21893"/>
    <s v="LUNEAU JULIEN"/>
    <n v="100"/>
    <s v="0003014294"/>
    <s v="4"/>
    <s v="Supervision"/>
    <x v="1"/>
    <s v="paiement "/>
    <s v="Distance"/>
    <n v="1"/>
    <n v="1"/>
    <s v=" "/>
    <n v="1"/>
    <n v="1"/>
    <n v="1"/>
    <n v="1"/>
    <s v=" "/>
    <s v=" "/>
    <n v="1"/>
    <n v="1"/>
    <n v="1"/>
    <n v="1"/>
    <n v="1"/>
    <s v=" "/>
    <n v="1"/>
    <n v="1"/>
    <n v="1"/>
    <n v="1"/>
    <n v="1"/>
    <s v=" "/>
    <s v=" "/>
    <s v=" "/>
    <s v="17/01/2018"/>
  </r>
  <r>
    <x v="1"/>
    <n v="1"/>
    <x v="0"/>
    <s v="ASF"/>
    <s v="08/01/2018"/>
    <s v="GLM Grille BO"/>
    <s v="LUNEAU JULIEN"/>
    <x v="15"/>
    <s v="25257"/>
    <s v="GENGEMBRE MAGALIE"/>
    <n v="96"/>
    <s v="0001110815"/>
    <s v="278"/>
    <s v="Controleur"/>
    <x v="0"/>
    <s v="récla nouvelle offre "/>
    <s v="Distance"/>
    <n v="1"/>
    <n v="1"/>
    <n v="1"/>
    <n v="1"/>
    <n v="1"/>
    <n v="1"/>
    <n v="1"/>
    <n v="1"/>
    <s v=" "/>
    <n v="1"/>
    <n v="0"/>
    <n v="1"/>
    <n v="1"/>
    <n v="1"/>
    <s v=" "/>
    <n v="1"/>
    <s v=" "/>
    <n v="1"/>
    <n v="1"/>
    <n v="1"/>
    <s v=" "/>
    <s v=" "/>
    <s v=" "/>
    <s v="17/01/2018"/>
  </r>
  <r>
    <x v="1"/>
    <n v="1"/>
    <x v="0"/>
    <s v="ASF"/>
    <s v="08/01/2018"/>
    <s v="GLM Grille BO"/>
    <s v="LUNEAU JULIEN"/>
    <x v="15"/>
    <s v="25257"/>
    <s v="GENGEMBRE MAGALIE"/>
    <n v="100"/>
    <s v="5001576412"/>
    <s v="2"/>
    <s v="Controleur"/>
    <x v="0"/>
    <s v="gestion abo la matinale "/>
    <s v="Distance"/>
    <n v="1"/>
    <n v="1"/>
    <n v="1"/>
    <n v="1"/>
    <n v="1"/>
    <n v="1"/>
    <n v="1"/>
    <n v="1"/>
    <s v=" "/>
    <n v="0"/>
    <n v="1"/>
    <n v="1"/>
    <n v="1"/>
    <n v="1"/>
    <n v="1"/>
    <n v="1"/>
    <s v=" "/>
    <n v="1"/>
    <n v="1"/>
    <n v="1"/>
    <s v=" "/>
    <n v="1"/>
    <n v="1"/>
    <s v="17/01/2018"/>
  </r>
  <r>
    <x v="1"/>
    <n v="1"/>
    <x v="0"/>
    <s v="ASF"/>
    <s v="08/01/2018"/>
    <s v="GLM Grille BO"/>
    <s v="LUNEAU JULIEN"/>
    <x v="15"/>
    <s v="25257"/>
    <s v="LIGENZA CYNTHIA"/>
    <n v="100"/>
    <s v="11194187"/>
    <s v="1"/>
    <s v="Comité Interne"/>
    <x v="0"/>
    <s v="Demande annulation abo matinal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s v=" "/>
    <s v="09/01/2018"/>
  </r>
  <r>
    <x v="1"/>
    <n v="1"/>
    <x v="0"/>
    <s v="ASF"/>
    <s v="08/01/2018"/>
    <s v="GLM Grille BO"/>
    <s v="LUNEAU JULIEN"/>
    <x v="15"/>
    <s v="25257"/>
    <s v="LIGENZA CYNTHIA"/>
    <n v="100"/>
    <s v="11191283"/>
    <s v="2"/>
    <s v="Comité externe"/>
    <x v="0"/>
    <s v="demande de resil.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09/01/2018"/>
  </r>
  <r>
    <x v="1"/>
    <n v="1"/>
    <x v="0"/>
    <s v="ASF"/>
    <s v="08/01/2018"/>
    <s v="GLM Grille BO"/>
    <s v="LUNEAU JULIEN"/>
    <x v="16"/>
    <s v="25755"/>
    <s v="MASCLET ANNIE LAURE"/>
    <n v="100"/>
    <s v="11199907"/>
    <s v="3"/>
    <s v="Comité externe"/>
    <x v="2"/>
    <s v="Demande de facture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s v=" "/>
    <s v=" "/>
    <s v="10/01/2018"/>
  </r>
  <r>
    <x v="1"/>
    <n v="1"/>
    <x v="0"/>
    <s v="ASF"/>
    <s v="08/01/2018"/>
    <s v="GLM Grille BO"/>
    <s v="LUNEAU JULIEN"/>
    <x v="12"/>
    <s v="25258"/>
    <s v="MASCLET ANNIE LAURE"/>
    <n v="90"/>
    <s v="5002892602"/>
    <s v="1"/>
    <s v="Formation"/>
    <x v="0"/>
    <s v="Impayé"/>
    <s v="Distance"/>
    <n v="1"/>
    <n v="1"/>
    <n v="1"/>
    <n v="1"/>
    <n v="1"/>
    <n v="1"/>
    <n v="1"/>
    <s v=" "/>
    <n v="1"/>
    <n v="1"/>
    <n v="1"/>
    <n v="0"/>
    <n v="1"/>
    <n v="1"/>
    <s v=" "/>
    <n v="1"/>
    <n v="1"/>
    <n v="1"/>
    <n v="1"/>
    <s v=" "/>
    <s v=" "/>
    <s v=" "/>
    <s v=" "/>
    <s v="10/01/2018"/>
  </r>
  <r>
    <x v="1"/>
    <n v="1"/>
    <x v="0"/>
    <s v="ASF"/>
    <s v="08/01/2018"/>
    <s v="GLM Grille BO"/>
    <s v="LUNEAU JULIEN"/>
    <x v="8"/>
    <s v="9573"/>
    <s v="MASCLET ANNIE LAURE"/>
    <n v="100"/>
    <s v="10296025"/>
    <s v="1"/>
    <s v="Formation"/>
    <x v="0"/>
    <s v="MAJ coordonnées postale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s v=" "/>
    <s v=" "/>
    <s v="17/01/2018"/>
  </r>
  <r>
    <x v="1"/>
    <n v="1"/>
    <x v="0"/>
    <s v="ASF"/>
    <s v="08/01/2018"/>
    <s v="GLM Grille BO"/>
    <s v="LUNEAU JULIEN"/>
    <x v="8"/>
    <s v="9573"/>
    <s v="LIGENZA CYNTHIA"/>
    <n v="100"/>
    <s v="11321434"/>
    <s v="2"/>
    <s v="Comité externe"/>
    <x v="0"/>
    <s v="reception justif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09/01/2018"/>
  </r>
  <r>
    <x v="2"/>
    <n v="1"/>
    <x v="0"/>
    <s v="ASF"/>
    <s v="15/01/2018"/>
    <s v="GLM Grille BO"/>
    <s v="LIGENZA CYNTHIA"/>
    <x v="17"/>
    <s v="19896"/>
    <s v="MASCLET ANNIE LAURE"/>
    <n v="100"/>
    <s v="0011169314"/>
    <s v="1"/>
    <s v="Formation"/>
    <x v="1"/>
    <s v=" CHAD définitif étranger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8/01/2018"/>
  </r>
  <r>
    <x v="2"/>
    <n v="1"/>
    <x v="0"/>
    <s v="ASF"/>
    <s v="15/01/2018"/>
    <s v="GLM Grille BO"/>
    <s v="LUNEAU JULIEN"/>
    <x v="10"/>
    <s v="23707"/>
    <s v="LUNEAU JULIEN"/>
    <n v="100"/>
    <s v="0011024410"/>
    <s v="1"/>
    <s v="Formation"/>
    <x v="0"/>
    <s v="Confirmation abo/réabo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31/01/2018"/>
  </r>
  <r>
    <x v="2"/>
    <n v="1"/>
    <x v="0"/>
    <s v="ASF"/>
    <s v="15/01/2018"/>
    <s v="GLM Grille BO"/>
    <s v="LUNEAU JULIEN"/>
    <x v="7"/>
    <s v="21893"/>
    <s v="MASCLET ANNIE LAURE"/>
    <n v="100"/>
    <s v="0010595449"/>
    <s v="1"/>
    <s v="Formation"/>
    <x v="1"/>
    <s v="Demande procédure de 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3/01/2018"/>
  </r>
  <r>
    <x v="2"/>
    <n v="1"/>
    <x v="0"/>
    <s v="ASF"/>
    <s v="16/01/2018"/>
    <s v="GLM Grille BO"/>
    <s v="Bisiaux Corinne"/>
    <x v="9"/>
    <s v="23703"/>
    <s v="SADOCKI JIMMY"/>
    <n v="100"/>
    <s v="11279393"/>
    <s v="1"/>
    <s v="Comité externe"/>
    <x v="1"/>
    <s v="NON RECEPTION"/>
    <s v="Distance"/>
    <n v="1"/>
    <s v=" "/>
    <s v=" "/>
    <n v="1"/>
    <n v="1"/>
    <n v="1"/>
    <n v="1"/>
    <s v=" "/>
    <s v=" "/>
    <n v="1"/>
    <n v="1"/>
    <s v=" "/>
    <n v="1"/>
    <s v=" "/>
    <s v=" "/>
    <s v=" "/>
    <n v="1"/>
    <s v=" "/>
    <s v=" "/>
    <s v=" "/>
    <s v=" "/>
    <s v=" "/>
    <s v=" "/>
    <s v="30/01/2018"/>
  </r>
  <r>
    <x v="2"/>
    <n v="1"/>
    <x v="0"/>
    <s v="ASF"/>
    <s v="16/01/2018"/>
    <s v="GLM Grille BO"/>
    <s v="Bisiaux Corinne"/>
    <x v="9"/>
    <s v="23703"/>
    <s v="SADOCKI JIMMY"/>
    <n v="100"/>
    <s v="0011298819"/>
    <s v="7"/>
    <s v="Comité externe"/>
    <x v="1"/>
    <s v="NON RECEPTION"/>
    <s v="Distance"/>
    <n v="1"/>
    <s v=" "/>
    <s v=" "/>
    <n v="1"/>
    <n v="1"/>
    <n v="1"/>
    <n v="1"/>
    <s v=" "/>
    <s v=" "/>
    <n v="1"/>
    <n v="1"/>
    <s v=" "/>
    <n v="1"/>
    <s v=" "/>
    <s v=" "/>
    <s v=" "/>
    <s v=" "/>
    <s v=" "/>
    <s v=" "/>
    <s v=" "/>
    <s v=" "/>
    <s v=" "/>
    <s v=" "/>
    <s v="30/01/2018"/>
  </r>
  <r>
    <x v="2"/>
    <n v="1"/>
    <x v="0"/>
    <s v="ASF"/>
    <s v="16/01/2018"/>
    <s v="GLM Grille BO"/>
    <s v="Bisiaux Corinne"/>
    <x v="18"/>
    <s v="25085"/>
    <s v="SADOCKI JIMMY"/>
    <n v="96"/>
    <s v="1836273"/>
    <s v="4"/>
    <s v="Comité externe"/>
    <x v="1"/>
    <s v="CHAD DEFINITIF"/>
    <s v="Distance"/>
    <n v="1"/>
    <n v="1"/>
    <n v="1"/>
    <n v="1"/>
    <n v="0"/>
    <n v="1"/>
    <n v="1"/>
    <s v=" "/>
    <n v="1"/>
    <n v="1"/>
    <n v="1"/>
    <n v="1"/>
    <n v="1"/>
    <n v="1"/>
    <s v=" "/>
    <n v="1"/>
    <s v=" "/>
    <n v="1"/>
    <n v="1"/>
    <s v=" "/>
    <s v=" "/>
    <s v=" "/>
    <s v=" "/>
    <s v="30/01/2018"/>
  </r>
  <r>
    <x v="2"/>
    <n v="1"/>
    <x v="0"/>
    <s v="ASF"/>
    <s v="16/01/2018"/>
    <s v="GLM Grille BO"/>
    <s v="LIGENZA CYNTHIA"/>
    <x v="19"/>
    <s v="23702"/>
    <s v="SADOCKI JIMMY"/>
    <n v="100"/>
    <s v="0002353094"/>
    <s v="6"/>
    <s v="Comité externe"/>
    <x v="1"/>
    <s v="REABONNEMENT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n v="1"/>
    <s v="25/01/2018"/>
  </r>
  <r>
    <x v="2"/>
    <n v="1"/>
    <x v="0"/>
    <s v="ASF"/>
    <s v="16/01/2018"/>
    <s v="GLM Grille BO"/>
    <s v="LIGENZA CYNTHIA"/>
    <x v="17"/>
    <s v="19896"/>
    <s v="SADOCKI JIMMY"/>
    <n v="100"/>
    <s v="10970637"/>
    <s v="1"/>
    <s v="Comité externe"/>
    <x v="1"/>
    <s v="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n v="1"/>
    <s v="30/01/2018"/>
  </r>
  <r>
    <x v="2"/>
    <n v="1"/>
    <x v="0"/>
    <s v="ASF"/>
    <s v="16/01/2018"/>
    <s v="GLM Grille BO"/>
    <s v="LIGENZA CYNTHIA"/>
    <x v="11"/>
    <s v="20994"/>
    <s v="SADOCKI JIMMY"/>
    <n v="100"/>
    <s v="0000102335"/>
    <s v="7"/>
    <s v="Comité externe"/>
    <x v="1"/>
    <s v="CHANGEMENT DE FORMUL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n v="1"/>
    <s v="23/01/2018"/>
  </r>
  <r>
    <x v="2"/>
    <n v="1"/>
    <x v="0"/>
    <s v="ASF"/>
    <s v="16/01/2018"/>
    <s v="GLM Grille BO"/>
    <s v="LIGENZA CYNTHIA"/>
    <x v="11"/>
    <s v="20994"/>
    <s v="SADOCKI JIMMY"/>
    <n v="100"/>
    <s v="0010605342"/>
    <s v="2"/>
    <s v="Comité externe"/>
    <x v="1"/>
    <s v="PB RECEPTION VPC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n v="1"/>
    <n v="1"/>
    <s v="23/01/2018"/>
  </r>
  <r>
    <x v="2"/>
    <n v="1"/>
    <x v="0"/>
    <s v="ASF"/>
    <s v="16/01/2018"/>
    <s v="GLM Grille BO"/>
    <s v="LIGENZA CYNTHIA"/>
    <x v="11"/>
    <s v="20994"/>
    <s v="SADOCKI JIMMY"/>
    <n v="100"/>
    <s v="107883233"/>
    <s v="2"/>
    <s v="Comité externe"/>
    <x v="1"/>
    <s v="PB NAVIGATION WEB"/>
    <s v="Distance"/>
    <n v="1"/>
    <n v="1"/>
    <n v="1"/>
    <n v="1"/>
    <n v="1"/>
    <n v="1"/>
    <n v="1"/>
    <n v="1"/>
    <s v=" "/>
    <n v="1"/>
    <n v="1"/>
    <s v=" "/>
    <n v="1"/>
    <n v="1"/>
    <s v=" "/>
    <n v="1"/>
    <s v=" "/>
    <n v="1"/>
    <n v="1"/>
    <n v="1"/>
    <n v="1"/>
    <s v=" "/>
    <n v="1"/>
    <s v="23/01/2018"/>
  </r>
  <r>
    <x v="2"/>
    <n v="1"/>
    <x v="0"/>
    <s v="ASF"/>
    <s v="16/01/2018"/>
    <s v="GLM Grille BO"/>
    <s v="LUNEAU JULIEN"/>
    <x v="7"/>
    <s v="21893"/>
    <s v="SADOCKI JIMMY"/>
    <n v="100"/>
    <s v="10727605"/>
    <s v="4"/>
    <s v="Comité externe"/>
    <x v="1"/>
    <s v="DEMANDE INFORMATION ABO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n v="1"/>
    <s v="01/02/2018"/>
  </r>
  <r>
    <x v="2"/>
    <n v="1"/>
    <x v="0"/>
    <s v="ASF"/>
    <s v="16/01/2018"/>
    <s v="GLM Grille BO"/>
    <s v="LUNEAU JULIEN"/>
    <x v="20"/>
    <s v="23902"/>
    <s v="SADOCKI JIMMY"/>
    <n v="100"/>
    <s v="0011237148"/>
    <s v="1"/>
    <s v="Comité externe"/>
    <x v="1"/>
    <s v="DEMANDE DE SUSPENS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s v=" "/>
    <n v="1"/>
    <s v="25/01/2018"/>
  </r>
  <r>
    <x v="2"/>
    <n v="1"/>
    <x v="0"/>
    <s v="ASF"/>
    <s v="17/01/2018"/>
    <s v="GLM Grille BO"/>
    <s v="Bisiaux Corinne"/>
    <x v="13"/>
    <s v="24719"/>
    <s v="Bisiaux Corinne"/>
    <n v="100"/>
    <s v=" Satisfaction du service client"/>
    <s v="1"/>
    <s v="Formation"/>
    <x v="0"/>
    <s v="Résiliation  Client-Problème financier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s v=" "/>
    <s v=" "/>
    <s v="19/01/2018"/>
  </r>
  <r>
    <x v="2"/>
    <n v="1"/>
    <x v="0"/>
    <s v="ASF"/>
    <s v="17/01/2018"/>
    <s v="GLM Grille BO"/>
    <s v="Bisiaux Corinne"/>
    <x v="21"/>
    <s v="4594"/>
    <s v="Bisiaux Corinne"/>
    <n v="100"/>
    <s v="0010790901"/>
    <s v="3"/>
    <s v="Formation"/>
    <x v="0"/>
    <s v="Réclamation suite augmentation tarif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30/01/2018"/>
  </r>
  <r>
    <x v="2"/>
    <n v="1"/>
    <x v="0"/>
    <s v="ASF"/>
    <s v="17/01/2018"/>
    <s v="GLM Grille BO"/>
    <s v="LIGENZA CYNTHIA"/>
    <x v="4"/>
    <s v="24754"/>
    <s v="MASCLET ANNIE LAURE"/>
    <n v="100"/>
    <s v="0010702126"/>
    <s v="1"/>
    <s v="Formation"/>
    <x v="1"/>
    <s v=" 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3/01/2018"/>
  </r>
  <r>
    <x v="2"/>
    <n v="1"/>
    <x v="0"/>
    <s v="ASF"/>
    <s v="17/01/2018"/>
    <s v="GLM Grille BO"/>
    <s v="LIGENZA CYNTHIA"/>
    <x v="4"/>
    <s v="24754"/>
    <s v="MASCLET ANNIE LAURE"/>
    <n v="100"/>
    <s v="0010658112"/>
    <s v="1"/>
    <s v="Formation"/>
    <x v="1"/>
    <s v="Procèdure d'annul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3/01/2018"/>
  </r>
  <r>
    <x v="2"/>
    <n v="1"/>
    <x v="0"/>
    <s v="ASF"/>
    <s v="17/01/2018"/>
    <s v="GLM Grille BO"/>
    <s v="LIGENZA CYNTHIA"/>
    <x v="4"/>
    <s v="24754"/>
    <s v="MASCLET ANNIE LAURE"/>
    <n v="100"/>
    <s v="0011289061"/>
    <s v="1"/>
    <s v="Formation"/>
    <x v="1"/>
    <s v="Changement d'adresse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3/01/2018"/>
  </r>
  <r>
    <x v="2"/>
    <n v="1"/>
    <x v="0"/>
    <s v="ASF"/>
    <s v="17/01/2018"/>
    <s v="GLM Grille BO"/>
    <s v="LIGENZA CYNTHIA"/>
    <x v="5"/>
    <s v="22348"/>
    <s v="MASCLET ANNIE LAURE"/>
    <n v="100"/>
    <s v="0011104602"/>
    <s v="2"/>
    <s v="Formation"/>
    <x v="0"/>
    <s v=" Satisfaction du service cli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s v=" "/>
    <s v=" "/>
    <s v=" "/>
    <n v="1"/>
    <s v="23/01/2018"/>
  </r>
  <r>
    <x v="2"/>
    <n v="1"/>
    <x v="0"/>
    <s v="ASF"/>
    <s v="17/01/2018"/>
    <s v="GLM Grille BO"/>
    <s v="LIGENZA CYNTHIA"/>
    <x v="5"/>
    <s v="22348"/>
    <s v="MASCLET ANNIE LAURE"/>
    <n v="100"/>
    <s v="0011261438"/>
    <s v="1"/>
    <s v="Formation"/>
    <x v="0"/>
    <s v="Procèdure d'annulation"/>
    <s v="Distance"/>
    <n v="1"/>
    <n v="1"/>
    <n v="1"/>
    <n v="1"/>
    <n v="1"/>
    <n v="1"/>
    <n v="0"/>
    <s v=" "/>
    <s v=" "/>
    <n v="1"/>
    <n v="1"/>
    <n v="1"/>
    <n v="1"/>
    <n v="1"/>
    <s v=" "/>
    <n v="1"/>
    <n v="1"/>
    <n v="1"/>
    <n v="1"/>
    <n v="1"/>
    <n v="1"/>
    <n v="1"/>
    <n v="1"/>
    <s v="23/01/2018"/>
  </r>
  <r>
    <x v="2"/>
    <n v="1"/>
    <x v="0"/>
    <s v="ASF"/>
    <s v="17/01/2018"/>
    <s v="GLM Grille BO"/>
    <s v="LUNEAU JULIEN"/>
    <x v="10"/>
    <s v="23707"/>
    <s v="LUNEAU JULIEN"/>
    <n v="100"/>
    <s v="0000801140"/>
    <s v="2"/>
    <s v="Supervision"/>
    <x v="0"/>
    <s v="accés 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s v=" "/>
    <s v=" "/>
    <s v=" "/>
    <s v="31/01/2018"/>
  </r>
  <r>
    <x v="3"/>
    <n v="1"/>
    <x v="0"/>
    <s v="ASF"/>
    <s v="22/01/2018"/>
    <s v="GLM Grille BO"/>
    <s v="LIGENZA CYNTHIA"/>
    <x v="14"/>
    <s v="24750"/>
    <s v="MASCLET ANNIE LAURE"/>
    <n v="100"/>
    <s v="0011188636"/>
    <s v="10"/>
    <s v="Formation"/>
    <x v="0"/>
    <s v=" Impayé / rejet pai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30/01/2018"/>
  </r>
  <r>
    <x v="3"/>
    <n v="1"/>
    <x v="0"/>
    <s v="ASF"/>
    <s v="22/01/2018"/>
    <s v="GLM Grille BO"/>
    <s v="LIGENZA CYNTHIA"/>
    <x v="14"/>
    <s v="24750"/>
    <s v="MASCLET ANNIE LAURE"/>
    <n v="100"/>
    <s v="5000808178"/>
    <s v="1"/>
    <s v="Formation"/>
    <x v="0"/>
    <s v="Demande annulation newsletters du Monde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s v=" "/>
    <s v=" "/>
    <s v=" "/>
    <s v=" "/>
    <s v="30/01/2018"/>
  </r>
  <r>
    <x v="3"/>
    <n v="1"/>
    <x v="0"/>
    <s v="ASF"/>
    <s v="22/01/2018"/>
    <s v="GLM Grille BO"/>
    <s v="LIGENZA CYNTHIA"/>
    <x v="17"/>
    <s v="19896"/>
    <s v="MASCLET ANNIE LAURE"/>
    <n v="100"/>
    <s v="10384706"/>
    <s v="1"/>
    <s v="Formation"/>
    <x v="1"/>
    <s v="Procédure d'annul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30/01/2018"/>
  </r>
  <r>
    <x v="3"/>
    <n v="1"/>
    <x v="0"/>
    <s v="ASF"/>
    <s v="22/01/2018"/>
    <s v="GLM Grille BO"/>
    <s v="LUNEAU JULIEN"/>
    <x v="16"/>
    <s v="25755"/>
    <s v="MASCLET ANNIE LAURE"/>
    <n v="100"/>
    <s v="0001340307"/>
    <s v="9"/>
    <s v="Formation"/>
    <x v="1"/>
    <s v=" Demande de facture acquitté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5/01/2018"/>
  </r>
  <r>
    <x v="3"/>
    <n v="1"/>
    <x v="0"/>
    <s v="ASF"/>
    <s v="23/01/2018"/>
    <s v="GLM Grille BO"/>
    <s v="Bisiaux Corinne"/>
    <x v="13"/>
    <s v="24719"/>
    <s v="MASCLET ANNIE LAURE"/>
    <n v="100"/>
    <s v="5004234495"/>
    <s v="3"/>
    <s v="Formation"/>
    <x v="0"/>
    <s v="Reste-Autre motif / Sans motif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s v=" "/>
    <s v=" "/>
    <s v=" "/>
    <s v="30/01/2018"/>
  </r>
  <r>
    <x v="3"/>
    <n v="1"/>
    <x v="0"/>
    <s v="ASF"/>
    <s v="23/01/2018"/>
    <s v="GLM Grille BO"/>
    <s v="Bisiaux Corinne"/>
    <x v="21"/>
    <s v="4594"/>
    <s v="MASCLET ANNIE LAURE"/>
    <n v="100"/>
    <s v="5004234495"/>
    <s v="2"/>
    <s v="Formation"/>
    <x v="0"/>
    <s v="Reste-Procédure d'annulation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30/01/2018"/>
  </r>
  <r>
    <x v="3"/>
    <n v="1"/>
    <x v="0"/>
    <s v="ASF"/>
    <s v="23/01/2018"/>
    <s v="GLM Grille BO"/>
    <s v="LUNEAU JULIEN"/>
    <x v="16"/>
    <s v="25755"/>
    <s v="MASCLET ANNIE LAURE"/>
    <n v="100"/>
    <s v="5004234495"/>
    <s v="1"/>
    <s v="Formation"/>
    <x v="0"/>
    <s v="LAR Demande de résiliation 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5/01/2018"/>
  </r>
  <r>
    <x v="3"/>
    <n v="1"/>
    <x v="0"/>
    <s v="ASF"/>
    <s v="23/01/2018"/>
    <s v="GLM Grille BO"/>
    <s v="LUNEAU JULIEN"/>
    <x v="8"/>
    <s v="9573"/>
    <s v="MASCLET ANNIE LAURE"/>
    <n v="100"/>
    <s v="0011148660"/>
    <s v="1"/>
    <s v="Formation"/>
    <x v="0"/>
    <s v="Nouvelle appli JE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5/01/2018"/>
  </r>
  <r>
    <x v="3"/>
    <n v="1"/>
    <x v="0"/>
    <s v="ASF"/>
    <s v="23/01/2018"/>
    <s v="GLM Grille BO"/>
    <s v="LUNEAU JULIEN"/>
    <x v="8"/>
    <s v="9573"/>
    <s v="MASCLET ANNIE LAURE"/>
    <n v="100"/>
    <s v="0011335389"/>
    <s v="1"/>
    <s v="Formation"/>
    <x v="0"/>
    <s v=" Infos sur articles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n v="1"/>
    <n v="1"/>
    <s v="25/01/2018"/>
  </r>
  <r>
    <x v="3"/>
    <n v="1"/>
    <x v="0"/>
    <s v="ASF"/>
    <s v="23/01/2018"/>
    <s v="GLM Grille BO"/>
    <s v="LUNEAU JULIEN"/>
    <x v="22"/>
    <s v="25546"/>
    <s v="MASCLET ANNIE LAURE"/>
    <n v="100"/>
    <s v="0010906102"/>
    <s v="4"/>
    <s v="Formation"/>
    <x v="2"/>
    <s v="Demande d'abonnement gratuit"/>
    <s v="Distance"/>
    <n v="1"/>
    <s v=" "/>
    <s v=" "/>
    <n v="1"/>
    <n v="1"/>
    <n v="1"/>
    <n v="1"/>
    <s v=" "/>
    <n v="1"/>
    <n v="1"/>
    <n v="1"/>
    <n v="1"/>
    <n v="1"/>
    <s v=" "/>
    <s v=" "/>
    <s v=" "/>
    <n v="1"/>
    <s v=" "/>
    <s v=" "/>
    <s v=" "/>
    <s v=" "/>
    <s v=" "/>
    <s v=" "/>
    <s v="31/01/2018"/>
  </r>
  <r>
    <x v="3"/>
    <n v="1"/>
    <x v="0"/>
    <s v="ASF"/>
    <s v="24/01/2018"/>
    <s v="GLM Grille BO"/>
    <s v="LUNEAU JULIEN"/>
    <x v="20"/>
    <s v="23902"/>
    <s v="LUNEAU JULIEN"/>
    <n v="100"/>
    <s v="0010988467"/>
    <s v="1"/>
    <s v="Supervision"/>
    <x v="1"/>
    <s v="résilia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25/01/2018"/>
  </r>
  <r>
    <x v="4"/>
    <n v="1"/>
    <x v="0"/>
    <s v="ASF"/>
    <s v="29/01/2018"/>
    <s v="GLM Grille BO"/>
    <s v="Bisiaux Corinne"/>
    <x v="13"/>
    <s v="24719"/>
    <s v="GENGEMBRE MAGALIE"/>
    <n v="83.582089552238813"/>
    <s v="5003406247"/>
    <s v="15"/>
    <s v="Controleur"/>
    <x v="0"/>
    <s v="rétention LMFR "/>
    <s v="Distance"/>
    <n v="1"/>
    <s v=" "/>
    <n v="1"/>
    <n v="1"/>
    <n v="1"/>
    <n v="1"/>
    <n v="1"/>
    <s v=" "/>
    <s v=" "/>
    <n v="1"/>
    <n v="1"/>
    <n v="1"/>
    <n v="0"/>
    <s v=" "/>
    <s v=" "/>
    <s v=" "/>
    <n v="1"/>
    <s v=" "/>
    <s v=" "/>
    <s v=" "/>
    <s v=" "/>
    <s v=" "/>
    <s v=" "/>
    <s v="30/01/2018"/>
  </r>
  <r>
    <x v="4"/>
    <n v="1"/>
    <x v="0"/>
    <s v="ASF"/>
    <s v="29/01/2018"/>
    <s v="GLM Grille BO"/>
    <s v="Bisiaux Corinne"/>
    <x v="21"/>
    <s v="4594"/>
    <s v="GENGEMBRE MAGALIE"/>
    <n v="78"/>
    <s v="0011331779"/>
    <s v="1"/>
    <s v="Controleur"/>
    <x v="0"/>
    <s v="souscription abo "/>
    <s v="Distance"/>
    <n v="0"/>
    <n v="1"/>
    <n v="1"/>
    <n v="1"/>
    <n v="1"/>
    <n v="1"/>
    <n v="1"/>
    <s v=" "/>
    <s v=" "/>
    <n v="1"/>
    <n v="1"/>
    <n v="0"/>
    <n v="1"/>
    <n v="1"/>
    <s v=" "/>
    <n v="1"/>
    <s v=" "/>
    <n v="1"/>
    <n v="1"/>
    <n v="1"/>
    <s v=" "/>
    <s v=" "/>
    <s v=" "/>
    <s v="30/01/2018"/>
  </r>
  <r>
    <x v="4"/>
    <n v="1"/>
    <x v="0"/>
    <s v="ASF"/>
    <s v="29/01/2018"/>
    <s v="GLM Grille BO"/>
    <s v="Bisiaux Corinne"/>
    <x v="23"/>
    <s v="6464"/>
    <s v="GENGEMBRE MAGALIE"/>
    <n v="96"/>
    <s v="5000709320"/>
    <s v="8"/>
    <s v="Controleur"/>
    <x v="0"/>
    <s v="connexion appli "/>
    <s v="Distance"/>
    <n v="1"/>
    <n v="1"/>
    <n v="1"/>
    <n v="1"/>
    <n v="0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30/01/2018"/>
  </r>
  <r>
    <x v="4"/>
    <n v="1"/>
    <x v="0"/>
    <s v="ASF"/>
    <s v="29/01/2018"/>
    <s v="GLM Grille BO"/>
    <s v="Bisiaux Corinne"/>
    <x v="23"/>
    <s v="6464"/>
    <s v="GENGEMBRE MAGALIE"/>
    <n v="100"/>
    <s v="0011326799"/>
    <s v="2"/>
    <s v="Controleur"/>
    <x v="0"/>
    <s v="résiliation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30/01/2018"/>
  </r>
  <r>
    <x v="4"/>
    <n v="1"/>
    <x v="0"/>
    <s v="ASF"/>
    <s v="29/01/2018"/>
    <s v="GLM Grille BO"/>
    <s v="Bisiaux Corinne"/>
    <x v="2"/>
    <s v="23979"/>
    <s v="GENGEMBRE MAGALIE"/>
    <n v="100"/>
    <s v="5000973025"/>
    <s v="1"/>
    <s v="Controleur"/>
    <x v="0"/>
    <s v="connexion appli La Matinale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30/01/2018"/>
  </r>
  <r>
    <x v="4"/>
    <n v="1"/>
    <x v="0"/>
    <s v="ASF"/>
    <s v="29/01/2018"/>
    <s v="GLM Grille BO"/>
    <s v="LIGENZA CYNTHIA"/>
    <x v="14"/>
    <s v="24750"/>
    <s v="GENGEMBRE MAGALIE"/>
    <n v="100"/>
    <s v="0011106318"/>
    <s v="1"/>
    <s v="Controleur"/>
    <x v="0"/>
    <s v="augmentation tarifaire "/>
    <s v="Distance"/>
    <n v="1"/>
    <n v="1"/>
    <n v="1"/>
    <n v="1"/>
    <n v="1"/>
    <n v="1"/>
    <n v="1"/>
    <n v="1"/>
    <s v=" "/>
    <n v="1"/>
    <n v="1"/>
    <n v="1"/>
    <n v="1"/>
    <n v="1"/>
    <s v=" "/>
    <n v="1"/>
    <s v=" "/>
    <n v="1"/>
    <n v="1"/>
    <n v="1"/>
    <s v=" "/>
    <s v=" "/>
    <s v=" "/>
    <s v="30/01/2018"/>
  </r>
  <r>
    <x v="4"/>
    <n v="1"/>
    <x v="0"/>
    <s v="ASF"/>
    <s v="29/01/2018"/>
    <s v="GLM Grille BO"/>
    <s v="LIGENZA CYNTHIA"/>
    <x v="5"/>
    <s v="22348"/>
    <s v="GENGEMBRE MAGALIE"/>
    <n v="96"/>
    <s v="5001918777"/>
    <s v="23"/>
    <s v="Controleur"/>
    <x v="0"/>
    <s v="appli "/>
    <s v="Distance"/>
    <n v="1"/>
    <n v="1"/>
    <n v="1"/>
    <n v="1"/>
    <n v="0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30/01/2018"/>
  </r>
  <r>
    <x v="4"/>
    <n v="1"/>
    <x v="0"/>
    <s v="ASF"/>
    <s v="29/01/2018"/>
    <s v="GLM Grille BO"/>
    <s v="LIGENZA CYNTHIA"/>
    <x v="5"/>
    <s v="22348"/>
    <s v="LIGENZA CYNTHIA"/>
    <n v="96"/>
    <s v="0000221625"/>
    <s v="15"/>
    <s v="Controleur"/>
    <x v="0"/>
    <s v="appli JE "/>
    <s v="Distance"/>
    <n v="1"/>
    <n v="1"/>
    <n v="1"/>
    <n v="1"/>
    <n v="0"/>
    <n v="1"/>
    <n v="1"/>
    <n v="1"/>
    <s v=" "/>
    <n v="1"/>
    <n v="1"/>
    <n v="1"/>
    <n v="1"/>
    <n v="1"/>
    <s v=" "/>
    <n v="1"/>
    <s v=" "/>
    <n v="1"/>
    <n v="1"/>
    <n v="1"/>
    <s v=" "/>
    <s v=" "/>
    <s v=" "/>
    <s v="30/01/2018"/>
  </r>
  <r>
    <x v="4"/>
    <n v="1"/>
    <x v="0"/>
    <s v="ASF"/>
    <s v="29/01/2018"/>
    <s v="GLM Grille BO"/>
    <s v="LUNEAU JULIEN"/>
    <x v="6"/>
    <s v="16209"/>
    <s v="GENGEMBRE MAGALIE"/>
    <n v="100"/>
    <s v="5000537971"/>
    <s v="36"/>
    <s v="Controleur"/>
    <x v="0"/>
    <s v="newsletters "/>
    <s v="Distance"/>
    <n v="1"/>
    <n v="1"/>
    <n v="1"/>
    <n v="1"/>
    <n v="1"/>
    <n v="1"/>
    <n v="1"/>
    <n v="1"/>
    <s v=" "/>
    <n v="1"/>
    <n v="1"/>
    <n v="1"/>
    <n v="1"/>
    <n v="1"/>
    <s v=" "/>
    <n v="1"/>
    <s v=" "/>
    <n v="1"/>
    <n v="1"/>
    <n v="1"/>
    <s v=" "/>
    <s v=" "/>
    <s v=" "/>
    <s v="01/02/2018"/>
  </r>
  <r>
    <x v="4"/>
    <n v="1"/>
    <x v="0"/>
    <s v="ASF"/>
    <s v="29/01/2018"/>
    <s v="GLM Grille BO"/>
    <s v="LUNEAU JULIEN"/>
    <x v="12"/>
    <s v="25258"/>
    <s v="GENGEMBRE MAGALIE"/>
    <n v="96"/>
    <s v="5000671544"/>
    <s v="10"/>
    <s v="Controleur"/>
    <x v="0"/>
    <s v="MAJ coordonnés bancaires "/>
    <s v="Distance"/>
    <n v="1"/>
    <n v="1"/>
    <n v="1"/>
    <n v="1"/>
    <n v="0"/>
    <n v="1"/>
    <n v="1"/>
    <n v="1"/>
    <s v=" "/>
    <n v="1"/>
    <n v="1"/>
    <n v="1"/>
    <n v="1"/>
    <n v="1"/>
    <s v=" "/>
    <n v="1"/>
    <s v=" "/>
    <n v="1"/>
    <n v="1"/>
    <n v="1"/>
    <s v=" "/>
    <s v=" "/>
    <s v=" "/>
    <s v="31/01/2018"/>
  </r>
  <r>
    <x v="4"/>
    <n v="1"/>
    <x v="0"/>
    <s v="ASF"/>
    <s v="29/01/2018"/>
    <s v="GLM Grille BO"/>
    <s v="LUNEAU JULIEN"/>
    <x v="8"/>
    <s v="9573"/>
    <s v="GENGEMBRE MAGALIE"/>
    <n v="100"/>
    <s v="5000674294"/>
    <s v="9"/>
    <s v="Controleur"/>
    <x v="0"/>
    <s v="demande facture 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n v="1"/>
    <n v="1"/>
    <s v=" "/>
    <s v=" "/>
    <s v=" "/>
    <s v="31/01/2018"/>
  </r>
  <r>
    <x v="4"/>
    <n v="2"/>
    <x v="1"/>
    <s v="ASF"/>
    <s v="01/02/2018"/>
    <s v="GLM Grille BO"/>
    <s v="Bisiaux Corinne"/>
    <x v="1"/>
    <s v="21330"/>
    <s v="MASCLET ANNIE LAURE"/>
    <n v="97"/>
    <s v="5004088847"/>
    <s v="8"/>
    <s v="Comité externe"/>
    <x v="2"/>
    <s v="Demande de facture acquittée"/>
    <s v="Distance"/>
    <n v="1"/>
    <n v="1"/>
    <n v="1"/>
    <n v="1"/>
    <n v="1"/>
    <n v="1"/>
    <n v="1"/>
    <s v=" "/>
    <n v="0"/>
    <n v="1"/>
    <n v="1"/>
    <n v="1"/>
    <n v="1"/>
    <n v="1"/>
    <s v=" "/>
    <n v="1"/>
    <s v=" "/>
    <n v="1"/>
    <n v="1"/>
    <s v=" "/>
    <s v=" "/>
    <s v=" "/>
    <s v=" "/>
    <s v="06/02/2018"/>
  </r>
  <r>
    <x v="4"/>
    <n v="2"/>
    <x v="1"/>
    <s v="ASF"/>
    <s v="01/02/2018"/>
    <s v="GLM Grille BO"/>
    <s v="Bisiaux Corinne"/>
    <x v="23"/>
    <s v="6464"/>
    <s v="MASCLET ANNIE LAURE"/>
    <n v="100"/>
    <s v="0000677347"/>
    <s v="7"/>
    <s v="Comité externe"/>
    <x v="0"/>
    <s v="Confirmation de changement de formule d'abonnement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06/02/2018"/>
  </r>
  <r>
    <x v="4"/>
    <n v="2"/>
    <x v="1"/>
    <s v="ASF"/>
    <s v="01/02/2018"/>
    <s v="GLM Grille BO"/>
    <s v="Bisiaux Corinne"/>
    <x v="23"/>
    <s v="6464"/>
    <s v="MASCLET ANNIE LAURE"/>
    <n v="100"/>
    <s v="1710090"/>
    <s v="10"/>
    <s v="Comité externe"/>
    <x v="0"/>
    <s v="Confirmation de changement de formule d'abonn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6/02/2018"/>
  </r>
  <r>
    <x v="4"/>
    <n v="2"/>
    <x v="1"/>
    <s v="ASF"/>
    <s v="01/02/2018"/>
    <s v="GLM Grille BO"/>
    <s v="Bisiaux Corinne"/>
    <x v="23"/>
    <s v="6464"/>
    <s v="LUNEAU JULIEN"/>
    <n v="100"/>
    <s v="11343252"/>
    <s v="1"/>
    <s v="Comité externe"/>
    <x v="0"/>
    <s v="Demande de tarifs / devis"/>
    <s v="Distance"/>
    <n v="1"/>
    <n v="1"/>
    <s v=" "/>
    <n v="1"/>
    <n v="1"/>
    <n v="1"/>
    <n v="1"/>
    <s v=" "/>
    <n v="1"/>
    <n v="1"/>
    <n v="1"/>
    <s v=" "/>
    <n v="1"/>
    <n v="1"/>
    <s v=" "/>
    <n v="1"/>
    <n v="1"/>
    <n v="1"/>
    <n v="1"/>
    <n v="1"/>
    <s v=" "/>
    <s v=" "/>
    <s v=" "/>
    <s v="06/02/2018"/>
  </r>
  <r>
    <x v="4"/>
    <n v="2"/>
    <x v="1"/>
    <s v="ASF"/>
    <s v="01/02/2018"/>
    <s v="GLM Grille BO"/>
    <s v="Bisiaux Corinne"/>
    <x v="2"/>
    <s v="23979"/>
    <s v="MASCLET ANNIE LAURE"/>
    <n v="100"/>
    <s v="0011343249"/>
    <s v="1"/>
    <s v="Comité externe"/>
    <x v="0"/>
    <s v="Information prélèvement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06/02/2018"/>
  </r>
  <r>
    <x v="4"/>
    <n v="2"/>
    <x v="1"/>
    <s v="ASF"/>
    <s v="01/02/2018"/>
    <s v="GLM Grille BO"/>
    <s v="Bisiaux Corinne"/>
    <x v="2"/>
    <s v="23979"/>
    <s v="MASCLET ANNIE LAURE"/>
    <n v="100"/>
    <s v="5001870191"/>
    <s v="2"/>
    <s v="Comité externe"/>
    <x v="0"/>
    <s v="Gestion compte inscri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s v=" "/>
    <s v=" "/>
    <s v=" "/>
    <s v=" "/>
    <s v="07/02/2018"/>
  </r>
  <r>
    <x v="4"/>
    <n v="2"/>
    <x v="1"/>
    <s v="ASF"/>
    <s v="01/02/2018"/>
    <s v="GLM Grille BO"/>
    <s v="LIGENZA CYNTHIA"/>
    <x v="24"/>
    <s v="25088"/>
    <s v="LUNEAU JULIEN"/>
    <n v="81"/>
    <s v="3104385"/>
    <s v="60"/>
    <s v="Comité externe"/>
    <x v="2"/>
    <s v="Dit avoir payé avec justif"/>
    <s v="Distance"/>
    <n v="1"/>
    <n v="1"/>
    <n v="0"/>
    <n v="1"/>
    <n v="1"/>
    <n v="1"/>
    <n v="1"/>
    <s v=" "/>
    <s v=" "/>
    <n v="1"/>
    <n v="1"/>
    <n v="0"/>
    <n v="1"/>
    <n v="1"/>
    <s v=" "/>
    <n v="1"/>
    <s v=" "/>
    <n v="1"/>
    <n v="1"/>
    <n v="1"/>
    <s v=" "/>
    <s v=" "/>
    <s v=" "/>
    <s v="06/02/2018"/>
  </r>
  <r>
    <x v="4"/>
    <n v="2"/>
    <x v="1"/>
    <s v="ASF"/>
    <s v="01/02/2018"/>
    <s v="GLM Grille BO"/>
    <s v="LIGENZA CYNTHIA"/>
    <x v="5"/>
    <s v="22348"/>
    <s v="MASCLET ANNIE LAURE"/>
    <n v="100"/>
    <s v="5001768764"/>
    <s v="6"/>
    <s v="Comité externe"/>
    <x v="0"/>
    <s v="Modification des coordonnées bancaires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06/02/2018"/>
  </r>
  <r>
    <x v="4"/>
    <n v="2"/>
    <x v="1"/>
    <s v="ASF"/>
    <s v="01/02/2018"/>
    <s v="GLM Grille BO"/>
    <s v="LIGENZA CYNTHIA"/>
    <x v="25"/>
    <s v="25090"/>
    <s v="MASCLET ANNIE LAURE"/>
    <n v="85.04"/>
    <s v="2981201"/>
    <s v="27"/>
    <s v="Comité externe"/>
    <x v="2"/>
    <s v=" Portage en Province "/>
    <s v="Distance"/>
    <n v="1"/>
    <n v="1"/>
    <n v="1"/>
    <n v="1"/>
    <n v="1"/>
    <n v="1"/>
    <n v="1"/>
    <s v=" "/>
    <n v="1"/>
    <n v="1"/>
    <n v="1"/>
    <n v="1"/>
    <n v="0"/>
    <n v="1"/>
    <s v=" "/>
    <n v="1"/>
    <n v="1"/>
    <n v="1"/>
    <n v="1"/>
    <n v="0"/>
    <s v=" "/>
    <s v=" "/>
    <s v=" "/>
    <m/>
  </r>
  <r>
    <x v="4"/>
    <n v="2"/>
    <x v="1"/>
    <s v="ASF"/>
    <s v="01/02/2018"/>
    <s v="GLM Grille BO"/>
    <s v="LUNEAU JULIEN"/>
    <x v="6"/>
    <s v="16209"/>
    <s v="LUNEAU JULIEN"/>
    <n v="100"/>
    <s v="11163848"/>
    <s v="5"/>
    <s v="Comité externe"/>
    <x v="0"/>
    <s v=" Impayé / rejet paiement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06/02/2018"/>
  </r>
  <r>
    <x v="4"/>
    <n v="2"/>
    <x v="1"/>
    <s v="ASF"/>
    <s v="01/02/2018"/>
    <s v="GLM Grille BO"/>
    <s v="LUNEAU JULIEN"/>
    <x v="6"/>
    <s v="16209"/>
    <s v="LUNEAU JULIEN"/>
    <n v="100"/>
    <s v="10886996"/>
    <s v="5"/>
    <s v="Comité externe"/>
    <x v="0"/>
    <s v="Présentation formules d'abonnement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s v=" "/>
    <s v=" "/>
    <s v=" "/>
    <n v="1"/>
    <s v="06/02/2018"/>
  </r>
  <r>
    <x v="4"/>
    <n v="2"/>
    <x v="1"/>
    <s v="ASF"/>
    <s v="01/02/2018"/>
    <s v="GLM Grille BO"/>
    <s v="LUNEAU JULIEN"/>
    <x v="8"/>
    <s v="9573"/>
    <s v="MASCLET ANNIE LAURE"/>
    <n v="100"/>
    <s v="10962906"/>
    <s v="1"/>
    <s v="Comité externe"/>
    <x v="0"/>
    <s v="Problème d'identification appli lemonde.fr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07/02/2018"/>
  </r>
  <r>
    <x v="4"/>
    <n v="2"/>
    <x v="1"/>
    <s v="ASF"/>
    <s v="01/02/2018"/>
    <s v="GLM Grille BO"/>
    <s v="LUNEAU JULIEN"/>
    <x v="26"/>
    <s v="25084"/>
    <s v="MASCLET ANNIE LAURE"/>
    <n v="100"/>
    <s v="11343408"/>
    <s v="1"/>
    <s v="Comité externe"/>
    <x v="2"/>
    <s v="Enregistrement d'une commande VPC"/>
    <s v="Distance"/>
    <n v="1"/>
    <n v="1"/>
    <n v="1"/>
    <n v="1"/>
    <n v="1"/>
    <n v="1"/>
    <n v="1"/>
    <s v=" "/>
    <n v="1"/>
    <n v="1"/>
    <n v="1"/>
    <n v="1"/>
    <n v="1"/>
    <n v="1"/>
    <s v=" "/>
    <s v=" "/>
    <s v=" "/>
    <n v="1"/>
    <s v=" "/>
    <n v="1"/>
    <s v=" "/>
    <s v=" "/>
    <s v=" "/>
    <s v="06/02/2018"/>
  </r>
  <r>
    <x v="4"/>
    <n v="2"/>
    <x v="1"/>
    <s v="ASF"/>
    <s v="01/02/2018"/>
    <s v="GLM Grille BO"/>
    <s v="LUNEAU JULIEN"/>
    <x v="26"/>
    <s v="25084"/>
    <s v="MASCLET ANNIE LAURE"/>
    <n v="100"/>
    <s v="11335684"/>
    <s v="2"/>
    <s v="Comité externe"/>
    <x v="2"/>
    <s v="Enregistrement d'une commande VPC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06/02/2018"/>
  </r>
  <r>
    <x v="4"/>
    <n v="2"/>
    <x v="1"/>
    <s v="ASF"/>
    <s v="01/02/2018"/>
    <s v="GLM Grille BO"/>
    <s v="LUNEAU JULIEN"/>
    <x v="26"/>
    <s v="25084"/>
    <s v="MASCLET ANNIE LAURE"/>
    <n v="100"/>
    <s v="10367997"/>
    <s v="27"/>
    <s v="Comité externe"/>
    <x v="2"/>
    <s v="Demande de facture acquittée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s v=" "/>
    <s v=" "/>
    <s v="06/02/2018"/>
  </r>
  <r>
    <x v="5"/>
    <n v="2"/>
    <x v="1"/>
    <s v="ASF"/>
    <s v="05/02/2018"/>
    <s v="GLM Grille BO"/>
    <s v="Bisiaux Corinne"/>
    <x v="27"/>
    <s v="3629"/>
    <s v="Bisiaux Corinne"/>
    <n v="100"/>
    <s v="0000383581"/>
    <s v="44"/>
    <s v="Supervision"/>
    <x v="2"/>
    <s v="NON RECEPETION 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s v=" "/>
    <s v=" "/>
    <s v="06/02/2018"/>
  </r>
  <r>
    <x v="5"/>
    <n v="2"/>
    <x v="1"/>
    <s v="ASF"/>
    <s v="05/02/2018"/>
    <s v="GLM Grille BO"/>
    <s v="Bisiaux Corinne"/>
    <x v="27"/>
    <s v="3629"/>
    <s v="Bisiaux Corinne"/>
    <n v="100"/>
    <s v="0011302122"/>
    <s v="2"/>
    <s v="Supervision"/>
    <x v="2"/>
    <s v="DEMANDE DE FACTURE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n v="1"/>
    <n v="1"/>
    <s v=" "/>
    <s v=" "/>
    <s v=" "/>
    <s v="06/02/2018"/>
  </r>
  <r>
    <x v="5"/>
    <n v="2"/>
    <x v="1"/>
    <s v="ASF"/>
    <s v="06/02/2018"/>
    <s v="GLM Grille BO"/>
    <s v="Bisiaux Corinne"/>
    <x v="0"/>
    <s v="21891"/>
    <s v="GENGEMBRE MAGALIE"/>
    <n v="100"/>
    <s v="5002839308"/>
    <s v="4"/>
    <s v="Controleur"/>
    <x v="0"/>
    <s v="achat à l'unité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15/02/2018"/>
  </r>
  <r>
    <x v="5"/>
    <n v="2"/>
    <x v="1"/>
    <s v="ASF"/>
    <s v="06/02/2018"/>
    <s v="GLM Grille BO"/>
    <s v="Bisiaux Corinne"/>
    <x v="13"/>
    <s v="24719"/>
    <s v="GENGEMBRE MAGALIE"/>
    <n v="94"/>
    <s v="5003912190"/>
    <s v="7"/>
    <s v="Controleur"/>
    <x v="0"/>
    <m/>
    <s v="Distance"/>
    <n v="0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21/02/2018"/>
  </r>
  <r>
    <x v="5"/>
    <n v="2"/>
    <x v="1"/>
    <s v="ASF"/>
    <s v="06/02/2018"/>
    <s v="GLM Grille BO"/>
    <s v="Bisiaux Corinne"/>
    <x v="13"/>
    <s v="24719"/>
    <s v="GENGEMBRE MAGALIE"/>
    <n v="97"/>
    <s v="0011010343"/>
    <s v="2"/>
    <s v="Controleur"/>
    <x v="0"/>
    <s v="résiliation "/>
    <s v="Distance"/>
    <n v="1"/>
    <n v="1"/>
    <n v="1"/>
    <n v="1"/>
    <n v="1"/>
    <n v="1"/>
    <n v="1"/>
    <n v="1"/>
    <s v=" "/>
    <n v="1"/>
    <n v="1"/>
    <n v="1"/>
    <n v="1"/>
    <n v="1"/>
    <n v="1"/>
    <n v="1"/>
    <n v="0"/>
    <n v="1"/>
    <n v="1"/>
    <n v="1"/>
    <s v=" "/>
    <s v=" "/>
    <s v=" "/>
    <s v="21/02/2018"/>
  </r>
  <r>
    <x v="5"/>
    <n v="2"/>
    <x v="1"/>
    <s v="ASF"/>
    <s v="06/02/2018"/>
    <s v="GLM Grille BO"/>
    <s v="Bisiaux Corinne"/>
    <x v="21"/>
    <s v="4594"/>
    <s v="GENGEMBRE MAGALIE"/>
    <n v="100"/>
    <s v="5002355895"/>
    <s v="3"/>
    <s v="Controleur"/>
    <x v="0"/>
    <s v="rétention "/>
    <s v="Distance"/>
    <n v="1"/>
    <n v="1"/>
    <n v="1"/>
    <n v="1"/>
    <n v="1"/>
    <n v="1"/>
    <n v="1"/>
    <n v="1"/>
    <s v=" "/>
    <n v="1"/>
    <n v="1"/>
    <n v="1"/>
    <n v="1"/>
    <n v="1"/>
    <s v=" "/>
    <n v="1"/>
    <s v=" "/>
    <n v="1"/>
    <n v="1"/>
    <n v="1"/>
    <s v=" "/>
    <s v=" "/>
    <s v=" "/>
    <s v="20/02/2018"/>
  </r>
  <r>
    <x v="5"/>
    <n v="2"/>
    <x v="1"/>
    <s v="ASF"/>
    <s v="06/02/2018"/>
    <s v="GLM Grille BO"/>
    <s v="Bisiaux Corinne"/>
    <x v="21"/>
    <s v="4594"/>
    <s v="Bisiaux Corinne"/>
    <n v="100"/>
    <s v="0011346316"/>
    <s v="1"/>
    <s v="Controleur"/>
    <x v="0"/>
    <s v="résiliation "/>
    <s v="Distance"/>
    <n v="1"/>
    <n v="1"/>
    <n v="1"/>
    <n v="1"/>
    <n v="1"/>
    <n v="1"/>
    <n v="1"/>
    <n v="1"/>
    <s v=" "/>
    <n v="1"/>
    <n v="1"/>
    <n v="1"/>
    <s v=" "/>
    <n v="1"/>
    <s v=" "/>
    <n v="1"/>
    <s v=" "/>
    <n v="1"/>
    <n v="1"/>
    <n v="1"/>
    <s v=" "/>
    <s v=" "/>
    <s v=" "/>
    <s v="20/02/2018"/>
  </r>
  <r>
    <x v="5"/>
    <n v="2"/>
    <x v="1"/>
    <s v="ASF"/>
    <s v="06/02/2018"/>
    <s v="GLM Grille BO"/>
    <s v="Bisiaux Corinne"/>
    <x v="23"/>
    <s v="6464"/>
    <s v="MASCLET ANNIE LAURE"/>
    <n v="100"/>
    <s v="11339671"/>
    <s v="1"/>
    <s v="Comité externe"/>
    <x v="0"/>
    <s v="Confirmation abo/réabo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06/02/2018"/>
  </r>
  <r>
    <x v="5"/>
    <n v="2"/>
    <x v="1"/>
    <s v="ASF"/>
    <s v="06/02/2018"/>
    <s v="GLM Grille BO"/>
    <s v="Bisiaux Corinne"/>
    <x v="2"/>
    <s v="23979"/>
    <s v="GENGEMBRE MAGALIE"/>
    <n v="98"/>
    <s v="5003441712"/>
    <s v="8"/>
    <s v="Controleur"/>
    <x v="0"/>
    <s v="rétention"/>
    <s v="Distance"/>
    <n v="1"/>
    <n v="1"/>
    <s v=" "/>
    <n v="1"/>
    <n v="1"/>
    <n v="1"/>
    <n v="1"/>
    <n v="1"/>
    <n v="1"/>
    <n v="1"/>
    <n v="1"/>
    <n v="1"/>
    <n v="1"/>
    <n v="1"/>
    <s v=" "/>
    <n v="1"/>
    <n v="0"/>
    <n v="1"/>
    <n v="1"/>
    <n v="1"/>
    <s v=" "/>
    <s v=" "/>
    <s v=" "/>
    <s v="21/02/2018"/>
  </r>
  <r>
    <x v="5"/>
    <n v="2"/>
    <x v="1"/>
    <s v="ASF"/>
    <s v="06/02/2018"/>
    <s v="GLM Grille BO"/>
    <s v="Bisiaux Corinne"/>
    <x v="2"/>
    <s v="23979"/>
    <s v="GENGEMBRE MAGALIE"/>
    <n v="100"/>
    <s v="5003059417"/>
    <s v="1"/>
    <s v="Controleur"/>
    <x v="0"/>
    <s v="nvle appli JE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21/02/2018"/>
  </r>
  <r>
    <x v="5"/>
    <n v="2"/>
    <x v="1"/>
    <s v="ASF"/>
    <s v="06/02/2018"/>
    <s v="GLM Grille BO"/>
    <s v="LIGENZA CYNTHIA"/>
    <x v="14"/>
    <s v="24750"/>
    <s v="GENGEMBRE MAGALIE"/>
    <n v="97"/>
    <s v="0003041134"/>
    <s v="6"/>
    <s v="Controleur"/>
    <x v="0"/>
    <s v="connexion"/>
    <s v="Distance"/>
    <n v="1"/>
    <n v="1"/>
    <n v="1"/>
    <n v="1"/>
    <n v="1"/>
    <n v="1"/>
    <n v="1"/>
    <n v="1"/>
    <s v=" "/>
    <n v="1"/>
    <n v="1"/>
    <n v="1"/>
    <n v="1"/>
    <n v="1"/>
    <n v="1"/>
    <n v="1"/>
    <n v="0"/>
    <n v="1"/>
    <n v="1"/>
    <n v="1"/>
    <s v=" "/>
    <s v=" "/>
    <s v=" "/>
    <s v="21/02/2018"/>
  </r>
  <r>
    <x v="5"/>
    <n v="2"/>
    <x v="1"/>
    <s v="ASF"/>
    <s v="06/02/2018"/>
    <s v="GLM Grille BO"/>
    <s v="LIGENZA CYNTHIA"/>
    <x v="14"/>
    <s v="24750"/>
    <s v="GENGEMBRE MAGALIE"/>
    <n v="100"/>
    <s v="5000455344"/>
    <s v="3"/>
    <s v="Controleur"/>
    <x v="0"/>
    <s v="suppression compte inscrit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21/02/2018"/>
  </r>
  <r>
    <x v="5"/>
    <n v="2"/>
    <x v="1"/>
    <s v="ASF"/>
    <s v="06/02/2018"/>
    <s v="GLM Grille BO"/>
    <s v="LUNEAU JULIEN"/>
    <x v="6"/>
    <s v="16209"/>
    <s v="GENGEMBRE MAGALIE"/>
    <n v="98"/>
    <s v="0011142393"/>
    <s v="8"/>
    <s v="Controleur"/>
    <x v="0"/>
    <s v="résil iTunes"/>
    <s v="Distance"/>
    <n v="1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1"/>
    <s v=" "/>
    <s v=" "/>
    <s v=" "/>
    <s v="06/02/2018"/>
  </r>
  <r>
    <x v="5"/>
    <n v="2"/>
    <x v="1"/>
    <s v="ASF"/>
    <s v="06/02/2018"/>
    <s v="GLM Grille BO"/>
    <s v="LUNEAU JULIEN"/>
    <x v="6"/>
    <s v="16209"/>
    <s v="LUNEAU JULIEN"/>
    <n v="100"/>
    <s v="0011332499"/>
    <m/>
    <s v="Supervision"/>
    <x v="0"/>
    <s v="resilia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06/02/2018"/>
  </r>
  <r>
    <x v="5"/>
    <n v="2"/>
    <x v="1"/>
    <s v="ASF"/>
    <s v="06/02/2018"/>
    <s v="GLM Grille BO"/>
    <s v="LUNEAU JULIEN"/>
    <x v="15"/>
    <s v="25257"/>
    <s v="GENGEMBRE MAGALIE"/>
    <n v="93.4"/>
    <s v="0010958518"/>
    <s v="1"/>
    <s v="Controleur"/>
    <x v="0"/>
    <s v="activation iTunes "/>
    <s v="Distance"/>
    <n v="1"/>
    <n v="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s v=" "/>
    <s v=" "/>
    <s v="22/02/2018"/>
  </r>
  <r>
    <x v="5"/>
    <n v="2"/>
    <x v="1"/>
    <s v="ASF"/>
    <s v="06/02/2018"/>
    <s v="GLM Grille BO"/>
    <s v="LUNEAU JULIEN"/>
    <x v="15"/>
    <s v="25257"/>
    <s v="GENGEMBRE MAGALIE"/>
    <n v="100"/>
    <s v="0011224258"/>
    <s v="1"/>
    <s v="Controleur"/>
    <x v="0"/>
    <s v="rétention"/>
    <s v="Distance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"/>
    <s v=" "/>
    <s v=" "/>
    <s v=" "/>
    <s v="22/02/2018"/>
  </r>
  <r>
    <x v="5"/>
    <n v="2"/>
    <x v="1"/>
    <s v="ASF"/>
    <s v="06/02/2018"/>
    <s v="GLM Grille BO"/>
    <s v="LUNEAU JULIEN"/>
    <x v="8"/>
    <s v="9573"/>
    <s v="GENGEMBRE MAGALIE"/>
    <n v="100"/>
    <s v="5000182322"/>
    <s v="17"/>
    <s v="Controleur"/>
    <x v="0"/>
    <s v="remarque appli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07/02/2018"/>
  </r>
  <r>
    <x v="5"/>
    <n v="2"/>
    <x v="1"/>
    <s v="ASF"/>
    <s v="06/02/2018"/>
    <s v="GLM Grille BO"/>
    <s v="LUNEAU JULIEN"/>
    <x v="8"/>
    <s v="9573"/>
    <s v="GENGEMBRE MAGALIE"/>
    <n v="100"/>
    <s v="0011268817"/>
    <s v="6"/>
    <s v="Controleur"/>
    <x v="0"/>
    <s v="changement de formule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07/02/2018"/>
  </r>
  <r>
    <x v="5"/>
    <n v="2"/>
    <x v="1"/>
    <s v="ASF"/>
    <s v="08/02/2018"/>
    <s v="GLM Grille BO"/>
    <s v="LIGENZA CYNTHIA"/>
    <x v="19"/>
    <s v="23702"/>
    <s v="LIGENZA CYNTHIA"/>
    <n v="100"/>
    <s v="0010966591"/>
    <s v="1"/>
    <s v="Supervision"/>
    <x v="3"/>
    <s v="reception MDPS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21/02/2018"/>
  </r>
  <r>
    <x v="5"/>
    <n v="2"/>
    <x v="1"/>
    <s v="ASF"/>
    <s v="08/02/2018"/>
    <s v="GLM Grille BO"/>
    <s v="LIGENZA CYNTHIA"/>
    <x v="14"/>
    <s v="24750"/>
    <s v="LIGENZA CYNTHIA"/>
    <n v="93.4"/>
    <s v="5003345655"/>
    <s v="4"/>
    <s v="Supervision"/>
    <x v="0"/>
    <s v="NON RECEPTION DEMANDE GESTE CO"/>
    <s v="Distance"/>
    <n v="1"/>
    <n v="0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21/02/2018"/>
  </r>
  <r>
    <x v="5"/>
    <n v="2"/>
    <x v="1"/>
    <s v="ASF"/>
    <s v="08/02/2018"/>
    <s v="GLM Grille BO"/>
    <s v="LIGENZA CYNTHIA"/>
    <x v="24"/>
    <s v="25088"/>
    <s v="LIGENZA CYNTHIA"/>
    <n v="100"/>
    <s v="0011294613"/>
    <s v="4"/>
    <s v="Supervision"/>
    <x v="2"/>
    <s v="CONF REEXP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s v=" "/>
    <s v="21/02/2018"/>
  </r>
  <r>
    <x v="5"/>
    <n v="2"/>
    <x v="1"/>
    <s v="ASF"/>
    <s v="08/02/2018"/>
    <s v="GLM Grille BO"/>
    <s v="LIGENZA CYNTHIA"/>
    <x v="17"/>
    <s v="19896"/>
    <s v="LIGENZA CYNTHIA"/>
    <n v="93.4"/>
    <s v="0010901792"/>
    <s v="4"/>
    <s v="Supervision"/>
    <x v="3"/>
    <s v="DEMANDE DE PAYER PAR CB"/>
    <s v="Distance"/>
    <n v="1"/>
    <n v="1"/>
    <n v="1"/>
    <n v="1"/>
    <n v="1"/>
    <n v="1"/>
    <n v="1"/>
    <s v=" "/>
    <s v=" "/>
    <n v="1"/>
    <n v="1"/>
    <n v="1"/>
    <s v=" "/>
    <n v="0"/>
    <s v=" "/>
    <n v="1"/>
    <s v=" "/>
    <n v="1"/>
    <n v="1"/>
    <n v="1"/>
    <s v=" "/>
    <s v=" "/>
    <s v=" "/>
    <s v="28/02/2018"/>
  </r>
  <r>
    <x v="5"/>
    <n v="2"/>
    <x v="1"/>
    <s v="ASF"/>
    <s v="08/02/2018"/>
    <s v="GLM Grille BO"/>
    <s v="LIGENZA CYNTHIA"/>
    <x v="4"/>
    <s v="24754"/>
    <s v="LIGENZA CYNTHIA"/>
    <n v="100"/>
    <s v="0011133623"/>
    <s v="14"/>
    <s v="Supervision"/>
    <x v="2"/>
    <s v="refus 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21/02/2018"/>
  </r>
  <r>
    <x v="5"/>
    <n v="2"/>
    <x v="1"/>
    <s v="ASF"/>
    <s v="08/02/2018"/>
    <s v="GLM Grille BO"/>
    <s v="LIGENZA CYNTHIA"/>
    <x v="11"/>
    <s v="20994"/>
    <s v="LIGENZA CYNTHIA"/>
    <n v="100"/>
    <s v="0010711235"/>
    <s v="5"/>
    <s v="Supervision"/>
    <x v="1"/>
    <s v="CHANGEMENT DE FORMUL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13/02/2018"/>
  </r>
  <r>
    <x v="5"/>
    <n v="2"/>
    <x v="1"/>
    <s v="ASF"/>
    <s v="09/02/2018"/>
    <s v="GLM Grille BO"/>
    <s v="Bisiaux Corinne"/>
    <x v="13"/>
    <s v="24719"/>
    <s v="MASCLET ANNIE LAURE"/>
    <n v="95"/>
    <s v="0011207156"/>
    <s v="1"/>
    <s v="Formation"/>
    <x v="0"/>
    <s v=" Réclamations itunes"/>
    <s v="Distance"/>
    <n v="1"/>
    <n v="1"/>
    <n v="1"/>
    <n v="1"/>
    <n v="1"/>
    <n v="1"/>
    <n v="1"/>
    <s v=" "/>
    <n v="1"/>
    <n v="1"/>
    <n v="1"/>
    <n v="1"/>
    <n v="1"/>
    <n v="0"/>
    <s v=" "/>
    <n v="1"/>
    <s v=" "/>
    <n v="1"/>
    <n v="1"/>
    <n v="1"/>
    <n v="1"/>
    <n v="1"/>
    <n v="1"/>
    <s v="21/02/2018"/>
  </r>
  <r>
    <x v="5"/>
    <n v="2"/>
    <x v="1"/>
    <s v="ASF"/>
    <s v="09/02/2018"/>
    <s v="GLM Grille BO"/>
    <s v="Bisiaux Corinne"/>
    <x v="23"/>
    <s v="6464"/>
    <s v="GENGEMBRE MAGALIE"/>
    <n v="98"/>
    <s v="5004056312"/>
    <s v="1"/>
    <s v="Controleur"/>
    <x v="0"/>
    <s v="confirmation abo "/>
    <s v="Distance"/>
    <n v="1"/>
    <n v="1"/>
    <n v="1"/>
    <n v="1"/>
    <n v="1"/>
    <n v="1"/>
    <n v="1"/>
    <n v="1"/>
    <n v="1"/>
    <n v="1"/>
    <n v="1"/>
    <n v="1"/>
    <n v="1"/>
    <n v="1"/>
    <s v=" "/>
    <n v="1"/>
    <n v="0"/>
    <n v="1"/>
    <n v="1"/>
    <n v="1"/>
    <s v=" "/>
    <s v=" "/>
    <s v=" "/>
    <s v="20/02/2018"/>
  </r>
  <r>
    <x v="5"/>
    <n v="2"/>
    <x v="1"/>
    <s v="ASF"/>
    <s v="09/02/2018"/>
    <s v="GLM Grille BO"/>
    <s v="Bisiaux Corinne"/>
    <x v="23"/>
    <s v="6464"/>
    <s v="GENGEMBRE MAGALIE"/>
    <n v="100"/>
    <s v="0011194899"/>
    <s v="1"/>
    <s v="Controleur"/>
    <x v="0"/>
    <s v="résiliation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s v=" "/>
    <s v=" "/>
    <s v=" "/>
    <s v="20/02/2018"/>
  </r>
  <r>
    <x v="5"/>
    <n v="2"/>
    <x v="1"/>
    <s v="ASF"/>
    <s v="09/02/2018"/>
    <s v="GLM Grille BO"/>
    <s v="LIGENZA CYNTHIA"/>
    <x v="5"/>
    <s v="22348"/>
    <s v="GENGEMBRE MAGALIE"/>
    <n v="88"/>
    <s v="5000334705"/>
    <s v="6"/>
    <s v="Controleur"/>
    <x v="0"/>
    <s v="changement de formule "/>
    <s v="Distance"/>
    <n v="0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21/02/2018"/>
  </r>
  <r>
    <x v="5"/>
    <n v="2"/>
    <x v="1"/>
    <s v="ASF"/>
    <s v="09/02/2018"/>
    <s v="GLM Grille BO"/>
    <s v="LIGENZA CYNTHIA"/>
    <x v="5"/>
    <s v="22348"/>
    <s v="GENGEMBRE MAGALIE"/>
    <n v="100"/>
    <s v="0011224891"/>
    <s v="1"/>
    <s v="Controleur"/>
    <x v="0"/>
    <s v="résiliation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21/02/2018"/>
  </r>
  <r>
    <x v="5"/>
    <n v="2"/>
    <x v="1"/>
    <s v="ASF"/>
    <s v="09/02/2018"/>
    <s v="GLM Grille BO"/>
    <s v="LUNEAU JULIEN"/>
    <x v="6"/>
    <s v="16209"/>
    <s v="LUNEAU JULIEN"/>
    <n v="100"/>
    <s v="5004079235"/>
    <s v="4"/>
    <s v="Supervision"/>
    <x v="0"/>
    <s v="impayé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m/>
  </r>
  <r>
    <x v="5"/>
    <n v="2"/>
    <x v="1"/>
    <s v="ASF"/>
    <s v="09/02/2018"/>
    <s v="GLM Grille BO"/>
    <s v="LUNEAU JULIEN"/>
    <x v="7"/>
    <s v="21893"/>
    <s v="MASCLET ANNIE LAURE"/>
    <n v="100"/>
    <s v="0010688709"/>
    <s v="4"/>
    <s v="Formation"/>
    <x v="1"/>
    <s v=" Changement de formule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5"/>
    <n v="2"/>
    <x v="1"/>
    <s v="ASF"/>
    <s v="09/02/2018"/>
    <s v="GLM Grille BO"/>
    <s v="LUNEAU JULIEN"/>
    <x v="28"/>
    <s v="5858"/>
    <s v="MASCLET ANNIE LAURE"/>
    <n v="98"/>
    <s v="5001503946"/>
    <s v="2"/>
    <s v="Formation"/>
    <x v="2"/>
    <s v="Demande de frais de port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23/02/2018"/>
  </r>
  <r>
    <x v="5"/>
    <n v="2"/>
    <x v="1"/>
    <s v="ASF"/>
    <s v="09/02/2018"/>
    <s v="GLM Grille BO"/>
    <s v="LUNEAU JULIEN"/>
    <x v="8"/>
    <s v="9573"/>
    <s v="LUNEAU JULIEN"/>
    <n v="100"/>
    <s v="0011163937"/>
    <s v="3"/>
    <s v="Controleur"/>
    <x v="0"/>
    <s v="résiliation"/>
    <s v="Distance"/>
    <n v="1"/>
    <s v=" "/>
    <s v=" "/>
    <n v="1"/>
    <n v="1"/>
    <n v="1"/>
    <n v="1"/>
    <s v=" "/>
    <s v=" "/>
    <n v="1"/>
    <n v="1"/>
    <s v=" "/>
    <n v="1"/>
    <s v=" "/>
    <s v=" "/>
    <s v=" "/>
    <s v=" "/>
    <s v=" "/>
    <s v=" "/>
    <s v=" "/>
    <s v=" "/>
    <s v=" "/>
    <s v=" "/>
    <s v="19/02/2018"/>
  </r>
  <r>
    <x v="5"/>
    <n v="2"/>
    <x v="1"/>
    <s v="ASF"/>
    <s v="09/02/2018"/>
    <s v="GLM Grille BO"/>
    <s v="LUNEAU JULIEN"/>
    <x v="8"/>
    <s v="9573"/>
    <s v="LUNEAU JULIEN"/>
    <n v="100"/>
    <s v="0011001993"/>
    <s v="1"/>
    <s v="Controleur"/>
    <x v="0"/>
    <s v="abonnement Pro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19/02/2018"/>
  </r>
  <r>
    <x v="6"/>
    <n v="2"/>
    <x v="1"/>
    <s v="ASF"/>
    <s v="12/02/2018"/>
    <s v="GLM Grille BO"/>
    <s v="Bisiaux Corinne"/>
    <x v="0"/>
    <s v="21891"/>
    <s v="Bisiaux Corinne"/>
    <n v="97"/>
    <s v="5004412676"/>
    <s v="1"/>
    <s v="Supervision"/>
    <x v="0"/>
    <s v="BDC "/>
    <s v="Distance"/>
    <n v="1"/>
    <n v="1"/>
    <n v="1"/>
    <n v="1"/>
    <n v="1"/>
    <n v="1"/>
    <n v="1"/>
    <n v="1"/>
    <s v=" "/>
    <n v="1"/>
    <n v="1"/>
    <n v="1"/>
    <n v="1"/>
    <n v="1"/>
    <s v=" "/>
    <n v="1"/>
    <n v="0"/>
    <n v="1"/>
    <n v="1"/>
    <n v="1"/>
    <s v=" "/>
    <s v=" "/>
    <s v=" "/>
    <s v="15/02/2018"/>
  </r>
  <r>
    <x v="6"/>
    <n v="2"/>
    <x v="1"/>
    <s v="ASF"/>
    <s v="12/02/2018"/>
    <s v="GLM Grille BO"/>
    <s v="Bisiaux Corinne"/>
    <x v="0"/>
    <s v="21891"/>
    <s v="Bisiaux Corinne"/>
    <n v="100"/>
    <s v="10766520"/>
    <s v="8"/>
    <s v="Supervision"/>
    <x v="0"/>
    <s v="ABONNEMENT "/>
    <s v="Distance"/>
    <n v="1"/>
    <n v="1"/>
    <n v="1"/>
    <n v="1"/>
    <n v="1"/>
    <n v="1"/>
    <n v="0"/>
    <n v="1"/>
    <s v=" "/>
    <n v="0"/>
    <n v="1"/>
    <n v="1"/>
    <n v="1"/>
    <n v="1"/>
    <s v=" "/>
    <n v="1"/>
    <s v=" "/>
    <n v="1"/>
    <n v="1"/>
    <s v=" "/>
    <s v=" "/>
    <s v=" "/>
    <s v=" "/>
    <s v="26/02/2018"/>
  </r>
  <r>
    <x v="6"/>
    <n v="2"/>
    <x v="1"/>
    <s v="ASF"/>
    <s v="12/02/2018"/>
    <s v="GLM Grille BO"/>
    <s v="Bisiaux Corinne"/>
    <x v="13"/>
    <s v="24719"/>
    <s v="Bisiaux Corinne"/>
    <n v="100"/>
    <s v="0011215217"/>
    <s v="1"/>
    <s v="Supervision"/>
    <x v="0"/>
    <s v="CHANGEMENT D OFFR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s v=" "/>
    <s v="21/02/2018"/>
  </r>
  <r>
    <x v="6"/>
    <n v="2"/>
    <x v="1"/>
    <s v="ASF"/>
    <s v="12/02/2018"/>
    <s v="GLM Grille BO"/>
    <s v="Bisiaux Corinne"/>
    <x v="13"/>
    <s v="24719"/>
    <s v="Bisiaux Corinne"/>
    <n v="100"/>
    <s v="0011328375"/>
    <s v="1"/>
    <s v="Supervision"/>
    <x v="0"/>
    <s v="RESILIATION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s v=" "/>
    <s v=" "/>
    <s v=" "/>
    <s v="21/02/2018"/>
  </r>
  <r>
    <x v="6"/>
    <n v="2"/>
    <x v="1"/>
    <s v="ASF"/>
    <s v="12/02/2018"/>
    <s v="GLM Grille BO"/>
    <s v="Bisiaux Corinne"/>
    <x v="21"/>
    <s v="4594"/>
    <s v="Bisiaux Corinne"/>
    <n v="97"/>
    <s v="5002964371"/>
    <s v="4"/>
    <s v="Supervision"/>
    <x v="0"/>
    <s v="SUSPENDU PAIEMENT "/>
    <s v="Distance"/>
    <n v="1"/>
    <n v="1"/>
    <n v="1"/>
    <n v="1"/>
    <n v="1"/>
    <n v="1"/>
    <n v="1"/>
    <n v="1"/>
    <s v=" "/>
    <n v="1"/>
    <n v="1"/>
    <n v="1"/>
    <n v="1"/>
    <n v="1"/>
    <s v=" "/>
    <n v="1"/>
    <n v="0"/>
    <n v="1"/>
    <n v="1"/>
    <n v="1"/>
    <n v="1"/>
    <s v=" "/>
    <s v=" "/>
    <s v="20/02/2018"/>
  </r>
  <r>
    <x v="6"/>
    <n v="2"/>
    <x v="1"/>
    <s v="ASF"/>
    <s v="12/02/2018"/>
    <s v="GLM Grille BO"/>
    <s v="Bisiaux Corinne"/>
    <x v="21"/>
    <s v="4594"/>
    <s v="Bisiaux Corinne"/>
    <n v="100"/>
    <s v="0011310351"/>
    <s v="2"/>
    <s v="Supervision"/>
    <x v="0"/>
    <s v="CONFIRMATION ABONNEMENT 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s v=" "/>
    <s v="20/02/2018"/>
  </r>
  <r>
    <x v="6"/>
    <n v="2"/>
    <x v="1"/>
    <s v="ASF"/>
    <s v="12/02/2018"/>
    <s v="GLM Grille BO"/>
    <s v="Bisiaux Corinne"/>
    <x v="29"/>
    <s v="8882"/>
    <s v="Bisiaux Corinne"/>
    <n v="100"/>
    <s v="10667642 "/>
    <s v="1"/>
    <s v="Supervision"/>
    <x v="2"/>
    <s v="PORTAGE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n v="1"/>
    <n v="1"/>
    <n v="1"/>
    <n v="1"/>
    <s v=" "/>
    <s v="13/02/2018"/>
  </r>
  <r>
    <x v="6"/>
    <n v="2"/>
    <x v="1"/>
    <s v="ASF"/>
    <s v="12/02/2018"/>
    <s v="GLM Grille BO"/>
    <s v="Bisiaux Corinne"/>
    <x v="29"/>
    <s v="8882"/>
    <s v="Bisiaux Corinne"/>
    <n v="100"/>
    <s v="0010692436"/>
    <s v="2"/>
    <s v="Supervision"/>
    <x v="3"/>
    <s v="RETENTION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n v="1"/>
    <n v="1"/>
    <n v="1"/>
    <s v=" "/>
    <s v=" "/>
    <s v="13/02/2018"/>
  </r>
  <r>
    <x v="6"/>
    <n v="2"/>
    <x v="1"/>
    <s v="ASF"/>
    <s v="15/02/2018"/>
    <s v="GLM Grille BO"/>
    <s v="Bisiaux Corinne"/>
    <x v="27"/>
    <s v="3629"/>
    <s v="MASCLET ANNIE LAURE"/>
    <n v="100"/>
    <s v="226851"/>
    <s v="13"/>
    <s v="Comité externe"/>
    <x v="1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Bisiaux Corinne"/>
    <x v="21"/>
    <s v="4594"/>
    <s v="MASCLET ANNIE LAURE"/>
    <n v="100"/>
    <s v="10605312"/>
    <s v="1"/>
    <s v="Comité externe"/>
    <x v="1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Bisiaux Corinne"/>
    <x v="9"/>
    <s v="23703"/>
    <s v="Bisiaux Corinne"/>
    <n v="100"/>
    <s v="10448080"/>
    <s v="1"/>
    <s v="Comité externe"/>
    <x v="1"/>
    <s v="Délai de livrais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Bisiaux Corinne"/>
    <x v="1"/>
    <s v="21330"/>
    <s v="MASCLET ANNIE LAURE"/>
    <n v="100"/>
    <s v="10573899"/>
    <s v="2"/>
    <s v="Comité externe"/>
    <x v="1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Bisiaux Corinne"/>
    <x v="3"/>
    <s v="23704"/>
    <s v="MASCLET ANNIE LAURE"/>
    <n v="100"/>
    <s v="11353350"/>
    <s v="1"/>
    <s v="Comité externe"/>
    <x v="1"/>
    <s v="Mot de pass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LUNEAU JULIEN"/>
    <x v="7"/>
    <s v="21893"/>
    <s v="MASCLET ANNIE LAURE"/>
    <n v="100"/>
    <s v="11329510"/>
    <s v="3"/>
    <s v="Comité externe"/>
    <x v="1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LUNEAU JULIEN"/>
    <x v="7"/>
    <s v="21893"/>
    <s v="MASCLET ANNIE LAURE"/>
    <n v="100"/>
    <s v="10752446"/>
    <s v="2"/>
    <s v="Comité externe"/>
    <x v="1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LUNEAU JULIEN"/>
    <x v="7"/>
    <s v="21893"/>
    <s v="MASCLET ANNIE LAURE"/>
    <n v="100"/>
    <s v="10598304"/>
    <s v="9"/>
    <s v="Comité externe"/>
    <x v="1"/>
    <s v="Changement de formul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5/02/2018"/>
    <s v="GLM Grille BO"/>
    <s v="LUNEAU JULIEN"/>
    <x v="7"/>
    <s v="21893"/>
    <s v="MASCLET ANNIE LAURE"/>
    <n v="100"/>
    <s v="11102089"/>
    <s v="1"/>
    <s v="Comité externe"/>
    <x v="1"/>
    <s v="Modification des coordonnées bancaire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0/02/2018"/>
  </r>
  <r>
    <x v="6"/>
    <n v="2"/>
    <x v="1"/>
    <s v="ASF"/>
    <s v="16/02/2018"/>
    <s v="GLM Grille BO"/>
    <s v="Bisiaux Corinne"/>
    <x v="1"/>
    <s v="21330"/>
    <s v="Bisiaux Corinne"/>
    <n v="100"/>
    <s v="0011350642"/>
    <s v="2"/>
    <s v="Supervision"/>
    <x v="1"/>
    <s v="ACCES COMPTE "/>
    <s v="Distance"/>
    <n v="1"/>
    <n v="1"/>
    <n v="1"/>
    <n v="1"/>
    <n v="1"/>
    <n v="1"/>
    <n v="1"/>
    <s v=" "/>
    <s v=" "/>
    <n v="1"/>
    <n v="1"/>
    <n v="1"/>
    <n v="1"/>
    <n v="1"/>
    <n v="1"/>
    <n v="1"/>
    <s v=" "/>
    <n v="1"/>
    <s v=" "/>
    <n v="1"/>
    <s v=" "/>
    <s v=" "/>
    <s v=" "/>
    <s v="20/02/2018"/>
  </r>
  <r>
    <x v="6"/>
    <n v="2"/>
    <x v="1"/>
    <s v="ASF"/>
    <s v="16/02/2018"/>
    <s v="GLM Grille BO"/>
    <s v="Bisiaux Corinne"/>
    <x v="2"/>
    <s v="23979"/>
    <s v="MASCLET ANNIE LAURE"/>
    <n v="100"/>
    <s v="5000871085"/>
    <s v="2"/>
    <s v="Formation"/>
    <x v="0"/>
    <s v="Règlement d'impayé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6/02/2018"/>
  </r>
  <r>
    <x v="6"/>
    <n v="2"/>
    <x v="1"/>
    <s v="ASF"/>
    <s v="16/02/2018"/>
    <s v="GLM Grille BO"/>
    <s v="LIGENZA CYNTHIA"/>
    <x v="14"/>
    <s v="24750"/>
    <s v="MASCLET ANNIE LAURE"/>
    <n v="100"/>
    <s v="5000883435"/>
    <s v="7"/>
    <s v="Formation"/>
    <x v="0"/>
    <s v=" Reste-Procédure d'annulation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6/02/2018"/>
  </r>
  <r>
    <x v="6"/>
    <n v="2"/>
    <x v="1"/>
    <s v="ASF"/>
    <s v="16/02/2018"/>
    <s v="GLM Grille BO"/>
    <s v="LUNEAU JULIEN"/>
    <x v="15"/>
    <s v="25257"/>
    <s v="MASCLET ANNIE LAURE"/>
    <n v="100"/>
    <s v="5002829410"/>
    <s v="1"/>
    <s v="Formation"/>
    <x v="0"/>
    <s v="Demande de réactivation d'abonnement avec le même 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2/02/2018"/>
  </r>
  <r>
    <x v="6"/>
    <n v="2"/>
    <x v="1"/>
    <s v="ASF"/>
    <s v="16/02/2018"/>
    <s v="GLM Grille BO"/>
    <s v="LUNEAU JULIEN"/>
    <x v="15"/>
    <s v="25257"/>
    <s v="MASCLET ANNIE LAURE"/>
    <n v="100"/>
    <s v="0011122047"/>
    <s v="3"/>
    <s v="Formation"/>
    <x v="2"/>
    <s v="Changement d adresse mail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2/02/2018"/>
  </r>
  <r>
    <x v="7"/>
    <n v="2"/>
    <x v="1"/>
    <s v="ASF"/>
    <s v="19/02/2018"/>
    <s v="GLM Grille BO"/>
    <s v="LUNEAU JULIEN"/>
    <x v="16"/>
    <s v="25755"/>
    <s v="MASCLET ANNIE LAURE"/>
    <n v="89.392857142857139"/>
    <s v="0011333814"/>
    <s v="1"/>
    <s v="Formation"/>
    <x v="1"/>
    <s v=" CHAD définitif"/>
    <s v="Distance"/>
    <n v="1"/>
    <n v="1"/>
    <n v="1"/>
    <n v="1"/>
    <n v="1"/>
    <n v="1"/>
    <n v="1"/>
    <s v=" "/>
    <n v="1"/>
    <n v="1"/>
    <n v="1"/>
    <n v="1"/>
    <n v="1"/>
    <n v="0"/>
    <s v=" "/>
    <n v="1"/>
    <n v="1"/>
    <n v="0"/>
    <n v="1"/>
    <n v="1"/>
    <s v=" "/>
    <s v=" "/>
    <n v="1"/>
    <m/>
  </r>
  <r>
    <x v="7"/>
    <n v="2"/>
    <x v="1"/>
    <s v="ASF"/>
    <s v="20/02/2018"/>
    <s v="GLM Grille BO"/>
    <s v="Bisiaux Corinne"/>
    <x v="0"/>
    <s v="21891"/>
    <s v="MASCLET ANNIE LAURE"/>
    <n v="90"/>
    <s v="5002680865"/>
    <s v="3"/>
    <s v="Formation"/>
    <x v="0"/>
    <s v="Gérer son abonnement"/>
    <s v="Distance"/>
    <n v="1"/>
    <n v="0"/>
    <n v="1"/>
    <n v="1"/>
    <n v="1"/>
    <n v="1"/>
    <n v="1"/>
    <s v=" "/>
    <n v="1"/>
    <n v="1"/>
    <n v="1"/>
    <n v="1"/>
    <n v="1"/>
    <n v="0"/>
    <s v=" "/>
    <n v="1"/>
    <n v="1"/>
    <n v="1"/>
    <n v="1"/>
    <n v="1"/>
    <n v="1"/>
    <n v="1"/>
    <n v="1"/>
    <s v="26/02/2018"/>
  </r>
  <r>
    <x v="7"/>
    <n v="2"/>
    <x v="1"/>
    <s v="ASF"/>
    <s v="20/02/2018"/>
    <s v="GLM Grille BO"/>
    <s v="LIGENZA CYNTHIA"/>
    <x v="14"/>
    <s v="24750"/>
    <s v="MASCLET ANNIE LAURE"/>
    <n v="100"/>
    <s v="5002256366"/>
    <s v="3"/>
    <s v="Formation"/>
    <x v="0"/>
    <s v="Demande de tarifs / devi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s v=" "/>
    <n v="1"/>
    <s v="26/02/2018"/>
  </r>
  <r>
    <x v="7"/>
    <n v="2"/>
    <x v="1"/>
    <s v="ASF"/>
    <s v="20/02/2018"/>
    <s v="GLM Grille BO"/>
    <s v="LUNEAU JULIEN"/>
    <x v="15"/>
    <s v="25257"/>
    <s v="MASCLET ANNIE LAURE"/>
    <n v="100"/>
    <s v="5000791205"/>
    <s v="2"/>
    <s v="Formation"/>
    <x v="0"/>
    <s v="Confirmation abo/réabo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6/02/2018"/>
  </r>
  <r>
    <x v="7"/>
    <n v="2"/>
    <x v="1"/>
    <s v="ASF"/>
    <s v="20/02/2018"/>
    <s v="GLM Grille BO"/>
    <s v="LUNEAU JULIEN"/>
    <x v="16"/>
    <s v="25755"/>
    <s v="MASCLET ANNIE LAURE"/>
    <n v="83"/>
    <s v="0010619147"/>
    <s v="3"/>
    <s v="Formation"/>
    <x v="1"/>
    <s v="CHAD définitif"/>
    <s v="Distance"/>
    <n v="1"/>
    <n v="1"/>
    <n v="1"/>
    <n v="1"/>
    <n v="1"/>
    <n v="1"/>
    <n v="1"/>
    <s v=" "/>
    <n v="1"/>
    <n v="1"/>
    <n v="1"/>
    <n v="1"/>
    <n v="0"/>
    <n v="1"/>
    <s v=" "/>
    <n v="1"/>
    <n v="1"/>
    <n v="0"/>
    <n v="1"/>
    <s v=" "/>
    <s v=" "/>
    <s v=" "/>
    <s v=" "/>
    <m/>
  </r>
  <r>
    <x v="7"/>
    <n v="2"/>
    <x v="1"/>
    <s v="ASF"/>
    <s v="20/02/2018"/>
    <s v="GLM Grille BO"/>
    <s v="LUNEAU JULIEN"/>
    <x v="16"/>
    <s v="25755"/>
    <s v="MASCLET ANNIE LAURE"/>
    <n v="94"/>
    <s v="0010945312"/>
    <s v="1"/>
    <s v="Formation"/>
    <x v="2"/>
    <s v="Demande coordonnées bancaires Editeur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0"/>
    <n v="1"/>
    <n v="1"/>
    <n v="1"/>
    <n v="1"/>
    <n v="1"/>
    <m/>
  </r>
  <r>
    <x v="7"/>
    <n v="2"/>
    <x v="1"/>
    <s v="ASF"/>
    <s v="20/02/2018"/>
    <s v="GLM Grille BO"/>
    <s v="LUNEAU JULIEN"/>
    <x v="16"/>
    <s v="25755"/>
    <s v="MASCLET ANNIE LAURE"/>
    <n v="100"/>
    <s v="0010444877"/>
    <s v="5"/>
    <s v="Formation"/>
    <x v="1"/>
    <s v=" Confirmation enregistrement abo / réabo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m/>
  </r>
  <r>
    <x v="7"/>
    <n v="2"/>
    <x v="1"/>
    <s v="ASF"/>
    <s v="21/02/2018"/>
    <s v="GLM Grille BO"/>
    <s v="LIGENZA CYNTHIA"/>
    <x v="4"/>
    <s v="24754"/>
    <s v="MASCLET ANNIE LAURE"/>
    <n v="100"/>
    <s v="0011061094"/>
    <s v="2"/>
    <s v="Formation"/>
    <x v="0"/>
    <s v="Rétention OK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8/02/2018"/>
  </r>
  <r>
    <x v="7"/>
    <n v="2"/>
    <x v="1"/>
    <s v="ASF"/>
    <s v="21/02/2018"/>
    <s v="GLM Grille BO"/>
    <s v="LIGENZA CYNTHIA"/>
    <x v="5"/>
    <s v="22348"/>
    <s v="MASCLET ANNIE LAURE"/>
    <n v="100"/>
    <s v="11152446"/>
    <s v="2"/>
    <s v="Formation"/>
    <x v="0"/>
    <s v="Résiliation motif contenu éditorial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8/02/2018"/>
  </r>
  <r>
    <x v="7"/>
    <n v="2"/>
    <x v="1"/>
    <s v="ASF"/>
    <s v="23/02/2018"/>
    <s v="GLM Grille BO"/>
    <s v="LIGENZA CYNTHIA"/>
    <x v="4"/>
    <s v="24754"/>
    <s v="MASCLET ANNIE LAURE"/>
    <n v="100"/>
    <s v="5001176466"/>
    <s v="5"/>
    <s v="Formation"/>
    <x v="2"/>
    <s v="Correction adress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s v=" "/>
    <s v=" "/>
    <s v=" "/>
    <s v=" "/>
    <s v="28/02/2018"/>
  </r>
  <r>
    <x v="8"/>
    <n v="3"/>
    <x v="2"/>
    <s v="ASF"/>
    <s v="05/03/2018"/>
    <s v="GLM Grille BO"/>
    <s v="Bisiaux Corinne"/>
    <x v="13"/>
    <s v="24719"/>
    <s v="GENGEMBRE MAGALIE"/>
    <n v="100"/>
    <s v="0010872782"/>
    <s v="1"/>
    <s v="Controleur"/>
    <x v="0"/>
    <s v="résiliation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13/03/2018"/>
  </r>
  <r>
    <x v="8"/>
    <n v="3"/>
    <x v="2"/>
    <s v="ASF"/>
    <s v="05/03/2018"/>
    <s v="GLM Grille BO"/>
    <s v="Bisiaux Corinne"/>
    <x v="21"/>
    <s v="4594"/>
    <s v="GENGEMBRE MAGALIE"/>
    <n v="84.72"/>
    <s v="0011213512"/>
    <s v="1"/>
    <s v="Controleur"/>
    <x v="0"/>
    <s v="gestion abo "/>
    <s v="Distance"/>
    <n v="1"/>
    <n v="1"/>
    <n v="1"/>
    <n v="1"/>
    <n v="1"/>
    <n v="1"/>
    <n v="1"/>
    <n v="1"/>
    <s v=" "/>
    <n v="1"/>
    <n v="1"/>
    <n v="0"/>
    <n v="1"/>
    <n v="1"/>
    <s v=" "/>
    <n v="1"/>
    <s v=" "/>
    <n v="1"/>
    <n v="0"/>
    <n v="1"/>
    <s v=" "/>
    <s v=" "/>
    <s v=" "/>
    <s v="27/03/2018"/>
  </r>
  <r>
    <x v="8"/>
    <n v="3"/>
    <x v="2"/>
    <s v="ASF"/>
    <s v="05/03/2018"/>
    <s v="GLM Grille BO"/>
    <s v="Bisiaux Corinne"/>
    <x v="1"/>
    <s v="21330"/>
    <s v="MASCLET ANNIE LAURE"/>
    <n v="100"/>
    <s v="0010435846"/>
    <s v="3"/>
    <s v="Formation"/>
    <x v="1"/>
    <s v="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4/03/2018"/>
  </r>
  <r>
    <x v="8"/>
    <n v="3"/>
    <x v="2"/>
    <s v="ASF"/>
    <s v="05/03/2018"/>
    <s v="GLM Grille BO"/>
    <s v="Bisiaux Corinne"/>
    <x v="2"/>
    <s v="23979"/>
    <s v="GENGEMBRE MAGALIE"/>
    <n v="100"/>
    <s v="0011075903"/>
    <s v="2"/>
    <s v="Controleur"/>
    <x v="0"/>
    <s v="achat article "/>
    <s v="Distance"/>
    <n v="1"/>
    <n v="1"/>
    <n v="1"/>
    <n v="1"/>
    <n v="1"/>
    <n v="1"/>
    <n v="1"/>
    <n v="1"/>
    <n v="1"/>
    <n v="1"/>
    <n v="1"/>
    <n v="1"/>
    <n v="1"/>
    <n v="1"/>
    <n v="1"/>
    <n v="1"/>
    <s v=" "/>
    <n v="1"/>
    <n v="1"/>
    <n v="1"/>
    <s v=" "/>
    <s v=" "/>
    <s v=" "/>
    <s v="13/03/2018"/>
  </r>
  <r>
    <x v="8"/>
    <n v="3"/>
    <x v="2"/>
    <s v="ASF"/>
    <s v="05/03/2018"/>
    <s v="GLM Grille BO"/>
    <s v="LIGENZA CYNTHIA"/>
    <x v="14"/>
    <s v="24750"/>
    <s v="GENGEMBRE MAGALIE"/>
    <n v="100"/>
    <s v="5003044036"/>
    <s v="6"/>
    <s v="Controleur"/>
    <x v="0"/>
    <s v="gestion abo "/>
    <s v="Distance"/>
    <n v="1"/>
    <n v="1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27/03/2018"/>
  </r>
  <r>
    <x v="8"/>
    <n v="3"/>
    <x v="2"/>
    <s v="ASF"/>
    <s v="05/03/2018"/>
    <s v="GLM Grille BO"/>
    <s v="LIGENZA CYNTHIA"/>
    <x v="5"/>
    <s v="22348"/>
    <s v="GENGEMBRE MAGALIE"/>
    <n v="93.4"/>
    <s v="5001734912"/>
    <s v="1"/>
    <s v="Controleur"/>
    <x v="0"/>
    <s v="GESTION d'abo "/>
    <s v="Distance"/>
    <n v="1"/>
    <n v="0"/>
    <n v="1"/>
    <n v="1"/>
    <n v="1"/>
    <n v="1"/>
    <n v="1"/>
    <n v="1"/>
    <s v=" "/>
    <n v="1"/>
    <n v="1"/>
    <n v="1"/>
    <n v="1"/>
    <n v="1"/>
    <n v="1"/>
    <n v="1"/>
    <s v=" "/>
    <n v="1"/>
    <n v="1"/>
    <n v="1"/>
    <s v=" "/>
    <s v=" "/>
    <s v=" "/>
    <s v="27/03/2018"/>
  </r>
  <r>
    <x v="8"/>
    <n v="3"/>
    <x v="2"/>
    <s v="ASF"/>
    <s v="05/03/2018"/>
    <s v="GLM Grille BO"/>
    <s v="LUNEAU JULIEN"/>
    <x v="8"/>
    <s v="9573"/>
    <s v="GENGEMBRE MAGALIE"/>
    <n v="100"/>
    <s v="0011333807"/>
    <s v="2"/>
    <s v="Controleur"/>
    <x v="0"/>
    <s v="gestion abo 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13/03/2018"/>
  </r>
  <r>
    <x v="8"/>
    <n v="3"/>
    <x v="2"/>
    <s v="ASF"/>
    <s v="07/03/2018"/>
    <s v="GLM Grille BO"/>
    <s v="Bisiaux Corinne"/>
    <x v="13"/>
    <s v="24719"/>
    <s v="MASCLET ANNIE LAURE"/>
    <n v="100"/>
    <s v="0011359789"/>
    <s v="1"/>
    <s v="Formation"/>
    <x v="0"/>
    <s v="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3/2018"/>
  </r>
  <r>
    <x v="8"/>
    <n v="3"/>
    <x v="2"/>
    <s v="ASF"/>
    <s v="07/03/2018"/>
    <s v="GLM Grille BO"/>
    <s v="LUNEAU JULIEN"/>
    <x v="20"/>
    <s v="23902"/>
    <s v="MASCLET ANNIE LAURE"/>
    <n v="100"/>
    <s v="0000612775"/>
    <s v="1"/>
    <s v="Formation"/>
    <x v="1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4/03/2018"/>
  </r>
  <r>
    <x v="8"/>
    <n v="3"/>
    <x v="2"/>
    <s v="ASF"/>
    <s v="08/03/2018"/>
    <s v="GLM Grille BO"/>
    <s v="Bisiaux Corinne"/>
    <x v="13"/>
    <s v="24719"/>
    <s v="Bisiaux Corinne"/>
    <n v="100"/>
    <s v="11215138"/>
    <s v="2"/>
    <s v="Comité externe"/>
    <x v="0"/>
    <s v="RESILIATION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s v=" "/>
    <s v=" "/>
    <s v=" "/>
    <s v="13/03/2018"/>
  </r>
  <r>
    <x v="8"/>
    <n v="3"/>
    <x v="2"/>
    <s v="ASF"/>
    <s v="08/03/2018"/>
    <s v="GLM Grille BO"/>
    <s v="Bisiaux Corinne"/>
    <x v="13"/>
    <s v="24719"/>
    <s v="MASCLET ANNIE LAURE"/>
    <n v="100"/>
    <s v="11212839"/>
    <s v="2"/>
    <s v="Comité externe"/>
    <x v="0"/>
    <s v="RESILIATION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n v="1"/>
    <s v=" "/>
    <s v="13/03/2018"/>
  </r>
  <r>
    <x v="8"/>
    <n v="3"/>
    <x v="2"/>
    <s v="ASF"/>
    <s v="08/03/2018"/>
    <s v="GLM Grille BO"/>
    <s v="Bisiaux Corinne"/>
    <x v="21"/>
    <s v="4594"/>
    <s v="Bisiaux Corinne"/>
    <n v="100"/>
    <s v="11364445"/>
    <s v="1"/>
    <s v="Comité externe"/>
    <x v="0"/>
    <s v="RESILIATION "/>
    <s v="Distance"/>
    <n v="1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s v=" "/>
    <n v="1"/>
    <n v="1"/>
    <s v="13/03/2018"/>
  </r>
  <r>
    <x v="8"/>
    <n v="3"/>
    <x v="2"/>
    <s v="ASF"/>
    <s v="08/03/2018"/>
    <s v="GLM Grille BO"/>
    <s v="Bisiaux Corinne"/>
    <x v="21"/>
    <s v="4594"/>
    <s v="MASCLET ANNIE LAURE"/>
    <n v="100"/>
    <s v="10230438"/>
    <s v="62"/>
    <s v="Comité externe"/>
    <x v="0"/>
    <s v="NEWSLETTERS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s v=" "/>
    <s v=" "/>
    <n v="1"/>
    <s v="13/03/2018"/>
  </r>
  <r>
    <x v="8"/>
    <n v="3"/>
    <x v="2"/>
    <s v="ASF"/>
    <s v="08/03/2018"/>
    <s v="GLM Grille BO"/>
    <s v="Bisiaux Corinne"/>
    <x v="23"/>
    <s v="6464"/>
    <s v="Bisiaux Corinne"/>
    <n v="90"/>
    <s v="5003045087"/>
    <s v="2"/>
    <s v="Comité externe"/>
    <x v="0"/>
    <s v="PRELEVEMENT"/>
    <s v="Distance"/>
    <n v="1"/>
    <n v="1"/>
    <n v="1"/>
    <n v="1"/>
    <n v="1"/>
    <n v="1"/>
    <n v="1"/>
    <n v="1"/>
    <s v=" "/>
    <n v="1"/>
    <n v="1"/>
    <n v="0"/>
    <n v="1"/>
    <n v="1"/>
    <s v=" "/>
    <n v="1"/>
    <n v="1"/>
    <n v="1"/>
    <n v="1"/>
    <n v="1"/>
    <s v=" "/>
    <s v=" "/>
    <s v=" "/>
    <s v="15/03/2018"/>
  </r>
  <r>
    <x v="8"/>
    <n v="3"/>
    <x v="2"/>
    <s v="ASF"/>
    <s v="08/03/2018"/>
    <s v="GLM Grille BO"/>
    <s v="Bisiaux Corinne"/>
    <x v="23"/>
    <s v="6464"/>
    <s v="Bisiaux Corinne"/>
    <n v="100"/>
    <s v="219711"/>
    <s v="16"/>
    <s v="Comité externe"/>
    <x v="0"/>
    <s v="ACCES COMPTE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s v=" "/>
    <s v=" "/>
    <n v="1"/>
    <s v="15/03/2018"/>
  </r>
  <r>
    <x v="8"/>
    <n v="3"/>
    <x v="2"/>
    <s v="ASF"/>
    <s v="08/03/2018"/>
    <s v="GLM Grille BO"/>
    <s v="LIGENZA CYNTHIA"/>
    <x v="5"/>
    <s v="22348"/>
    <s v="Bisiaux Corinne"/>
    <n v="100"/>
    <s v="11170023"/>
    <s v="4"/>
    <s v="Comité externe"/>
    <x v="0"/>
    <s v="RESILIATION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s v=" "/>
    <s v=" "/>
    <s v=" "/>
    <s v="13/03/2018"/>
  </r>
  <r>
    <x v="8"/>
    <n v="3"/>
    <x v="2"/>
    <s v="ASF"/>
    <s v="08/03/2018"/>
    <s v="GLM Grille BO"/>
    <s v="LUNEAU JULIEN"/>
    <x v="10"/>
    <s v="23707"/>
    <s v="MASCLET ANNIE LAURE"/>
    <n v="100"/>
    <s v="11268241"/>
    <s v="8"/>
    <s v="Comité externe"/>
    <x v="2"/>
    <s v="Enregistrement du règlement de factu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4/03/2018"/>
  </r>
  <r>
    <x v="8"/>
    <n v="3"/>
    <x v="2"/>
    <s v="ASF"/>
    <s v="08/03/2018"/>
    <s v="GLM Grille BO"/>
    <s v="LUNEAU JULIEN"/>
    <x v="8"/>
    <s v="9573"/>
    <s v="Bisiaux Corinne"/>
    <n v="100"/>
    <s v="5000275144"/>
    <s v="4"/>
    <s v="Comité externe"/>
    <x v="0"/>
    <s v="RETOUR RETENTION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n v="1"/>
    <s v=" "/>
    <s v=" "/>
    <s v="13/03/2018"/>
  </r>
  <r>
    <x v="8"/>
    <n v="3"/>
    <x v="2"/>
    <s v="ASF"/>
    <s v="08/03/2018"/>
    <s v="GLM Grille BO"/>
    <s v="LUNEAU JULIEN"/>
    <x v="8"/>
    <s v="9573"/>
    <s v="MASCLET ANNIE LAURE"/>
    <n v="100"/>
    <s v="5000795551"/>
    <s v="3"/>
    <s v="Comité externe"/>
    <x v="0"/>
    <s v="Nouvelle appli J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3/2018"/>
  </r>
  <r>
    <x v="8"/>
    <n v="3"/>
    <x v="2"/>
    <s v="ASF"/>
    <s v="08/03/2018"/>
    <s v="GLM Grille BO"/>
    <s v="LUNEAU JULIEN"/>
    <x v="8"/>
    <s v="9573"/>
    <s v="MASCLET ANNIE LAURE"/>
    <n v="100"/>
    <s v="10810671"/>
    <s v="31"/>
    <s v="Comité externe"/>
    <x v="0"/>
    <s v="Demande de factu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3/2018"/>
  </r>
  <r>
    <x v="9"/>
    <n v="3"/>
    <x v="2"/>
    <s v="ASF"/>
    <s v="12/03/2018"/>
    <s v="GLM Grille BO"/>
    <s v="Bisiaux Corinne"/>
    <x v="0"/>
    <s v="21891"/>
    <s v="MASCLET ANNIE LAURE"/>
    <n v="100"/>
    <s v="0011371606"/>
    <s v="1"/>
    <s v="Formation"/>
    <x v="0"/>
    <s v="Demande de tarifs / devi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9"/>
    <n v="3"/>
    <x v="2"/>
    <s v="ASF"/>
    <s v="12/03/2018"/>
    <s v="GLM Grille BO"/>
    <s v="Bisiaux Corinne"/>
    <x v="9"/>
    <s v="23703"/>
    <s v="MASCLET ANNIE LAURE"/>
    <n v="90"/>
    <s v="0010594464"/>
    <s v="8"/>
    <s v="Formation"/>
    <x v="1"/>
    <s v="Non réception"/>
    <s v="Distance"/>
    <n v="1"/>
    <n v="1"/>
    <n v="1"/>
    <n v="1"/>
    <n v="1"/>
    <n v="1"/>
    <n v="1"/>
    <s v=" "/>
    <n v="1"/>
    <n v="1"/>
    <n v="1"/>
    <n v="0"/>
    <n v="1"/>
    <n v="1"/>
    <s v=" "/>
    <n v="1"/>
    <n v="1"/>
    <n v="1"/>
    <n v="1"/>
    <n v="1"/>
    <n v="1"/>
    <n v="1"/>
    <n v="1"/>
    <s v="20/03/2018"/>
  </r>
  <r>
    <x v="9"/>
    <n v="3"/>
    <x v="2"/>
    <s v="ASF"/>
    <s v="12/03/2018"/>
    <s v="GLM Grille BO"/>
    <s v="LIGENZA CYNTHIA"/>
    <x v="14"/>
    <s v="24750"/>
    <s v="MASCLET ANNIE LAURE"/>
    <n v="100"/>
    <s v="0011031292"/>
    <s v="1"/>
    <s v="Formation"/>
    <x v="0"/>
    <s v="Impayé / rejet pai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9"/>
    <n v="3"/>
    <x v="2"/>
    <s v="ASF"/>
    <s v="12/03/2018"/>
    <s v="GLM Grille BO"/>
    <s v="LUNEAU JULIEN"/>
    <x v="6"/>
    <s v="16209"/>
    <s v="MASCLET ANNIE LAURE"/>
    <n v="96"/>
    <s v="0010833281"/>
    <s v="2"/>
    <s v="Formation"/>
    <x v="0"/>
    <s v="Réclamation suite augmentation tarifaire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0"/>
    <n v="1"/>
    <n v="1"/>
    <n v="1"/>
    <n v="1"/>
    <n v="1"/>
    <s v="28/03/2018"/>
  </r>
  <r>
    <x v="9"/>
    <n v="3"/>
    <x v="2"/>
    <s v="ASF"/>
    <s v="12/03/2018"/>
    <s v="GLM Grille BO"/>
    <s v="LUNEAU JULIEN"/>
    <x v="6"/>
    <s v="16209"/>
    <s v="MASCLET ANNIE LAURE"/>
    <n v="100"/>
    <s v="0000313815"/>
    <s v="54"/>
    <s v="Formation"/>
    <x v="0"/>
    <s v="Non réception Newsletter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8/03/2018"/>
  </r>
  <r>
    <x v="9"/>
    <n v="3"/>
    <x v="2"/>
    <s v="ASF"/>
    <s v="12/03/2018"/>
    <s v="GLM Grille BO"/>
    <s v="LUNEAU JULIEN"/>
    <x v="7"/>
    <s v="21893"/>
    <s v="MASCLET ANNIE LAURE"/>
    <n v="98"/>
    <s v="0010707142"/>
    <s v="3"/>
    <s v="Formation"/>
    <x v="1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s v=" "/>
    <s v=" "/>
    <s v=" "/>
    <s v="28/03/2018"/>
  </r>
  <r>
    <x v="9"/>
    <n v="3"/>
    <x v="2"/>
    <s v="ASF"/>
    <s v="12/03/2018"/>
    <s v="GLM Grille BO"/>
    <s v="LUNEAU JULIEN"/>
    <x v="15"/>
    <s v="25257"/>
    <s v="MASCLET ANNIE LAURE"/>
    <n v="90"/>
    <s v="5002269041"/>
    <s v="3"/>
    <s v="Formation"/>
    <x v="0"/>
    <s v="Règlement d'impayé"/>
    <s v="Distance"/>
    <n v="1"/>
    <n v="1"/>
    <n v="1"/>
    <n v="1"/>
    <n v="1"/>
    <n v="1"/>
    <n v="1"/>
    <s v=" "/>
    <n v="1"/>
    <n v="1"/>
    <n v="1"/>
    <n v="0"/>
    <n v="1"/>
    <n v="1"/>
    <s v=" "/>
    <n v="1"/>
    <n v="1"/>
    <n v="1"/>
    <n v="1"/>
    <n v="1"/>
    <s v=" "/>
    <s v=" "/>
    <s v=" "/>
    <s v="15/03/2018"/>
  </r>
  <r>
    <x v="9"/>
    <n v="3"/>
    <x v="2"/>
    <s v="ASF"/>
    <s v="12/03/2018"/>
    <s v="GLM Grille BO"/>
    <s v="LUNEAU JULIEN"/>
    <x v="15"/>
    <s v="25257"/>
    <s v="MASCLET ANNIE LAURE"/>
    <n v="100"/>
    <s v="0010988990"/>
    <s v="1"/>
    <s v="Formation"/>
    <x v="0"/>
    <s v="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9"/>
    <n v="3"/>
    <x v="2"/>
    <s v="ASF"/>
    <s v="14/03/2018"/>
    <s v="GLM Grille BO"/>
    <s v="Bisiaux Corinne"/>
    <x v="23"/>
    <s v="6464"/>
    <s v="GENGEMBRE MAGALIE"/>
    <n v="88"/>
    <s v="0010114749"/>
    <s v="13"/>
    <s v="Controleur"/>
    <x v="0"/>
    <s v="réception NL "/>
    <s v="Distance"/>
    <n v="0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s v="15/03/2018"/>
  </r>
  <r>
    <x v="9"/>
    <n v="3"/>
    <x v="2"/>
    <s v="ASF"/>
    <s v="14/03/2018"/>
    <s v="GLM Grille BO"/>
    <s v="Bisiaux Corinne"/>
    <x v="23"/>
    <s v="6464"/>
    <s v="Bisiaux Corinne"/>
    <n v="100"/>
    <s v="5002874139"/>
    <s v="4"/>
    <s v="Controleur"/>
    <x v="0"/>
    <s v="appli JE "/>
    <s v="Distance"/>
    <n v="1"/>
    <n v="1"/>
    <n v="1"/>
    <n v="1"/>
    <n v="1"/>
    <n v="1"/>
    <n v="1"/>
    <n v="1"/>
    <s v=" "/>
    <n v="1"/>
    <n v="1"/>
    <n v="1"/>
    <n v="1"/>
    <n v="1"/>
    <s v=" "/>
    <n v="1"/>
    <n v="1"/>
    <n v="1"/>
    <n v="1"/>
    <n v="1"/>
    <s v=" "/>
    <s v=" "/>
    <s v=" "/>
    <s v="15/03/2018"/>
  </r>
  <r>
    <x v="9"/>
    <n v="3"/>
    <x v="2"/>
    <s v="ASF"/>
    <s v="14/03/2018"/>
    <s v="GLM Grille BO"/>
    <s v="Bisiaux Corinne"/>
    <x v="2"/>
    <s v="23979"/>
    <s v="MASCLET ANNIE LAURE"/>
    <n v="100"/>
    <s v="0011051142"/>
    <s v="1"/>
    <s v="Formation"/>
    <x v="0"/>
    <s v=" Réclamation nouvelle offre 9.90€/moi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7/03/2018"/>
  </r>
  <r>
    <x v="10"/>
    <n v="3"/>
    <x v="2"/>
    <s v="ASF"/>
    <s v="21/03/2018"/>
    <s v="GLM Grille BO"/>
    <s v="Bisiaux Corinne"/>
    <x v="9"/>
    <s v="23703"/>
    <s v="SADOCKI JIMMY"/>
    <n v="74.040000000000006"/>
    <s v="11005871"/>
    <s v="7"/>
    <s v="Comité externe"/>
    <x v="1"/>
    <s v="RETENTION"/>
    <s v="Distance"/>
    <n v="0"/>
    <n v="1"/>
    <n v="1"/>
    <n v="1"/>
    <n v="1"/>
    <n v="1"/>
    <n v="1"/>
    <s v=" "/>
    <n v="1"/>
    <n v="1"/>
    <n v="1"/>
    <n v="0"/>
    <n v="1"/>
    <n v="1"/>
    <s v=" "/>
    <n v="1"/>
    <s v=" "/>
    <n v="1"/>
    <n v="1"/>
    <s v=" "/>
    <s v=" "/>
    <n v="0"/>
    <s v=" "/>
    <s v="27/03/2018"/>
  </r>
  <r>
    <x v="10"/>
    <n v="3"/>
    <x v="2"/>
    <s v="ASF"/>
    <s v="21/03/2018"/>
    <s v="GLM Grille BO"/>
    <s v="Bisiaux Corinne"/>
    <x v="9"/>
    <s v="23703"/>
    <s v="SADOCKI JIMMY"/>
    <n v="100"/>
    <s v="10302269"/>
    <s v="18"/>
    <s v="Comité externe"/>
    <x v="1"/>
    <s v="DELAI DE LIVRAISON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s v=" "/>
    <n v="1"/>
    <s v="27/03/2018"/>
  </r>
  <r>
    <x v="10"/>
    <n v="3"/>
    <x v="2"/>
    <s v="ASF"/>
    <s v="21/03/2018"/>
    <s v="GLM Grille BO"/>
    <s v="Bisiaux Corinne"/>
    <x v="1"/>
    <s v="21330"/>
    <s v="SADOCKI JIMMY"/>
    <n v="95.285714285714292"/>
    <s v="107302"/>
    <s v="27"/>
    <s v="Comité externe"/>
    <x v="1"/>
    <s v="REABONNEME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0"/>
    <n v="1"/>
    <n v="1"/>
    <s v=" "/>
    <s v=" "/>
    <n v="1"/>
    <s v="27/03/2018"/>
  </r>
  <r>
    <x v="10"/>
    <n v="3"/>
    <x v="2"/>
    <s v="ASF"/>
    <s v="21/03/2018"/>
    <s v="GLM Grille BO"/>
    <s v="Bisiaux Corinne"/>
    <x v="1"/>
    <s v="21330"/>
    <s v="SADOCKI JIMMY"/>
    <n v="100"/>
    <s v="11334650"/>
    <s v="3"/>
    <s v="Comité externe"/>
    <x v="1"/>
    <s v="RE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n v="1"/>
    <n v="1"/>
    <s v="27/03/2018"/>
  </r>
  <r>
    <x v="10"/>
    <n v="3"/>
    <x v="2"/>
    <s v="ASF"/>
    <s v="21/03/2018"/>
    <s v="GLM Grille BO"/>
    <s v="Bisiaux Corinne"/>
    <x v="3"/>
    <s v="23704"/>
    <s v="SADOCKI JIMMY"/>
    <n v="96"/>
    <s v="11303501"/>
    <s v="2"/>
    <s v="Comité externe"/>
    <x v="1"/>
    <s v="REMBOURSEMENT"/>
    <s v="Distance"/>
    <n v="1"/>
    <n v="1"/>
    <n v="1"/>
    <n v="1"/>
    <n v="0"/>
    <n v="1"/>
    <n v="1"/>
    <s v=" "/>
    <s v=" "/>
    <n v="1"/>
    <n v="1"/>
    <n v="1"/>
    <n v="1"/>
    <n v="1"/>
    <s v=" "/>
    <n v="1"/>
    <s v=" "/>
    <n v="1"/>
    <n v="1"/>
    <n v="1"/>
    <s v=" "/>
    <n v="1"/>
    <n v="1"/>
    <s v="27/03/2018"/>
  </r>
  <r>
    <x v="10"/>
    <n v="3"/>
    <x v="2"/>
    <s v="ASF"/>
    <s v="21/03/2018"/>
    <s v="GLM Grille BO"/>
    <s v="LIGENZA CYNTHIA"/>
    <x v="17"/>
    <s v="19896"/>
    <s v="SADOCKI JIMMY"/>
    <n v="86"/>
    <s v="10791437"/>
    <s v="1"/>
    <s v="Comité externe"/>
    <x v="1"/>
    <s v="CHAD ETR"/>
    <s v="Distance"/>
    <n v="1"/>
    <n v="1"/>
    <n v="1"/>
    <n v="1"/>
    <n v="0"/>
    <n v="1"/>
    <n v="1"/>
    <s v=" "/>
    <n v="1"/>
    <n v="1"/>
    <n v="1"/>
    <n v="0"/>
    <n v="1"/>
    <n v="1"/>
    <s v=" "/>
    <n v="1"/>
    <s v=" "/>
    <n v="1"/>
    <n v="1"/>
    <n v="1"/>
    <s v=" "/>
    <s v=" "/>
    <n v="1"/>
    <s v="27/03/2018"/>
  </r>
  <r>
    <x v="10"/>
    <n v="3"/>
    <x v="2"/>
    <s v="ASF"/>
    <s v="21/03/2018"/>
    <s v="GLM Grille BO"/>
    <s v="LIGENZA CYNTHIA"/>
    <x v="17"/>
    <s v="19896"/>
    <s v="SADOCKI JIMMY"/>
    <n v="100"/>
    <s v="10599725"/>
    <s v="2"/>
    <s v="Comité externe"/>
    <x v="1"/>
    <s v="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n v="1"/>
    <n v="1"/>
    <s v="27/03/2018"/>
  </r>
  <r>
    <x v="10"/>
    <n v="3"/>
    <x v="2"/>
    <s v="ASF"/>
    <s v="21/03/2018"/>
    <s v="GLM Grille BO"/>
    <s v="LIGENZA CYNTHIA"/>
    <x v="11"/>
    <s v="20994"/>
    <s v="SADOCKI JIMMY"/>
    <n v="100"/>
    <s v="118192"/>
    <s v="31"/>
    <s v="Comité externe"/>
    <x v="1"/>
    <s v="NON RECEPTION MD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n v="1"/>
    <n v="1"/>
    <s v="27/03/2018"/>
  </r>
  <r>
    <x v="10"/>
    <n v="3"/>
    <x v="2"/>
    <s v="ASF"/>
    <s v="21/03/2018"/>
    <s v="GLM Grille BO"/>
    <s v="LIGENZA CYNTHIA"/>
    <x v="11"/>
    <s v="20994"/>
    <s v="SADOCKI JIMMY"/>
    <n v="100"/>
    <s v="3086852"/>
    <s v="12"/>
    <s v="Comité externe"/>
    <x v="1"/>
    <s v="REABONN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7/03/2018"/>
  </r>
  <r>
    <x v="10"/>
    <n v="3"/>
    <x v="2"/>
    <s v="ASF"/>
    <s v="21/03/2018"/>
    <s v="GLM Grille BO"/>
    <s v="LUNEAU JULIEN"/>
    <x v="20"/>
    <s v="23902"/>
    <s v="SADOCKI JIMMY"/>
    <n v="98"/>
    <s v="113768"/>
    <s v="6"/>
    <s v="Comité externe"/>
    <x v="1"/>
    <s v="CHAD"/>
    <s v="Distance"/>
    <n v="1"/>
    <n v="1"/>
    <n v="1"/>
    <n v="1"/>
    <n v="1"/>
    <n v="1"/>
    <n v="1"/>
    <s v=" "/>
    <n v="0"/>
    <n v="1"/>
    <n v="1"/>
    <n v="1"/>
    <n v="1"/>
    <n v="1"/>
    <s v=" "/>
    <n v="1"/>
    <n v="1"/>
    <n v="1"/>
    <n v="1"/>
    <n v="1"/>
    <s v=" "/>
    <s v=" "/>
    <n v="1"/>
    <s v="28/03/2018"/>
  </r>
  <r>
    <x v="10"/>
    <n v="3"/>
    <x v="2"/>
    <s v="ASF"/>
    <s v="22/03/2018"/>
    <s v="GLM Grille BO"/>
    <s v="Bisiaux Corinne"/>
    <x v="2"/>
    <s v="23979"/>
    <s v="SADOCKI JIMMY"/>
    <n v="100"/>
    <s v="5000129824"/>
    <s v="10"/>
    <s v="Formation"/>
    <x v="0"/>
    <s v="IMPAYE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s v=" "/>
    <n v="1"/>
    <s v="27/03/2018"/>
  </r>
  <r>
    <x v="10"/>
    <n v="3"/>
    <x v="2"/>
    <s v="ASF"/>
    <s v="22/03/2018"/>
    <s v="GLM Grille BO"/>
    <s v="LIGENZA CYNTHIA"/>
    <x v="14"/>
    <s v="24750"/>
    <s v="SADOCKI JIMMY"/>
    <n v="100"/>
    <s v="0011215265"/>
    <s v="2"/>
    <s v="Formation"/>
    <x v="0"/>
    <s v="LITIGE RESILIATION"/>
    <s v="Distance"/>
    <n v="1"/>
    <n v="1"/>
    <n v="1"/>
    <n v="1"/>
    <n v="1"/>
    <n v="1"/>
    <n v="1"/>
    <s v=" "/>
    <s v=" "/>
    <n v="0"/>
    <n v="1"/>
    <n v="1"/>
    <n v="1"/>
    <n v="1"/>
    <s v=" "/>
    <n v="1"/>
    <s v=" "/>
    <n v="1"/>
    <n v="1"/>
    <n v="1"/>
    <s v=" "/>
    <s v=" "/>
    <n v="1"/>
    <s v="27/03/2018"/>
  </r>
  <r>
    <x v="10"/>
    <n v="3"/>
    <x v="2"/>
    <s v="ASF"/>
    <s v="23/03/2018"/>
    <s v="GLM Grille BO"/>
    <s v="Bisiaux Corinne"/>
    <x v="27"/>
    <s v="3629"/>
    <s v="Bisiaux Corinne"/>
    <n v="100"/>
    <s v="10635863 "/>
    <s v="3"/>
    <s v="Supervision"/>
    <x v="2"/>
    <s v="REABONNEMENT 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s v=" "/>
    <s v=" "/>
    <s v=" "/>
    <n v="1"/>
    <s v=" "/>
    <s v="28/03/2018"/>
  </r>
  <r>
    <x v="10"/>
    <n v="3"/>
    <x v="2"/>
    <s v="ASF"/>
    <s v="23/03/2018"/>
    <s v="GLM Grille BO"/>
    <s v="Bisiaux Corinne"/>
    <x v="27"/>
    <s v="3629"/>
    <s v="Bisiaux Corinne"/>
    <n v="100"/>
    <s v="0000432936"/>
    <s v="25"/>
    <s v="Supervision"/>
    <x v="1"/>
    <s v="COMMANDE "/>
    <s v="Distance"/>
    <n v="1"/>
    <n v="1"/>
    <n v="1"/>
    <n v="1"/>
    <n v="1"/>
    <n v="1"/>
    <n v="1"/>
    <n v="1"/>
    <n v="1"/>
    <n v="1"/>
    <n v="1"/>
    <n v="1"/>
    <n v="1"/>
    <n v="1"/>
    <s v=" "/>
    <n v="1"/>
    <s v=" "/>
    <n v="1"/>
    <s v=" "/>
    <s v=" "/>
    <n v="1"/>
    <s v=" "/>
    <s v=" "/>
    <s v="28/03/2018"/>
  </r>
  <r>
    <x v="10"/>
    <n v="3"/>
    <x v="2"/>
    <s v="ASF"/>
    <s v="23/03/2018"/>
    <s v="GLM Grille BO"/>
    <s v="Bisiaux Corinne"/>
    <x v="13"/>
    <s v="24719"/>
    <s v="Bisiaux Corinne"/>
    <n v="93.4"/>
    <s v="0011053881"/>
    <s v="1"/>
    <s v="Supervision"/>
    <x v="0"/>
    <s v="PROCESS GOOGLE "/>
    <s v="Distance"/>
    <n v="1"/>
    <n v="1"/>
    <n v="1"/>
    <n v="1"/>
    <n v="1"/>
    <n v="1"/>
    <n v="1"/>
    <n v="1"/>
    <s v=" "/>
    <n v="1"/>
    <n v="1"/>
    <n v="1"/>
    <n v="1"/>
    <n v="0"/>
    <s v=" "/>
    <n v="1"/>
    <n v="1"/>
    <n v="1"/>
    <n v="1"/>
    <n v="1"/>
    <s v=" "/>
    <s v=" "/>
    <s v=" "/>
    <s v="27/03/2018"/>
  </r>
  <r>
    <x v="11"/>
    <n v="3"/>
    <x v="2"/>
    <s v="ASF"/>
    <s v="27/03/2018"/>
    <s v="GLM Grille BO"/>
    <s v="Bisiaux Corinne"/>
    <x v="1"/>
    <s v="21330"/>
    <s v="SADOCKI JIMMY"/>
    <n v="100"/>
    <s v="0010904339"/>
    <s v="1"/>
    <s v="Formation"/>
    <x v="1"/>
    <s v="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9/03/2018"/>
  </r>
  <r>
    <x v="11"/>
    <n v="3"/>
    <x v="2"/>
    <s v="ASF"/>
    <s v="27/03/2018"/>
    <s v="GLM Grille BO"/>
    <s v="LUNEAU JULIEN"/>
    <x v="16"/>
    <s v="25755"/>
    <s v="SADOCKI JIMMY"/>
    <n v="100"/>
    <s v="0002012346"/>
    <s v="1"/>
    <s v="Formation"/>
    <x v="1"/>
    <s v="DEMANDE DE FACTURE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29/03/2018"/>
  </r>
  <r>
    <x v="11"/>
    <n v="3"/>
    <x v="2"/>
    <s v="ASF"/>
    <s v="28/03/2018"/>
    <s v="GLM Grille BO"/>
    <s v="LIGENZA CYNTHIA"/>
    <x v="17"/>
    <s v="19896"/>
    <s v="SADOCKI JIMMY"/>
    <n v="90"/>
    <s v="0011115173"/>
    <s v="1"/>
    <s v="Formation"/>
    <x v="1"/>
    <s v="CHAD DEF"/>
    <s v="Distance"/>
    <n v="1"/>
    <n v="1"/>
    <n v="1"/>
    <n v="1"/>
    <n v="1"/>
    <n v="1"/>
    <n v="1"/>
    <s v=" "/>
    <n v="1"/>
    <n v="1"/>
    <n v="1"/>
    <n v="0"/>
    <n v="1"/>
    <n v="1"/>
    <s v=" "/>
    <n v="1"/>
    <s v=" "/>
    <n v="1"/>
    <n v="1"/>
    <s v=" "/>
    <s v=" "/>
    <s v=" "/>
    <s v=" "/>
    <s v="29/03/2018"/>
  </r>
  <r>
    <x v="0"/>
    <n v="1"/>
    <x v="0"/>
    <s v="PHONE"/>
    <s v="02/01/2018"/>
    <s v="GLM Grille BO"/>
    <s v="DIONGUE Astou"/>
    <x v="30"/>
    <s v="5677"/>
    <s v="MASCLET ANNIE LAURE"/>
    <n v="100"/>
    <s v="0000504045"/>
    <s v="1"/>
    <s v="Formation"/>
    <x v="2"/>
    <s v="Demande d'accès à l'Edition abonnés du Monde.fr 7j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16/01/2018"/>
  </r>
  <r>
    <x v="0"/>
    <n v="1"/>
    <x v="0"/>
    <s v="PHONE"/>
    <s v="06/01/2018"/>
    <s v="GLM Grille BO"/>
    <s v="DIONGUE Astou"/>
    <x v="31"/>
    <s v="20328"/>
    <s v="LEPINE ANNIE"/>
    <n v="90"/>
    <s v="0010719260"/>
    <s v="14"/>
    <s v="Controleur"/>
    <x v="3"/>
    <s v="Application mobile"/>
    <s v="Distance"/>
    <n v="1"/>
    <n v="1"/>
    <n v="1"/>
    <n v="1"/>
    <n v="1"/>
    <n v="1"/>
    <n v="1"/>
    <s v=" "/>
    <s v=" "/>
    <n v="1"/>
    <n v="1"/>
    <n v="0"/>
    <s v=" "/>
    <n v="1"/>
    <s v=" "/>
    <n v="1"/>
    <n v="1"/>
    <n v="1"/>
    <n v="1"/>
    <s v=" "/>
    <s v=" "/>
    <s v=" "/>
    <s v=" "/>
    <s v="16/01/2018"/>
  </r>
  <r>
    <x v="0"/>
    <n v="1"/>
    <x v="0"/>
    <s v="PHONE"/>
    <s v="06/01/2018"/>
    <s v="GLM Grille BO"/>
    <s v="DIONGUE Astou"/>
    <x v="31"/>
    <s v="20328"/>
    <s v="LEPINE ANNIE"/>
    <n v="94.38297872340425"/>
    <s v="0011319385"/>
    <s v="2"/>
    <s v="Controleur"/>
    <x v="3"/>
    <s v="Non réception"/>
    <s v="Distance"/>
    <n v="1"/>
    <n v="1"/>
    <n v="1"/>
    <s v=" "/>
    <n v="1"/>
    <n v="1"/>
    <n v="1"/>
    <s v=" "/>
    <s v=" "/>
    <n v="1"/>
    <n v="1"/>
    <n v="1"/>
    <s v=" "/>
    <n v="1"/>
    <s v=" "/>
    <n v="1"/>
    <s v=" "/>
    <n v="0"/>
    <n v="1"/>
    <n v="1"/>
    <s v=" "/>
    <s v=" "/>
    <s v=" "/>
    <s v="16/01/2018"/>
  </r>
  <r>
    <x v="0"/>
    <n v="1"/>
    <x v="0"/>
    <s v="PHONE"/>
    <s v="06/01/2018"/>
    <s v="GLM Grille BO"/>
    <s v="DIONGUE Astou"/>
    <x v="32"/>
    <s v="11107"/>
    <s v="LEPINE ANNIE"/>
    <n v="100"/>
    <s v="0010594950"/>
    <s v="1"/>
    <s v="Controleur"/>
    <x v="3"/>
    <s v="Délai de réception"/>
    <s v="Distance"/>
    <n v="1"/>
    <n v="1"/>
    <n v="1"/>
    <n v="1"/>
    <n v="1"/>
    <n v="1"/>
    <n v="1"/>
    <n v="1"/>
    <s v=" "/>
    <n v="1"/>
    <n v="1"/>
    <n v="1"/>
    <s v=" "/>
    <n v="1"/>
    <s v=" "/>
    <n v="1"/>
    <s v=" "/>
    <n v="1"/>
    <n v="1"/>
    <s v=" "/>
    <s v=" "/>
    <s v=" "/>
    <s v=" "/>
    <s v="16/01/2018"/>
  </r>
  <r>
    <x v="0"/>
    <n v="1"/>
    <x v="0"/>
    <s v="PHONE"/>
    <s v="06/01/2018"/>
    <s v="GLM Grille BO"/>
    <s v="DIONGUE Astou"/>
    <x v="32"/>
    <s v="11107"/>
    <s v="LEPINE ANNIE"/>
    <n v="100"/>
    <s v="0010608991"/>
    <s v="3"/>
    <s v="Controleur"/>
    <x v="2"/>
    <s v="Consignes de dépôt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s v=" "/>
    <s v=" "/>
    <s v=" "/>
    <s v=" "/>
    <s v="16/01/2018"/>
  </r>
  <r>
    <x v="0"/>
    <n v="1"/>
    <x v="0"/>
    <s v="PHONE"/>
    <s v="06/01/2018"/>
    <s v="GLM Grille BO"/>
    <s v="DIONGUE Astou"/>
    <x v="33"/>
    <s v="12466"/>
    <s v="LEPINE ANNIE"/>
    <n v="100"/>
    <s v="0001326726"/>
    <s v="1"/>
    <s v="Controleur"/>
    <x v="3"/>
    <s v="Résiliation"/>
    <s v="Distance"/>
    <n v="1"/>
    <n v="1"/>
    <n v="1"/>
    <n v="1"/>
    <n v="1"/>
    <n v="1"/>
    <n v="1"/>
    <s v=" "/>
    <s v=" "/>
    <n v="1"/>
    <n v="1"/>
    <n v="1"/>
    <s v=" "/>
    <n v="1"/>
    <s v=" "/>
    <n v="1"/>
    <s v=" "/>
    <n v="1"/>
    <n v="1"/>
    <s v=" "/>
    <s v=" "/>
    <s v=" "/>
    <s v=" "/>
    <s v="19/01/2018"/>
  </r>
  <r>
    <x v="0"/>
    <n v="1"/>
    <x v="0"/>
    <s v="PHONE"/>
    <s v="06/01/2018"/>
    <s v="GLM Grille BO"/>
    <s v="DIONGUE Astou"/>
    <x v="33"/>
    <s v="12466"/>
    <s v="LEPINE ANNIE"/>
    <n v="100"/>
    <s v="0010912887"/>
    <s v="3"/>
    <s v="Controleur"/>
    <x v="3"/>
    <s v="Confirmation résiliation"/>
    <s v="Distance"/>
    <n v="1"/>
    <n v="1"/>
    <n v="1"/>
    <n v="1"/>
    <n v="1"/>
    <n v="1"/>
    <n v="1"/>
    <s v=" "/>
    <s v=" "/>
    <n v="1"/>
    <n v="1"/>
    <n v="1"/>
    <s v=" "/>
    <n v="1"/>
    <s v=" "/>
    <n v="1"/>
    <s v=" "/>
    <n v="1"/>
    <n v="1"/>
    <s v=" "/>
    <s v=" "/>
    <n v="1"/>
    <n v="1"/>
    <s v="19/01/2018"/>
  </r>
  <r>
    <x v="0"/>
    <n v="1"/>
    <x v="0"/>
    <s v="PHONE"/>
    <s v="06/01/2018"/>
    <s v="GLM Grille BO"/>
    <s v="DIONGUE Astou"/>
    <x v="34"/>
    <s v="21214"/>
    <s v="LEPINE ANNIE"/>
    <n v="78"/>
    <s v="0001162222"/>
    <s v="4"/>
    <s v="Controleur"/>
    <x v="3"/>
    <m/>
    <s v="Distance"/>
    <n v="0"/>
    <n v="1"/>
    <n v="1"/>
    <n v="1"/>
    <n v="1"/>
    <n v="1"/>
    <n v="1"/>
    <s v=" "/>
    <s v=" "/>
    <n v="1"/>
    <n v="1"/>
    <n v="0"/>
    <s v=" "/>
    <n v="1"/>
    <s v=" "/>
    <n v="1"/>
    <s v=" "/>
    <n v="1"/>
    <n v="1"/>
    <s v=" "/>
    <s v=" "/>
    <s v=" "/>
    <s v=" "/>
    <s v="16/01/2018"/>
  </r>
  <r>
    <x v="0"/>
    <n v="1"/>
    <x v="0"/>
    <s v="PHONE"/>
    <s v="06/01/2018"/>
    <s v="GLM Grille BO"/>
    <s v="DIONGUE Astou"/>
    <x v="34"/>
    <s v="21214"/>
    <s v="LEPINE ANNIE"/>
    <n v="94.5"/>
    <s v="11441585"/>
    <s v="1"/>
    <s v="Controleur"/>
    <x v="3"/>
    <s v="Réabonnement"/>
    <s v="Distance"/>
    <n v="1"/>
    <n v="1"/>
    <s v=" "/>
    <n v="1"/>
    <n v="1"/>
    <n v="1"/>
    <n v="1"/>
    <s v=" "/>
    <s v=" "/>
    <n v="1"/>
    <n v="1"/>
    <n v="1"/>
    <n v="1"/>
    <n v="1"/>
    <s v=" "/>
    <s v=" "/>
    <s v=" "/>
    <n v="0"/>
    <n v="1"/>
    <n v="1"/>
    <s v=" "/>
    <s v=" "/>
    <n v="1"/>
    <s v="16/01/2018"/>
  </r>
  <r>
    <x v="0"/>
    <n v="1"/>
    <x v="0"/>
    <s v="PHONE"/>
    <s v="06/01/2018"/>
    <s v="GLM Grille BO"/>
    <s v="EL ABSI Yahya"/>
    <x v="35"/>
    <s v="18513"/>
    <s v="LEPINE ANNIE"/>
    <n v="100"/>
    <s v="0010809417"/>
    <s v="1"/>
    <s v="Controleur"/>
    <x v="3"/>
    <s v="Résiliation"/>
    <s v="Distance"/>
    <n v="1"/>
    <n v="1"/>
    <n v="1"/>
    <n v="1"/>
    <n v="1"/>
    <n v="1"/>
    <n v="1"/>
    <s v=" "/>
    <s v=" "/>
    <n v="1"/>
    <n v="1"/>
    <n v="1"/>
    <s v=" "/>
    <n v="1"/>
    <s v=" "/>
    <n v="1"/>
    <s v=" "/>
    <n v="1"/>
    <n v="1"/>
    <s v=" "/>
    <s v=" "/>
    <s v=" "/>
    <s v=" "/>
    <s v="19/01/2018"/>
  </r>
  <r>
    <x v="0"/>
    <n v="1"/>
    <x v="0"/>
    <s v="PHONE"/>
    <s v="06/01/2018"/>
    <s v="GLM Grille BO"/>
    <s v="EL ABSI Yahya"/>
    <x v="35"/>
    <s v="18513"/>
    <s v="LEPINE ANNIE"/>
    <n v="100"/>
    <s v="0010978850"/>
    <s v="3"/>
    <s v="Controleur"/>
    <x v="2"/>
    <s v="Non récpetion M"/>
    <s v="Distance"/>
    <n v="1"/>
    <n v="1"/>
    <n v="1"/>
    <n v="1"/>
    <n v="1"/>
    <n v="1"/>
    <n v="1"/>
    <s v=" "/>
    <s v=" "/>
    <n v="1"/>
    <n v="1"/>
    <n v="1"/>
    <s v=" "/>
    <n v="1"/>
    <s v=" "/>
    <n v="1"/>
    <s v=" "/>
    <n v="1"/>
    <n v="1"/>
    <s v=" "/>
    <s v=" "/>
    <s v=" "/>
    <n v="1"/>
    <s v="19/01/2018"/>
  </r>
  <r>
    <x v="0"/>
    <n v="1"/>
    <x v="0"/>
    <s v="PHONE"/>
    <s v="06/01/2018"/>
    <s v="GLM Grille BO"/>
    <s v="OUHSAIN Mina"/>
    <x v="36"/>
    <s v="11110"/>
    <s v="LEPINE ANNIE"/>
    <n v="96"/>
    <s v="0000583721"/>
    <s v="33"/>
    <s v="Controleur"/>
    <x v="3"/>
    <s v="Résiliation rétention"/>
    <s v="Distance"/>
    <n v="1"/>
    <n v="1"/>
    <n v="1"/>
    <n v="1"/>
    <n v="1"/>
    <n v="1"/>
    <n v="1"/>
    <s v=" "/>
    <s v=" "/>
    <n v="1"/>
    <n v="0"/>
    <n v="1"/>
    <s v=" "/>
    <n v="1"/>
    <s v=" "/>
    <n v="1"/>
    <s v=" "/>
    <n v="1"/>
    <n v="1"/>
    <s v=" "/>
    <s v=" "/>
    <n v="1"/>
    <n v="1"/>
    <m/>
  </r>
  <r>
    <x v="1"/>
    <n v="1"/>
    <x v="0"/>
    <s v="PHONE"/>
    <s v="08/01/2018"/>
    <s v="GLM Grille BO"/>
    <s v="BEN KIRANE Fatima zahra"/>
    <x v="37"/>
    <s v="530"/>
    <s v="MASCLET ANNIE LAURE"/>
    <n v="75"/>
    <s v="11147123"/>
    <s v="6"/>
    <s v="Comité externe"/>
    <x v="2"/>
    <s v="MAJ consignes de dépôts"/>
    <s v="Distance"/>
    <n v="1"/>
    <n v="1"/>
    <n v="1"/>
    <n v="1"/>
    <n v="1"/>
    <n v="1"/>
    <n v="1"/>
    <s v=" "/>
    <n v="1"/>
    <n v="1"/>
    <n v="0"/>
    <n v="0"/>
    <n v="0"/>
    <n v="1"/>
    <s v=" "/>
    <n v="1"/>
    <s v=" "/>
    <n v="1"/>
    <n v="1"/>
    <s v=" "/>
    <s v=" "/>
    <s v=" "/>
    <s v=" "/>
    <s v="29/01/2018"/>
  </r>
  <r>
    <x v="1"/>
    <n v="1"/>
    <x v="0"/>
    <s v="PHONE"/>
    <s v="08/01/2018"/>
    <s v="GLM Grille BO"/>
    <s v="BEN KIRANE Fatima zahra"/>
    <x v="37"/>
    <s v="530"/>
    <s v="MASCLET ANNIE LAURE"/>
    <n v="100"/>
    <s v="11208382"/>
    <s v="2"/>
    <s v="Comité externe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s v=" "/>
    <s v=" "/>
    <s v="29/01/2018"/>
  </r>
  <r>
    <x v="1"/>
    <n v="1"/>
    <x v="0"/>
    <s v="PHONE"/>
    <s v="08/01/2018"/>
    <s v="GLM Grille BO"/>
    <s v="BEN KIRANE Fatima zahra"/>
    <x v="37"/>
    <s v="530"/>
    <s v="MASCLET ANNIE LAURE"/>
    <n v="100"/>
    <s v="11191118"/>
    <s v="5"/>
    <s v="Comité externe"/>
    <x v="2"/>
    <s v="MAJ du prénom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s v=" "/>
    <s v=" "/>
    <s v="29/01/2018"/>
  </r>
  <r>
    <x v="1"/>
    <n v="1"/>
    <x v="0"/>
    <s v="PHONE"/>
    <s v="08/01/2018"/>
    <s v="GLM Grille BO"/>
    <s v="DIONGUE Astou"/>
    <x v="38"/>
    <s v="19241"/>
    <s v="RAHMAT Issam"/>
    <n v="88.5"/>
    <s v="10527662"/>
    <s v="3"/>
    <s v="Comité externe"/>
    <x v="2"/>
    <s v="Confirmation résiliation Abo"/>
    <s v="Distance"/>
    <n v="1"/>
    <n v="1"/>
    <n v="1"/>
    <n v="1"/>
    <n v="0"/>
    <n v="1"/>
    <n v="1"/>
    <s v=" "/>
    <s v=" "/>
    <n v="1"/>
    <n v="1"/>
    <n v="1"/>
    <n v="1"/>
    <n v="0"/>
    <s v=" "/>
    <n v="1"/>
    <s v=" "/>
    <n v="1"/>
    <n v="1"/>
    <s v=" "/>
    <s v=" "/>
    <s v=" "/>
    <s v=" "/>
    <s v="29/01/2018"/>
  </r>
  <r>
    <x v="1"/>
    <n v="1"/>
    <x v="0"/>
    <s v="PHONE"/>
    <s v="08/01/2018"/>
    <s v="GLM Grille BO"/>
    <s v="EL ABSI Yahya"/>
    <x v="35"/>
    <s v="18513"/>
    <s v="MASCLET ANNIE LAURE"/>
    <n v="65.040000000000006"/>
    <s v="5000820016"/>
    <s v="3"/>
    <s v="Comité externe"/>
    <x v="2"/>
    <s v="Non réception suite au REAB"/>
    <s v="Distance"/>
    <n v="0"/>
    <n v="1"/>
    <n v="0"/>
    <n v="1"/>
    <n v="1"/>
    <n v="1"/>
    <n v="1"/>
    <s v=" "/>
    <n v="1"/>
    <n v="1"/>
    <n v="1"/>
    <n v="0"/>
    <n v="1"/>
    <n v="1"/>
    <s v=" "/>
    <n v="1"/>
    <s v=" "/>
    <n v="1"/>
    <n v="1"/>
    <n v="0"/>
    <s v=" "/>
    <s v=" "/>
    <s v=" "/>
    <s v="19/01/2018"/>
  </r>
  <r>
    <x v="1"/>
    <n v="1"/>
    <x v="0"/>
    <s v="PHONE"/>
    <s v="08/01/2018"/>
    <s v="GLM Grille BO"/>
    <s v="EL ABSI Yahya"/>
    <x v="35"/>
    <s v="18513"/>
    <s v="MASCLET ANNIE LAURE"/>
    <n v="100"/>
    <s v="11147123"/>
    <s v="5"/>
    <s v="Comité externe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s v=" "/>
    <s v=" "/>
    <s v="19/01/2018"/>
  </r>
  <r>
    <x v="1"/>
    <n v="1"/>
    <x v="0"/>
    <s v="PHONE"/>
    <s v="10/01/2018"/>
    <s v="GLM Grille BO"/>
    <s v="BOULAL Hajar"/>
    <x v="39"/>
    <s v="3648"/>
    <s v="MASCLET ANNIE LAURE"/>
    <n v="68.656716417910445"/>
    <s v="0011319087"/>
    <s v="1"/>
    <s v="Formation"/>
    <x v="3"/>
    <s v="Souscription de réabonnement payant"/>
    <s v="Distance"/>
    <n v="1"/>
    <s v=" "/>
    <s v=" "/>
    <n v="1"/>
    <n v="1"/>
    <n v="1"/>
    <n v="1"/>
    <s v=" "/>
    <n v="1"/>
    <n v="1"/>
    <n v="1"/>
    <n v="0"/>
    <n v="1"/>
    <s v=" "/>
    <s v=" "/>
    <s v=" "/>
    <n v="0"/>
    <s v=" "/>
    <s v=" "/>
    <s v=" "/>
    <s v=" "/>
    <s v=" "/>
    <s v=" "/>
    <s v="19/01/2018"/>
  </r>
  <r>
    <x v="1"/>
    <n v="1"/>
    <x v="0"/>
    <s v="PHONE"/>
    <s v="10/01/2018"/>
    <s v="GLM Grille BO"/>
    <s v="DIONGUE Astou"/>
    <x v="38"/>
    <s v="19241"/>
    <s v="RAHMAT Issam"/>
    <n v="100"/>
    <s v="0010565360"/>
    <s v="4"/>
    <s v="Formation"/>
    <x v="3"/>
    <s v="Demande de résilia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9/01/2018"/>
  </r>
  <r>
    <x v="1"/>
    <n v="1"/>
    <x v="0"/>
    <s v="PHONE"/>
    <s v="10/01/2018"/>
    <s v="GLM Grille BO"/>
    <s v="DIONGUE Astou"/>
    <x v="32"/>
    <s v="11107"/>
    <s v="MASCLET ANNIE LAURE"/>
    <n v="100"/>
    <s v="0011181431"/>
    <s v="2"/>
    <s v="Formation"/>
    <x v="2"/>
    <s v="Info échéancier de prélèv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s v=" "/>
    <s v=" "/>
    <s v=" "/>
    <s v=" "/>
    <s v="16/01/2018"/>
  </r>
  <r>
    <x v="1"/>
    <n v="1"/>
    <x v="0"/>
    <s v="PHONE"/>
    <s v="10/01/2018"/>
    <s v="GLM Grille BO"/>
    <s v="EL ABSI Yahya"/>
    <x v="35"/>
    <s v="18513"/>
    <s v="MASCLET ANNIE LAURE"/>
    <n v="100"/>
    <s v="0010821034"/>
    <s v="4"/>
    <s v="Formation"/>
    <x v="3"/>
    <s v="Reabonnement suite reten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9/01/2018"/>
  </r>
  <r>
    <x v="1"/>
    <n v="1"/>
    <x v="0"/>
    <s v="PHONE"/>
    <s v="11/01/2018"/>
    <s v="GLM Grille BO"/>
    <s v="BOULAL Hajar"/>
    <x v="39"/>
    <s v="3648"/>
    <s v="MASCLET ANNIE LAURE"/>
    <n v="68.656716417910445"/>
    <s v="0002010997"/>
    <s v="1"/>
    <s v="Formation"/>
    <x v="3"/>
    <s v="Souscription de réabonnement payant"/>
    <s v="Distance"/>
    <n v="1"/>
    <s v=" "/>
    <s v=" "/>
    <n v="1"/>
    <n v="1"/>
    <n v="1"/>
    <n v="0"/>
    <s v=" "/>
    <n v="1"/>
    <n v="1"/>
    <n v="1"/>
    <n v="0"/>
    <n v="1"/>
    <s v=" "/>
    <s v=" "/>
    <s v=" "/>
    <n v="0"/>
    <s v=" "/>
    <s v=" "/>
    <s v=" "/>
    <s v=" "/>
    <s v=" "/>
    <s v=" "/>
    <s v="19/01/2018"/>
  </r>
  <r>
    <x v="1"/>
    <n v="1"/>
    <x v="0"/>
    <s v="PHONE"/>
    <s v="11/01/2018"/>
    <s v="GLM Grille BO"/>
    <s v="BOULAL Hajar"/>
    <x v="39"/>
    <s v="3648"/>
    <s v="MASCLET ANNIE LAURE"/>
    <n v="100"/>
    <s v="0000111272"/>
    <s v="1"/>
    <s v="Formation"/>
    <x v="1"/>
    <s v="Souscription de réabonnement payant"/>
    <s v="Distance"/>
    <n v="1"/>
    <s v=" "/>
    <s v=" "/>
    <n v="1"/>
    <n v="1"/>
    <n v="1"/>
    <n v="1"/>
    <s v=" "/>
    <n v="1"/>
    <n v="1"/>
    <n v="1"/>
    <n v="1"/>
    <n v="1"/>
    <s v=" "/>
    <s v=" "/>
    <s v=" "/>
    <s v=" "/>
    <s v=" "/>
    <s v=" "/>
    <s v=" "/>
    <s v=" "/>
    <s v=" "/>
    <s v=" "/>
    <s v="19/01/2018"/>
  </r>
  <r>
    <x v="1"/>
    <n v="1"/>
    <x v="0"/>
    <s v="PHONE"/>
    <s v="11/01/2018"/>
    <s v="GLM Grille BO"/>
    <s v="DIONGUE Astou"/>
    <x v="34"/>
    <s v="21214"/>
    <s v="MASCLET ANNIE LAURE"/>
    <n v="68.656716417910445"/>
    <s v="0000015912"/>
    <s v="1"/>
    <s v="Formation"/>
    <x v="2"/>
    <s v="Souscription de réabonnement payant"/>
    <s v="Distance"/>
    <n v="1"/>
    <s v=" "/>
    <s v=" "/>
    <n v="1"/>
    <n v="1"/>
    <n v="1"/>
    <n v="1"/>
    <s v=" "/>
    <n v="1"/>
    <n v="1"/>
    <n v="1"/>
    <n v="0"/>
    <n v="1"/>
    <s v=" "/>
    <s v=" "/>
    <s v=" "/>
    <n v="0"/>
    <s v=" "/>
    <s v=" "/>
    <s v=" "/>
    <s v=" "/>
    <s v=" "/>
    <s v=" "/>
    <s v="16/01/2018"/>
  </r>
  <r>
    <x v="1"/>
    <n v="1"/>
    <x v="0"/>
    <s v="PHONE"/>
    <s v="11/01/2018"/>
    <s v="GLM Grille BO"/>
    <s v="EL ABSI Yahya"/>
    <x v="35"/>
    <s v="18513"/>
    <s v="MASCLET ANNIE LAURE"/>
    <n v="83.888888888888886"/>
    <s v="1585155"/>
    <s v="1"/>
    <s v="Formation"/>
    <x v="2"/>
    <s v="Délai de livraison"/>
    <s v="Distance"/>
    <n v="1"/>
    <n v="1"/>
    <n v="1"/>
    <n v="1"/>
    <n v="1"/>
    <n v="1"/>
    <n v="1"/>
    <s v=" "/>
    <n v="1"/>
    <n v="1"/>
    <n v="1"/>
    <n v="0"/>
    <n v="1"/>
    <n v="0"/>
    <s v=" "/>
    <n v="1"/>
    <n v="1"/>
    <n v="1"/>
    <n v="1"/>
    <n v="1"/>
    <n v="1"/>
    <s v=" "/>
    <s v=" "/>
    <s v="19/01/2018"/>
  </r>
  <r>
    <x v="2"/>
    <n v="1"/>
    <x v="0"/>
    <s v="PHONE"/>
    <s v="16/01/2018"/>
    <s v="GLM Grille BO"/>
    <s v="BEN KIRANE Fatima zahra"/>
    <x v="37"/>
    <s v="530"/>
    <s v="SADOCKI JIMMY"/>
    <n v="100"/>
    <s v="10582634"/>
    <s v="3"/>
    <s v="Comité externe"/>
    <x v="3"/>
    <s v="RESILIATION ETRANGER"/>
    <s v="Distance"/>
    <n v="1"/>
    <n v="1"/>
    <n v="1"/>
    <n v="1"/>
    <n v="1"/>
    <n v="1"/>
    <n v="1"/>
    <s v=" "/>
    <s v=" "/>
    <n v="1"/>
    <n v="1"/>
    <n v="1"/>
    <n v="1"/>
    <n v="1"/>
    <s v=" "/>
    <n v="1"/>
    <n v="1"/>
    <n v="1"/>
    <n v="1"/>
    <n v="1"/>
    <n v="1"/>
    <n v="1"/>
    <n v="1"/>
    <s v="29/01/2018"/>
  </r>
  <r>
    <x v="2"/>
    <n v="1"/>
    <x v="0"/>
    <s v="PHONE"/>
    <s v="16/01/2018"/>
    <s v="GLM Grille BO"/>
    <s v="BEN KIRANE Fatima zahra"/>
    <x v="37"/>
    <s v="530"/>
    <s v="SADOCKI JIMMY"/>
    <n v="100"/>
    <s v="10487140"/>
    <s v="4"/>
    <s v="Comité externe"/>
    <x v="3"/>
    <s v="RESILIA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n v="1"/>
    <s v="29/01/2018"/>
  </r>
  <r>
    <x v="2"/>
    <n v="1"/>
    <x v="0"/>
    <s v="PHONE"/>
    <s v="16/01/2018"/>
    <s v="GLM Grille BO"/>
    <s v="BEN KIRANE Fatima zahra"/>
    <x v="37"/>
    <s v="530"/>
    <s v="SADOCKI JIMMY"/>
    <n v="100"/>
    <s v="2517303"/>
    <s v="9"/>
    <s v="Comité externe"/>
    <x v="3"/>
    <s v="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n v="1"/>
    <s v="29/01/2018"/>
  </r>
  <r>
    <x v="2"/>
    <n v="1"/>
    <x v="0"/>
    <s v="PHONE"/>
    <s v="16/01/2018"/>
    <s v="GLM Grille BO"/>
    <s v="BEN KIRANE Fatima zahra"/>
    <x v="37"/>
    <s v="530"/>
    <s v="SADOCKI JIMMY"/>
    <n v="100"/>
    <s v="2895085"/>
    <s v="9"/>
    <s v="Comité externe"/>
    <x v="3"/>
    <s v="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s v=" "/>
    <n v="1"/>
    <s v="29/01/2018"/>
  </r>
  <r>
    <x v="2"/>
    <n v="1"/>
    <x v="0"/>
    <s v="PHONE"/>
    <s v="16/01/2018"/>
    <s v="GLM Grille BO"/>
    <s v="DIONGUE Astou"/>
    <x v="38"/>
    <s v="19241"/>
    <s v="SADOCKI JIMMY"/>
    <n v="86.464285714285708"/>
    <s v="11295640"/>
    <s v="2"/>
    <s v="Comité externe"/>
    <x v="3"/>
    <s v="PB RECEPTION"/>
    <s v="Distance"/>
    <n v="1"/>
    <n v="1"/>
    <n v="1"/>
    <n v="1"/>
    <n v="1"/>
    <n v="1"/>
    <n v="1"/>
    <s v=" "/>
    <s v=" "/>
    <n v="0"/>
    <n v="1"/>
    <n v="0"/>
    <n v="1"/>
    <n v="1"/>
    <s v=" "/>
    <n v="1"/>
    <s v=" "/>
    <n v="1"/>
    <n v="1"/>
    <n v="0"/>
    <s v=" "/>
    <s v=" "/>
    <n v="1"/>
    <s v="29/01/2018"/>
  </r>
  <r>
    <x v="2"/>
    <n v="1"/>
    <x v="0"/>
    <s v="PHONE"/>
    <s v="16/01/2018"/>
    <s v="GLM Grille BO"/>
    <s v="DIONGUE Astou"/>
    <x v="38"/>
    <s v="19241"/>
    <s v="RAHMAT Issam"/>
    <n v="89.392857142857139"/>
    <s v="5000832101"/>
    <s v="7"/>
    <s v="Comité externe"/>
    <x v="3"/>
    <s v="NON RECEPTION"/>
    <s v="Distance"/>
    <n v="1"/>
    <n v="1"/>
    <n v="1"/>
    <n v="1"/>
    <n v="1"/>
    <n v="1"/>
    <n v="1"/>
    <s v=" "/>
    <s v=" "/>
    <n v="0"/>
    <n v="1"/>
    <n v="1"/>
    <n v="1"/>
    <n v="0"/>
    <s v=" "/>
    <n v="1"/>
    <s v=" "/>
    <n v="0"/>
    <n v="1"/>
    <n v="1"/>
    <s v=" "/>
    <s v=" "/>
    <n v="1"/>
    <s v="29/01/2018"/>
  </r>
  <r>
    <x v="2"/>
    <n v="1"/>
    <x v="0"/>
    <s v="PHONE"/>
    <s v="16/01/2018"/>
    <s v="GLM Grille BO"/>
    <s v="DIONGUE Astou"/>
    <x v="31"/>
    <s v="20328"/>
    <s v="SADOCKI JIMMY"/>
    <n v="78"/>
    <s v="10237768"/>
    <s v="1"/>
    <s v="Comité externe"/>
    <x v="3"/>
    <s v="NON RECEPTION"/>
    <s v="Distance"/>
    <n v="1"/>
    <n v="1"/>
    <n v="0"/>
    <n v="1"/>
    <n v="1"/>
    <n v="1"/>
    <n v="0"/>
    <s v=" "/>
    <n v="0"/>
    <n v="0"/>
    <n v="1"/>
    <n v="0"/>
    <n v="1"/>
    <n v="1"/>
    <s v=" "/>
    <n v="1"/>
    <s v=" "/>
    <n v="1"/>
    <n v="1"/>
    <n v="1"/>
    <s v=" "/>
    <s v=" "/>
    <s v=" "/>
    <s v="30/01/2018"/>
  </r>
  <r>
    <x v="2"/>
    <n v="1"/>
    <x v="0"/>
    <s v="PHONE"/>
    <s v="16/01/2018"/>
    <s v="GLM Grille BO"/>
    <s v="DIONGUE Astou"/>
    <x v="31"/>
    <s v="20328"/>
    <s v="SADOCKI JIMMY"/>
    <n v="89"/>
    <s v="10910838"/>
    <s v="7"/>
    <s v="Comité externe"/>
    <x v="3"/>
    <s v="RESILIATION ETRANGER"/>
    <s v="Distance"/>
    <n v="1"/>
    <n v="1"/>
    <n v="1"/>
    <n v="1"/>
    <n v="1"/>
    <n v="1"/>
    <n v="1"/>
    <s v=" "/>
    <s v=" "/>
    <n v="1"/>
    <n v="1"/>
    <n v="1"/>
    <n v="0"/>
    <n v="1"/>
    <s v=" "/>
    <n v="1"/>
    <s v=" "/>
    <n v="1"/>
    <n v="1"/>
    <n v="1"/>
    <s v=" "/>
    <s v=" "/>
    <n v="1"/>
    <s v="30/01/2018"/>
  </r>
  <r>
    <x v="2"/>
    <n v="1"/>
    <x v="0"/>
    <s v="PHONE"/>
    <s v="16/01/2018"/>
    <s v="GLM Grille BO"/>
    <s v="DIONGUE Astou"/>
    <x v="32"/>
    <s v="11107"/>
    <s v="SADOCKI JIMMY"/>
    <n v="100"/>
    <s v="1030381"/>
    <s v="51"/>
    <s v="Comité externe"/>
    <x v="3"/>
    <s v="REABONN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s v=" "/>
    <n v="1"/>
    <s v="29/01/2018"/>
  </r>
  <r>
    <x v="2"/>
    <n v="1"/>
    <x v="0"/>
    <s v="PHONE"/>
    <s v="16/01/2018"/>
    <s v="GLM Grille BO"/>
    <s v="DIONGUE Astou"/>
    <x v="33"/>
    <s v="12466"/>
    <s v="SADOCKI JIMMY"/>
    <n v="95.285714285714292"/>
    <s v="10284914"/>
    <s v="2"/>
    <s v="Comité externe"/>
    <x v="3"/>
    <s v="RESILIATION"/>
    <s v="Distance"/>
    <n v="1"/>
    <n v="1"/>
    <n v="1"/>
    <n v="1"/>
    <n v="1"/>
    <n v="1"/>
    <n v="0"/>
    <s v=" "/>
    <s v=" "/>
    <n v="1"/>
    <n v="1"/>
    <n v="1"/>
    <n v="1"/>
    <n v="1"/>
    <s v=" "/>
    <n v="1"/>
    <s v=" "/>
    <n v="0"/>
    <n v="1"/>
    <n v="1"/>
    <s v=" "/>
    <s v=" "/>
    <n v="1"/>
    <s v="13/02/2018"/>
  </r>
  <r>
    <x v="3"/>
    <n v="1"/>
    <x v="0"/>
    <s v="PHONE"/>
    <s v="22/01/2018"/>
    <s v="GLM Grille BO"/>
    <s v="BEN KIRANE Fatima zahra"/>
    <x v="37"/>
    <s v="530"/>
    <s v="MASCLET ANNIE LAURE"/>
    <n v="90"/>
    <s v="0010785654"/>
    <s v="1"/>
    <s v="Formation"/>
    <x v="3"/>
    <s v=" Prélèvement abusif (erreur prélèvement)"/>
    <s v="Distance"/>
    <n v="1"/>
    <n v="1"/>
    <n v="1"/>
    <n v="1"/>
    <n v="1"/>
    <n v="1"/>
    <n v="1"/>
    <s v=" "/>
    <n v="1"/>
    <n v="1"/>
    <n v="1"/>
    <n v="0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BOULAL Hajar"/>
    <x v="39"/>
    <s v="3648"/>
    <s v="MASCLET ANNIE LAURE"/>
    <n v="68.656716417910445"/>
    <s v="0003183672"/>
    <s v="1"/>
    <s v="Formation"/>
    <x v="3"/>
    <s v="Souscription de réabonnement payant"/>
    <s v="Distance"/>
    <n v="1"/>
    <s v=" "/>
    <s v=" "/>
    <n v="1"/>
    <n v="1"/>
    <n v="1"/>
    <n v="1"/>
    <s v=" "/>
    <n v="1"/>
    <n v="1"/>
    <n v="1"/>
    <n v="0"/>
    <n v="1"/>
    <s v=" "/>
    <s v=" "/>
    <s v=" "/>
    <n v="0"/>
    <s v=" "/>
    <s v=" "/>
    <s v=" "/>
    <s v=" "/>
    <s v=" "/>
    <s v=" "/>
    <s v="29/01/2018"/>
  </r>
  <r>
    <x v="3"/>
    <n v="1"/>
    <x v="0"/>
    <s v="PHONE"/>
    <s v="22/01/2018"/>
    <s v="GLM Grille BO"/>
    <s v="BOULAL Hajar"/>
    <x v="40"/>
    <s v="22040"/>
    <s v="MASCLET ANNIE LAURE"/>
    <n v="88"/>
    <s v="0011049855"/>
    <s v="1"/>
    <s v="Formation"/>
    <x v="3"/>
    <s v="Souscription d'abonnement payant"/>
    <s v="Distance"/>
    <n v="1"/>
    <n v="1"/>
    <n v="1"/>
    <n v="1"/>
    <n v="1"/>
    <n v="1"/>
    <n v="1"/>
    <s v=" "/>
    <n v="1"/>
    <n v="1"/>
    <n v="1"/>
    <n v="0"/>
    <n v="1"/>
    <n v="1"/>
    <s v=" "/>
    <n v="1"/>
    <n v="0"/>
    <n v="1"/>
    <n v="1"/>
    <n v="1"/>
    <n v="1"/>
    <n v="1"/>
    <n v="1"/>
    <s v="13/02/2018"/>
  </r>
  <r>
    <x v="3"/>
    <n v="1"/>
    <x v="0"/>
    <s v="PHONE"/>
    <s v="22/01/2018"/>
    <s v="GLM Grille BO"/>
    <s v="BOULAL Hajar"/>
    <x v="41"/>
    <s v="22039"/>
    <s v="MASCLET ANNIE LAURE"/>
    <n v="100"/>
    <s v="0001333282"/>
    <s v="1"/>
    <s v="Formation"/>
    <x v="3"/>
    <s v="Souscription de réabonnement payant"/>
    <s v="Distance"/>
    <n v="1"/>
    <s v=" "/>
    <n v="1"/>
    <n v="1"/>
    <n v="1"/>
    <n v="1"/>
    <n v="1"/>
    <s v=" "/>
    <n v="1"/>
    <n v="1"/>
    <n v="1"/>
    <n v="1"/>
    <n v="1"/>
    <s v=" "/>
    <s v=" "/>
    <s v=" "/>
    <n v="1"/>
    <s v=" "/>
    <s v=" "/>
    <s v=" "/>
    <s v=" "/>
    <s v=" "/>
    <s v=" "/>
    <s v="13/02/2018"/>
  </r>
  <r>
    <x v="3"/>
    <n v="1"/>
    <x v="0"/>
    <s v="PHONE"/>
    <s v="22/01/2018"/>
    <s v="GLM Grille BO"/>
    <s v="BOULAL Hajar"/>
    <x v="42"/>
    <s v="11660"/>
    <s v="MASCLET ANNIE LAURE"/>
    <n v="96"/>
    <s v="0010773486"/>
    <s v="2"/>
    <s v="Formation"/>
    <x v="2"/>
    <s v="Règlement d'impayé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0"/>
    <n v="1"/>
    <n v="1"/>
    <n v="1"/>
    <n v="1"/>
    <s v="13/02/2018"/>
  </r>
  <r>
    <x v="3"/>
    <n v="1"/>
    <x v="0"/>
    <s v="PHONE"/>
    <s v="22/01/2018"/>
    <s v="GLM Grille BO"/>
    <s v="DIONGUE Astou"/>
    <x v="38"/>
    <s v="19241"/>
    <s v="RAHMAT Issam"/>
    <n v="98"/>
    <s v="0000429076"/>
    <s v="7"/>
    <s v="Formation"/>
    <x v="2"/>
    <s v="Demande de facture acquittée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8"/>
    <s v="19241"/>
    <s v="RAHMAT Issam"/>
    <n v="100"/>
    <s v="0002112388"/>
    <s v="1"/>
    <s v="Formation"/>
    <x v="3"/>
    <s v="Demande de n° d'abonné ou n° de cli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8"/>
    <s v="19241"/>
    <s v="RAHMAT Issam"/>
    <n v="100"/>
    <s v="0010777580"/>
    <s v="6"/>
    <s v="Formation"/>
    <x v="3"/>
    <s v="Suspension temporaire"/>
    <s v="Distance"/>
    <n v="1"/>
    <n v="1"/>
    <n v="1"/>
    <n v="1"/>
    <n v="1"/>
    <n v="1"/>
    <n v="1"/>
    <s v=" "/>
    <n v="1"/>
    <n v="0"/>
    <n v="1"/>
    <n v="1"/>
    <n v="1"/>
    <n v="1"/>
    <s v=" "/>
    <n v="1"/>
    <n v="1"/>
    <n v="1"/>
    <n v="1"/>
    <n v="1"/>
    <s v=" "/>
    <s v=" "/>
    <s v=" "/>
    <s v="29/01/2018"/>
  </r>
  <r>
    <x v="3"/>
    <n v="1"/>
    <x v="0"/>
    <s v="PHONE"/>
    <s v="22/01/2018"/>
    <s v="GLM Grille BO"/>
    <s v="DIONGUE Astou"/>
    <x v="31"/>
    <s v="20328"/>
    <s v="MASCLET ANNIE LAURE"/>
    <n v="98"/>
    <s v="0002552073"/>
    <s v="1"/>
    <s v="Formation"/>
    <x v="3"/>
    <s v="Création compte sur le site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30/01/2018"/>
  </r>
  <r>
    <x v="3"/>
    <n v="1"/>
    <x v="0"/>
    <s v="PHONE"/>
    <s v="22/01/2018"/>
    <s v="GLM Grille BO"/>
    <s v="DIONGUE Astou"/>
    <x v="32"/>
    <s v="11107"/>
    <s v="MASCLET ANNIE LAURE"/>
    <n v="77"/>
    <s v="0000115476"/>
    <s v="2"/>
    <s v="Formation"/>
    <x v="2"/>
    <s v="Problème distribution postale"/>
    <s v="Distance"/>
    <n v="1"/>
    <n v="1"/>
    <n v="1"/>
    <n v="1"/>
    <n v="1"/>
    <n v="0"/>
    <n v="1"/>
    <s v=" "/>
    <n v="1"/>
    <n v="1"/>
    <n v="1"/>
    <n v="0"/>
    <n v="1"/>
    <n v="1"/>
    <s v=" "/>
    <n v="1"/>
    <n v="0"/>
    <n v="1"/>
    <n v="1"/>
    <n v="1"/>
    <n v="1"/>
    <n v="1"/>
    <n v="1"/>
    <s v="21/02/2018"/>
  </r>
  <r>
    <x v="3"/>
    <n v="1"/>
    <x v="0"/>
    <s v="PHONE"/>
    <s v="22/01/2018"/>
    <s v="GLM Grille BO"/>
    <s v="DIONGUE Astou"/>
    <x v="32"/>
    <s v="11107"/>
    <s v="MASCLET ANNIE LAURE"/>
    <n v="100"/>
    <s v="0001171635"/>
    <s v="1"/>
    <s v="Formation"/>
    <x v="3"/>
    <s v="Demande de n° d'abonné ou n° de cli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2"/>
    <s v="11107"/>
    <s v="MASCLET ANNIE LAURE"/>
    <n v="100"/>
    <s v="803771"/>
    <s v="1"/>
    <s v="Formation"/>
    <x v="3"/>
    <s v=" 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2"/>
    <s v="11107"/>
    <s v="MASCLET ANNIE LAURE"/>
    <n v="100"/>
    <s v="0000416241"/>
    <s v="50"/>
    <s v="Formation"/>
    <x v="2"/>
    <s v=" CHAD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3"/>
    <s v="12466"/>
    <s v="MASCLET ANNIE LAURE"/>
    <n v="95"/>
    <s v="0001993815"/>
    <s v="1"/>
    <s v="Formation"/>
    <x v="3"/>
    <s v="1ère demande d'annulation prélèvement"/>
    <s v="Distance"/>
    <n v="1"/>
    <n v="1"/>
    <n v="1"/>
    <n v="1"/>
    <n v="1"/>
    <n v="1"/>
    <n v="1"/>
    <s v=" "/>
    <n v="1"/>
    <n v="1"/>
    <n v="1"/>
    <n v="1"/>
    <n v="1"/>
    <n v="0"/>
    <s v=" "/>
    <n v="1"/>
    <n v="1"/>
    <n v="1"/>
    <n v="1"/>
    <n v="1"/>
    <n v="1"/>
    <n v="1"/>
    <n v="1"/>
    <s v="13/02/2018"/>
  </r>
  <r>
    <x v="3"/>
    <n v="1"/>
    <x v="0"/>
    <s v="PHONE"/>
    <s v="22/01/2018"/>
    <s v="GLM Grille BO"/>
    <s v="DIONGUE Astou"/>
    <x v="34"/>
    <s v="21214"/>
    <s v="MASCLET ANNIE LAURE"/>
    <n v="67"/>
    <s v="0001426449"/>
    <s v="1"/>
    <s v="Formation"/>
    <x v="3"/>
    <s v="Enregistrement d un paiement - chèque seul"/>
    <s v="Distance"/>
    <n v="0"/>
    <n v="1"/>
    <n v="1"/>
    <n v="1"/>
    <n v="1"/>
    <n v="0"/>
    <n v="1"/>
    <s v=" "/>
    <n v="1"/>
    <n v="1"/>
    <n v="1"/>
    <n v="0"/>
    <n v="1"/>
    <n v="1"/>
    <s v=" "/>
    <n v="1"/>
    <s v=" "/>
    <n v="1"/>
    <n v="1"/>
    <n v="1"/>
    <s v=" "/>
    <s v=" "/>
    <s v=" "/>
    <s v="29/01/2018"/>
  </r>
  <r>
    <x v="3"/>
    <n v="1"/>
    <x v="0"/>
    <s v="PHONE"/>
    <s v="26/01/2018"/>
    <s v="GLM Grille BO"/>
    <s v="BOULAL Hajar"/>
    <x v="40"/>
    <s v="22040"/>
    <s v="MASCLET ANNIE LAURE"/>
    <n v="100"/>
    <s v="0000764392"/>
    <s v="1"/>
    <s v="Formation"/>
    <x v="1"/>
    <s v="Confirmation enregistrement abo / réabo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n v="1"/>
    <n v="1"/>
    <n v="1"/>
    <s v="13/02/2018"/>
  </r>
  <r>
    <x v="3"/>
    <n v="1"/>
    <x v="0"/>
    <s v="PHONE"/>
    <s v="26/01/2018"/>
    <s v="GLM Grille BO"/>
    <s v="BOULAL Hajar"/>
    <x v="41"/>
    <s v="22039"/>
    <s v="MASCLET ANNIE LAURE"/>
    <n v="82.4"/>
    <s v="0000969506"/>
    <s v="1"/>
    <s v="Formation"/>
    <x v="2"/>
    <s v="Changement de destinataire"/>
    <s v="Distance"/>
    <n v="1"/>
    <n v="0"/>
    <n v="1"/>
    <n v="1"/>
    <n v="1"/>
    <n v="1"/>
    <n v="1"/>
    <s v=" "/>
    <n v="1"/>
    <n v="1"/>
    <n v="1"/>
    <n v="1"/>
    <n v="0"/>
    <n v="1"/>
    <s v=" "/>
    <n v="1"/>
    <n v="1"/>
    <n v="1"/>
    <n v="1"/>
    <n v="1"/>
    <s v=" "/>
    <s v=" "/>
    <s v=" "/>
    <s v="13/02/2018"/>
  </r>
  <r>
    <x v="3"/>
    <n v="1"/>
    <x v="0"/>
    <s v="PHONE"/>
    <s v="26/01/2018"/>
    <s v="GLM Grille BO"/>
    <s v="BOULAL Hajar"/>
    <x v="41"/>
    <s v="22039"/>
    <s v="MASCLET ANNIE LAURE"/>
    <n v="100"/>
    <s v="0002155217"/>
    <s v="1"/>
    <s v="Formation"/>
    <x v="1"/>
    <s v=" CHAD définitif"/>
    <s v="Distance"/>
    <n v="1"/>
    <n v="1"/>
    <n v="1"/>
    <n v="1"/>
    <n v="1"/>
    <n v="1"/>
    <n v="1"/>
    <s v=" "/>
    <n v="1"/>
    <n v="1"/>
    <n v="1"/>
    <n v="1"/>
    <n v="1"/>
    <n v="1"/>
    <s v=" "/>
    <s v=" "/>
    <s v=" "/>
    <n v="1"/>
    <s v=" "/>
    <n v="1"/>
    <n v="1"/>
    <s v=" "/>
    <n v="1"/>
    <s v="13/02/2018"/>
  </r>
  <r>
    <x v="3"/>
    <n v="1"/>
    <x v="0"/>
    <s v="PHONE"/>
    <s v="26/01/2018"/>
    <s v="GLM Grille BO"/>
    <s v="BOULAL Hajar"/>
    <x v="41"/>
    <s v="22039"/>
    <s v="MASCLET ANNIE LAURE"/>
    <n v="100"/>
    <s v="0001656615"/>
    <s v="9"/>
    <s v="Formation"/>
    <x v="2"/>
    <s v="Demande la date de fin d'abonn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2/2018"/>
  </r>
  <r>
    <x v="3"/>
    <n v="1"/>
    <x v="0"/>
    <s v="PHONE"/>
    <s v="26/01/2018"/>
    <s v="GLM Grille BO"/>
    <s v="BOULAL Hajar"/>
    <x v="42"/>
    <s v="11660"/>
    <s v="MASCLET ANNIE LAURE"/>
    <n v="68.656716417910445"/>
    <s v="0010588137"/>
    <s v="1"/>
    <s v="Formation"/>
    <x v="3"/>
    <s v="Souscription de réabonnement payant"/>
    <s v="Distance"/>
    <n v="1"/>
    <s v=" "/>
    <s v=" "/>
    <n v="1"/>
    <n v="1"/>
    <n v="1"/>
    <n v="1"/>
    <s v=" "/>
    <n v="1"/>
    <n v="1"/>
    <n v="1"/>
    <n v="0"/>
    <n v="1"/>
    <s v=" "/>
    <s v=" "/>
    <s v=" "/>
    <n v="0"/>
    <s v=" "/>
    <s v=" "/>
    <s v=" "/>
    <s v=" "/>
    <s v=" "/>
    <s v=" "/>
    <s v="21/02/2018"/>
  </r>
  <r>
    <x v="3"/>
    <n v="1"/>
    <x v="0"/>
    <s v="PHONE"/>
    <s v="26/01/2018"/>
    <s v="GLM Grille BO"/>
    <s v="BOULAL Hajar"/>
    <x v="42"/>
    <s v="11660"/>
    <s v="MASCLET ANNIE LAURE"/>
    <n v="95.6"/>
    <s v="0003062709"/>
    <s v="8"/>
    <s v="Formation"/>
    <x v="1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0"/>
    <n v="1"/>
    <n v="1"/>
    <n v="1"/>
    <s v=" "/>
    <n v="1"/>
    <s v="13/02/2018"/>
  </r>
  <r>
    <x v="3"/>
    <n v="1"/>
    <x v="0"/>
    <s v="PHONE"/>
    <s v="26/01/2018"/>
    <s v="GLM Grille BO"/>
    <s v="DIONGUE Astou"/>
    <x v="30"/>
    <s v="5677"/>
    <s v="MASCLET ANNIE LAURE"/>
    <n v="100"/>
    <s v="0001734065"/>
    <s v="1"/>
    <s v="Formation"/>
    <x v="3"/>
    <s v="Non réception en France ou à l'étranger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2/2018"/>
  </r>
  <r>
    <x v="3"/>
    <n v="1"/>
    <x v="0"/>
    <s v="PHONE"/>
    <s v="26/01/2018"/>
    <s v="GLM Grille BO"/>
    <s v="DIONGUE Astou"/>
    <x v="30"/>
    <s v="5677"/>
    <s v="MASCLET ANNIE LAURE"/>
    <n v="100"/>
    <s v="0001758438"/>
    <s v="129"/>
    <s v="Formation"/>
    <x v="2"/>
    <s v="Portage en Banlieu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2/2018"/>
  </r>
  <r>
    <x v="3"/>
    <n v="1"/>
    <x v="0"/>
    <s v="PHONE"/>
    <s v="26/01/2018"/>
    <s v="GLM Grille BO"/>
    <s v="DIONGUE Astou"/>
    <x v="30"/>
    <s v="5677"/>
    <s v="MASCLET ANNIE LAURE"/>
    <n v="100"/>
    <s v="0010460388"/>
    <s v="19"/>
    <s v="Formation"/>
    <x v="2"/>
    <s v="Demande de facture acquitté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2/2018"/>
  </r>
  <r>
    <x v="3"/>
    <n v="1"/>
    <x v="0"/>
    <s v="PHONE"/>
    <s v="26/01/2018"/>
    <s v="GLM Grille BO"/>
    <s v="DIONGUE Astou"/>
    <x v="30"/>
    <s v="5677"/>
    <s v="MASCLET ANNIE LAURE"/>
    <n v="100"/>
    <s v="0000446735"/>
    <s v="39"/>
    <s v="Formation"/>
    <x v="2"/>
    <s v="Suspension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2/2018"/>
  </r>
  <r>
    <x v="4"/>
    <n v="2"/>
    <x v="1"/>
    <s v="PHONE"/>
    <s v="01/02/2018"/>
    <s v="GLM Grille BO"/>
    <s v="BOULAL Hajar"/>
    <x v="41"/>
    <s v="22039"/>
    <s v="LEPINE ANNIE"/>
    <n v="87"/>
    <s v="0010562275"/>
    <s v="1"/>
    <s v="Controleur"/>
    <x v="1"/>
    <s v="Changement RIB"/>
    <s v="Distance"/>
    <n v="1"/>
    <n v="1"/>
    <n v="0"/>
    <n v="1"/>
    <n v="0"/>
    <n v="1"/>
    <n v="1"/>
    <s v=" "/>
    <s v=" "/>
    <n v="1"/>
    <n v="1"/>
    <n v="1"/>
    <s v=" "/>
    <n v="1"/>
    <s v=" "/>
    <n v="1"/>
    <s v=" "/>
    <n v="1"/>
    <n v="1"/>
    <s v=" "/>
    <s v=" "/>
    <s v=" "/>
    <n v="1"/>
    <s v="13/02/2018"/>
  </r>
  <r>
    <x v="4"/>
    <n v="2"/>
    <x v="1"/>
    <s v="PHONE"/>
    <s v="01/02/2018"/>
    <s v="GLM Grille BO"/>
    <s v="BOULAL Hajar"/>
    <x v="41"/>
    <s v="22039"/>
    <s v="LEPINE ANNIE"/>
    <n v="90"/>
    <s v="0001689132"/>
    <s v="10"/>
    <s v="Controleur"/>
    <x v="3"/>
    <s v="Confirmation réabonnement"/>
    <s v="Distance"/>
    <n v="1"/>
    <n v="1"/>
    <n v="1"/>
    <n v="1"/>
    <n v="1"/>
    <n v="1"/>
    <n v="1"/>
    <s v=" "/>
    <n v="1"/>
    <n v="1"/>
    <n v="1"/>
    <n v="0"/>
    <s v=" "/>
    <n v="1"/>
    <s v=" "/>
    <n v="1"/>
    <s v=" "/>
    <n v="1"/>
    <n v="1"/>
    <n v="1"/>
    <s v=" "/>
    <s v=" "/>
    <n v="1"/>
    <s v="13/02/2018"/>
  </r>
  <r>
    <x v="4"/>
    <n v="2"/>
    <x v="1"/>
    <s v="PHONE"/>
    <s v="01/02/2018"/>
    <s v="GLM Grille BO"/>
    <s v="BOULAL Hajar"/>
    <x v="42"/>
    <s v="11660"/>
    <s v="LEPINE ANNIE"/>
    <n v="81"/>
    <s v="0010352703"/>
    <s v="66"/>
    <s v="Controleur"/>
    <x v="2"/>
    <s v="Impayé"/>
    <s v="Distance"/>
    <n v="1"/>
    <n v="1"/>
    <n v="0"/>
    <n v="1"/>
    <n v="1"/>
    <n v="1"/>
    <n v="1"/>
    <s v=" "/>
    <s v=" "/>
    <n v="1"/>
    <n v="1"/>
    <n v="0"/>
    <s v=" "/>
    <n v="1"/>
    <s v=" "/>
    <n v="1"/>
    <s v=" "/>
    <n v="1"/>
    <n v="1"/>
    <s v=" "/>
    <s v=" "/>
    <s v=" "/>
    <n v="1"/>
    <s v="13/02/2018"/>
  </r>
  <r>
    <x v="4"/>
    <n v="2"/>
    <x v="1"/>
    <s v="PHONE"/>
    <s v="01/02/2018"/>
    <s v="GLM Grille BO"/>
    <s v="BOULAL Hajar"/>
    <x v="42"/>
    <s v="11660"/>
    <s v="LEPINE ANNIE"/>
    <n v="97"/>
    <s v="0010451188"/>
    <s v="4"/>
    <s v="Controleur"/>
    <x v="3"/>
    <s v="Réabonnement CO"/>
    <s v="Distance"/>
    <n v="1"/>
    <n v="1"/>
    <n v="1"/>
    <n v="1"/>
    <n v="1"/>
    <n v="1"/>
    <n v="1"/>
    <s v=" "/>
    <n v="0"/>
    <n v="1"/>
    <n v="1"/>
    <n v="1"/>
    <s v=" "/>
    <n v="1"/>
    <s v=" "/>
    <s v=" "/>
    <s v=" "/>
    <n v="1"/>
    <n v="1"/>
    <n v="1"/>
    <s v=" "/>
    <s v=" "/>
    <n v="1"/>
    <s v="13/02/2018"/>
  </r>
  <r>
    <x v="4"/>
    <n v="2"/>
    <x v="1"/>
    <s v="PHONE"/>
    <s v="01/02/2018"/>
    <s v="GLM Grille BO"/>
    <s v="EL ABSI Yahya"/>
    <x v="32"/>
    <s v="11107"/>
    <s v="MASCLET ANNIE LAURE"/>
    <n v="72"/>
    <s v="5000250085"/>
    <s v="3"/>
    <s v="Comité externe"/>
    <x v="2"/>
    <s v="Suspension pour non-paiement"/>
    <s v="Distance"/>
    <n v="0"/>
    <n v="1"/>
    <n v="1"/>
    <n v="1"/>
    <n v="1"/>
    <n v="1"/>
    <n v="1"/>
    <s v=" "/>
    <n v="1"/>
    <n v="1"/>
    <n v="1"/>
    <n v="0"/>
    <n v="1"/>
    <n v="1"/>
    <n v="0"/>
    <n v="1"/>
    <n v="1"/>
    <n v="1"/>
    <n v="1"/>
    <n v="1"/>
    <n v="1"/>
    <n v="1"/>
    <n v="1"/>
    <s v="08/02/2018"/>
  </r>
  <r>
    <x v="4"/>
    <n v="2"/>
    <x v="1"/>
    <s v="PHONE"/>
    <s v="01/02/2018"/>
    <s v="GLM Grille BO"/>
    <s v="EL ABSI Yahya"/>
    <x v="32"/>
    <s v="11107"/>
    <s v="MASCLET ANNIE LAURE"/>
    <n v="89"/>
    <s v="10216456"/>
    <s v="3"/>
    <s v="Comité externe"/>
    <x v="2"/>
    <s v=" Modification / ajout / correction des information"/>
    <s v="Distance"/>
    <n v="1"/>
    <n v="1"/>
    <n v="1"/>
    <n v="1"/>
    <n v="1"/>
    <n v="1"/>
    <n v="1"/>
    <s v=" "/>
    <n v="1"/>
    <n v="1"/>
    <n v="1"/>
    <n v="1"/>
    <n v="0"/>
    <n v="1"/>
    <s v=" "/>
    <n v="1"/>
    <n v="1"/>
    <n v="1"/>
    <n v="1"/>
    <n v="1"/>
    <n v="1"/>
    <n v="1"/>
    <n v="1"/>
    <s v="08/02/2018"/>
  </r>
  <r>
    <x v="4"/>
    <n v="2"/>
    <x v="1"/>
    <s v="PHONE"/>
    <s v="01/02/2018"/>
    <s v="GLM Grille BO"/>
    <s v="EL ABSI Yahya"/>
    <x v="32"/>
    <s v="11107"/>
    <s v="MASCLET ANNIE LAURE"/>
    <n v="100"/>
    <s v="226006"/>
    <s v="33"/>
    <s v="Comité externe"/>
    <x v="2"/>
    <s v="Enregistrement du règlement de factu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4"/>
    <n v="2"/>
    <x v="1"/>
    <s v="PHONE"/>
    <s v="01/02/2018"/>
    <s v="GLM Grille BO"/>
    <s v="EL ABSI Yahya"/>
    <x v="32"/>
    <s v="11107"/>
    <s v="MASCLET ANNIE LAURE"/>
    <n v="100"/>
    <s v="916825"/>
    <s v="35"/>
    <s v="Comité externe"/>
    <x v="2"/>
    <s v=" Enregistrement du règlement de factu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4"/>
    <n v="2"/>
    <x v="1"/>
    <s v="PHONE"/>
    <s v="01/02/2018"/>
    <s v="GLM Grille BO"/>
    <s v="EL ABSI Yahya"/>
    <x v="32"/>
    <s v="11107"/>
    <s v="MASCLET ANNIE LAURE"/>
    <n v="100"/>
    <s v="11322496"/>
    <s v="1"/>
    <s v="Comité externe"/>
    <x v="2"/>
    <s v="Demande portag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4"/>
    <n v="2"/>
    <x v="1"/>
    <s v="PHONE"/>
    <s v="01/02/2018"/>
    <s v="GLM Grille BO"/>
    <s v="EL ABSI Yahya"/>
    <x v="35"/>
    <s v="18513"/>
    <s v="MASCLET ANNIE LAURE"/>
    <n v="100"/>
    <s v="0011318593"/>
    <s v="1"/>
    <s v="Formation"/>
    <x v="2"/>
    <s v=" Portage à Pari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4"/>
    <n v="2"/>
    <x v="1"/>
    <s v="PHONE"/>
    <s v="01/02/2018"/>
    <s v="GLM Grille BO"/>
    <s v="EL ABSI Yahya"/>
    <x v="35"/>
    <s v="18513"/>
    <s v="MASCLET ANNIE LAURE"/>
    <n v="100"/>
    <s v="0002568515"/>
    <s v="5"/>
    <s v="Formation"/>
    <x v="2"/>
    <s v="Suspension pour non-pai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4"/>
    <n v="2"/>
    <x v="1"/>
    <s v="PHONE"/>
    <s v="02/02/2018"/>
    <s v="GLM Grille BO"/>
    <s v="EL ABSI Yahya"/>
    <x v="35"/>
    <s v="18513"/>
    <s v="LEPINE ANNIE"/>
    <n v="89"/>
    <s v="0011343683"/>
    <s v="1"/>
    <s v="Controleur"/>
    <x v="2"/>
    <s v="Confirmation d'abonnement"/>
    <s v="Distance"/>
    <n v="1"/>
    <n v="1"/>
    <n v="1"/>
    <n v="1"/>
    <n v="1"/>
    <n v="1"/>
    <n v="1"/>
    <s v=" "/>
    <s v=" "/>
    <n v="1"/>
    <n v="1"/>
    <n v="1"/>
    <n v="0"/>
    <n v="1"/>
    <s v=" "/>
    <n v="1"/>
    <n v="1"/>
    <n v="1"/>
    <n v="1"/>
    <n v="1"/>
    <s v=" "/>
    <s v=" "/>
    <n v="1"/>
    <s v="08/02/2018"/>
  </r>
  <r>
    <x v="5"/>
    <n v="2"/>
    <x v="1"/>
    <s v="PHONE"/>
    <s v="05/02/2018"/>
    <s v="GLM Grille BO"/>
    <s v="EL ABSI Yahya"/>
    <x v="38"/>
    <s v="19241"/>
    <s v="MASCLET ANNIE LAURE"/>
    <n v="98"/>
    <s v="10564731"/>
    <s v="1"/>
    <s v="Formation"/>
    <x v="3"/>
    <s v=" Suspension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s v=" "/>
    <s v=" "/>
    <s v=" "/>
    <s v=" "/>
    <s v="08/02/2018"/>
  </r>
  <r>
    <x v="5"/>
    <n v="2"/>
    <x v="1"/>
    <s v="PHONE"/>
    <s v="05/02/2018"/>
    <s v="GLM Grille BO"/>
    <s v="EL ABSI Yahya"/>
    <x v="38"/>
    <s v="19241"/>
    <s v="MASCLET ANNIE LAURE"/>
    <n v="100"/>
    <s v="0010507287"/>
    <s v="1"/>
    <s v="Formation"/>
    <x v="3"/>
    <s v="Changement de destinat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5"/>
    <n v="2"/>
    <x v="1"/>
    <s v="PHONE"/>
    <s v="05/02/2018"/>
    <s v="GLM Grille BO"/>
    <s v="EL ABSI Yahya"/>
    <x v="38"/>
    <s v="19241"/>
    <s v="MASCLET ANNIE LAURE"/>
    <n v="100"/>
    <s v="0010825132"/>
    <s v="2"/>
    <s v="Formation"/>
    <x v="2"/>
    <s v="Paiement - impayé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5"/>
    <n v="2"/>
    <x v="1"/>
    <s v="PHONE"/>
    <s v="05/02/2018"/>
    <s v="GLM Grille BO"/>
    <s v="EL ABSI Yahya"/>
    <x v="31"/>
    <s v="20328"/>
    <s v="MASCLET ANNIE LAURE"/>
    <n v="98"/>
    <s v="0010587588"/>
    <s v="1"/>
    <s v="Formation"/>
    <x v="2"/>
    <s v="Demande d'information tarif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08/02/2018"/>
  </r>
  <r>
    <x v="5"/>
    <n v="2"/>
    <x v="1"/>
    <s v="PHONE"/>
    <s v="05/02/2018"/>
    <s v="GLM Grille BO"/>
    <s v="EL ABSI Yahya"/>
    <x v="31"/>
    <s v="20328"/>
    <s v="MASCLET ANNIE LAURE"/>
    <n v="100"/>
    <s v="0011297459"/>
    <s v="2"/>
    <s v="Formation"/>
    <x v="3"/>
    <s v="Changement de formule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2/2018"/>
  </r>
  <r>
    <x v="5"/>
    <n v="2"/>
    <x v="1"/>
    <s v="PHONE"/>
    <s v="05/02/2018"/>
    <s v="GLM Grille BO"/>
    <s v="EL ABSI Yahya"/>
    <x v="35"/>
    <s v="18513"/>
    <s v="MASCLET ANNIE LAURE"/>
    <n v="90"/>
    <s v="0010982999"/>
    <s v="1"/>
    <s v="Formation"/>
    <x v="2"/>
    <s v=" Portage à Paris "/>
    <s v="Distance"/>
    <n v="1"/>
    <n v="1"/>
    <n v="1"/>
    <n v="1"/>
    <n v="1"/>
    <n v="1"/>
    <n v="1"/>
    <s v=" "/>
    <n v="1"/>
    <n v="1"/>
    <n v="1"/>
    <n v="0"/>
    <n v="1"/>
    <n v="1"/>
    <s v=" "/>
    <n v="1"/>
    <n v="1"/>
    <n v="1"/>
    <n v="1"/>
    <n v="1"/>
    <n v="1"/>
    <n v="1"/>
    <n v="1"/>
    <s v="08/02/2018"/>
  </r>
  <r>
    <x v="5"/>
    <n v="2"/>
    <x v="1"/>
    <s v="PHONE"/>
    <s v="07/02/2018"/>
    <s v="GLM Grille BO"/>
    <s v="EL ABSI Yahya"/>
    <x v="33"/>
    <s v="12466"/>
    <s v="MASCLET ANNIE LAURE"/>
    <n v="100"/>
    <s v="0011297459"/>
    <s v="1"/>
    <s v="Formation"/>
    <x v="3"/>
    <s v="Résiliation autre motif / Sans mo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3/02/2018"/>
  </r>
  <r>
    <x v="6"/>
    <n v="2"/>
    <x v="1"/>
    <s v="PHONE"/>
    <s v="12/02/2018"/>
    <s v="GLM Grille BO"/>
    <s v="BOULAL Hajar"/>
    <x v="40"/>
    <s v="22040"/>
    <s v="MASCLET ANNIE LAURE"/>
    <n v="89"/>
    <s v="0002519104"/>
    <s v="1"/>
    <s v="Formation"/>
    <x v="2"/>
    <s v=" Modification de coordonnées bancaires"/>
    <s v="Distance"/>
    <n v="1"/>
    <n v="1"/>
    <n v="1"/>
    <n v="1"/>
    <n v="1"/>
    <n v="0"/>
    <n v="1"/>
    <s v=" "/>
    <n v="1"/>
    <n v="1"/>
    <n v="1"/>
    <n v="1"/>
    <n v="1"/>
    <n v="1"/>
    <s v=" "/>
    <n v="1"/>
    <n v="1"/>
    <n v="1"/>
    <n v="1"/>
    <n v="1"/>
    <n v="1"/>
    <n v="1"/>
    <n v="1"/>
    <s v="22/02/2018"/>
  </r>
  <r>
    <x v="6"/>
    <n v="2"/>
    <x v="1"/>
    <s v="PHONE"/>
    <s v="12/02/2018"/>
    <s v="GLM Grille BO"/>
    <s v="EL ABSI Yahya"/>
    <x v="38"/>
    <s v="19241"/>
    <s v="MASCLET ANNIE LAURE"/>
    <n v="100"/>
    <s v="0011311927"/>
    <s v="4"/>
    <s v="Formation"/>
    <x v="2"/>
    <s v="Portage à Paris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2/02/2018"/>
  </r>
  <r>
    <x v="6"/>
    <n v="2"/>
    <x v="1"/>
    <s v="PHONE"/>
    <s v="12/02/2018"/>
    <s v="GLM Grille BO"/>
    <s v="EL ABSI Yahya"/>
    <x v="38"/>
    <s v="19241"/>
    <s v="MASCLET ANNIE LAURE"/>
    <n v="100"/>
    <s v="0011252525"/>
    <s v="5"/>
    <s v="Formation"/>
    <x v="2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2/02/2018"/>
  </r>
  <r>
    <x v="6"/>
    <n v="2"/>
    <x v="1"/>
    <s v="PHONE"/>
    <s v="12/02/2018"/>
    <s v="GLM Grille BO"/>
    <s v="EL ABSI Yahya"/>
    <x v="31"/>
    <s v="20328"/>
    <s v="MASCLET ANNIE LAURE"/>
    <n v="98"/>
    <s v="0010750002"/>
    <s v="18"/>
    <s v="Formation"/>
    <x v="2"/>
    <s v="Suspension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23/02/2018"/>
  </r>
  <r>
    <x v="6"/>
    <n v="2"/>
    <x v="1"/>
    <s v="PHONE"/>
    <s v="12/02/2018"/>
    <s v="GLM Grille BO"/>
    <s v="EL ABSI Yahya"/>
    <x v="31"/>
    <s v="20328"/>
    <s v="MASCLET ANNIE LAURE"/>
    <n v="100"/>
    <s v="0011350760"/>
    <s v="1"/>
    <s v="Formation"/>
    <x v="2"/>
    <s v="Demande de factu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3/02/2018"/>
  </r>
  <r>
    <x v="6"/>
    <n v="2"/>
    <x v="1"/>
    <s v="PHONE"/>
    <s v="12/02/2018"/>
    <s v="GLM Grille BO"/>
    <s v="EL ABSI Yahya"/>
    <x v="39"/>
    <s v="3648"/>
    <s v="MASCLET ANNIE LAURE"/>
    <n v="68.656716417910445"/>
    <s v="0001733293"/>
    <s v="1"/>
    <s v="Formation"/>
    <x v="3"/>
    <s v="Souscription de réabonnement payant"/>
    <s v="Distance"/>
    <n v="1"/>
    <s v=" "/>
    <s v=" "/>
    <n v="1"/>
    <n v="1"/>
    <n v="1"/>
    <n v="1"/>
    <s v=" "/>
    <n v="1"/>
    <n v="1"/>
    <n v="1"/>
    <n v="0"/>
    <n v="1"/>
    <s v=" "/>
    <s v=" "/>
    <s v=" "/>
    <n v="0"/>
    <s v=" "/>
    <s v=" "/>
    <s v=" "/>
    <s v=" "/>
    <s v=" "/>
    <s v=" "/>
    <s v="21/02/2018"/>
  </r>
  <r>
    <x v="6"/>
    <n v="2"/>
    <x v="1"/>
    <s v="PHONE"/>
    <s v="12/02/2018"/>
    <s v="GLM Grille BO"/>
    <s v="EL ABSI Yahya"/>
    <x v="39"/>
    <s v="3648"/>
    <s v="MASCLET ANNIE LAURE"/>
    <n v="95.448275862068968"/>
    <s v="0001300036"/>
    <s v="6"/>
    <s v="Formation"/>
    <x v="2"/>
    <s v="Correction d'adresse"/>
    <s v="Distance"/>
    <n v="1"/>
    <n v="1"/>
    <n v="1"/>
    <n v="1"/>
    <n v="1"/>
    <n v="1"/>
    <n v="1"/>
    <s v=" "/>
    <n v="1"/>
    <n v="1"/>
    <n v="1"/>
    <n v="1"/>
    <n v="1"/>
    <n v="1"/>
    <s v=" "/>
    <s v=" "/>
    <s v=" "/>
    <n v="0"/>
    <n v="1"/>
    <n v="1"/>
    <n v="1"/>
    <n v="1"/>
    <n v="1"/>
    <s v="21/02/2018"/>
  </r>
  <r>
    <x v="6"/>
    <n v="2"/>
    <x v="1"/>
    <s v="PHONE"/>
    <s v="12/02/2018"/>
    <s v="GLM Grille BO"/>
    <s v="EL ABSI Yahya"/>
    <x v="35"/>
    <s v="18513"/>
    <s v="MASCLET ANNIE LAURE"/>
    <n v="96"/>
    <s v="0010723875"/>
    <s v="1"/>
    <s v="Formation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0"/>
    <n v="1"/>
    <n v="1"/>
    <n v="1"/>
    <n v="1"/>
    <n v="1"/>
    <s v="21/02/2018"/>
  </r>
  <r>
    <x v="6"/>
    <n v="2"/>
    <x v="1"/>
    <s v="PHONE"/>
    <s v="12/02/2018"/>
    <s v="GLM Grille BO"/>
    <s v="EL ABSI Yahya"/>
    <x v="33"/>
    <s v="12466"/>
    <s v="MASCLET ANNIE LAURE"/>
    <n v="100"/>
    <s v="0011339690"/>
    <s v="1"/>
    <s v="Formation"/>
    <x v="3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1/02/2018"/>
  </r>
  <r>
    <x v="6"/>
    <n v="2"/>
    <x v="1"/>
    <s v="PHONE"/>
    <s v="12/02/2018"/>
    <s v="GLM Grille BO"/>
    <s v="EL ABSI Yahya"/>
    <x v="30"/>
    <s v="5677"/>
    <s v="MASCLET ANNIE LAURE"/>
    <n v="100"/>
    <s v="0011174994"/>
    <s v="1"/>
    <s v="Formation"/>
    <x v="3"/>
    <s v="Impayé / rejet pai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1/02/2018"/>
  </r>
  <r>
    <x v="6"/>
    <n v="2"/>
    <x v="1"/>
    <s v="PHONE"/>
    <s v="15/02/2018"/>
    <s v="GLM Grille BO"/>
    <s v="EL ABSI Yahya"/>
    <x v="38"/>
    <s v="19241"/>
    <s v="MASCLET ANNIE LAURE"/>
    <n v="100"/>
    <s v="11345864"/>
    <s v="1"/>
    <s v="Comité externe"/>
    <x v="3"/>
    <s v="Délai de livraison VPC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2/02/2018"/>
  </r>
  <r>
    <x v="6"/>
    <n v="2"/>
    <x v="1"/>
    <s v="PHONE"/>
    <s v="15/02/2018"/>
    <s v="GLM Grille BO"/>
    <s v="EL ABSI Yahya"/>
    <x v="31"/>
    <s v="20328"/>
    <s v="MASCLET ANNIE LAURE"/>
    <n v="92"/>
    <s v="10439818"/>
    <s v="1"/>
    <s v="Comité externe"/>
    <x v="3"/>
    <s v="Résiliation"/>
    <s v="Distance"/>
    <n v="1"/>
    <n v="1"/>
    <n v="1"/>
    <n v="1"/>
    <n v="1"/>
    <n v="0"/>
    <n v="1"/>
    <s v=" "/>
    <n v="1"/>
    <n v="1"/>
    <n v="1"/>
    <n v="1"/>
    <n v="1"/>
    <n v="1"/>
    <n v="1"/>
    <n v="1"/>
    <n v="1"/>
    <n v="1"/>
    <n v="1"/>
    <n v="1"/>
    <n v="1"/>
    <n v="1"/>
    <n v="1"/>
    <s v="23/02/2018"/>
  </r>
  <r>
    <x v="6"/>
    <n v="2"/>
    <x v="1"/>
    <s v="PHONE"/>
    <s v="15/02/2018"/>
    <s v="GLM Grille BO"/>
    <s v="EL ABSI Yahya"/>
    <x v="31"/>
    <s v="20328"/>
    <s v="MASCLET ANNIE LAURE"/>
    <n v="100"/>
    <s v="2048685"/>
    <s v="1"/>
    <s v="Comité externe"/>
    <x v="3"/>
    <s v="Difficulté de connex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3/02/2018"/>
  </r>
  <r>
    <x v="6"/>
    <n v="2"/>
    <x v="1"/>
    <s v="PHONE"/>
    <s v="15/02/2018"/>
    <s v="GLM Grille BO"/>
    <s v="EL ABSI Yahya"/>
    <x v="39"/>
    <s v="3648"/>
    <s v="MASCLET ANNIE LAURE"/>
    <n v="100"/>
    <s v="1941276"/>
    <s v="1"/>
    <s v="Comité externe"/>
    <x v="3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1/02/2018"/>
  </r>
  <r>
    <x v="6"/>
    <n v="2"/>
    <x v="1"/>
    <s v="PHONE"/>
    <s v="15/02/2018"/>
    <s v="GLM Grille BO"/>
    <s v="EL ABSI Yahya"/>
    <x v="39"/>
    <s v="3648"/>
    <s v="MASCLET ANNIE LAURE"/>
    <n v="100"/>
    <s v="129304"/>
    <s v="1"/>
    <s v="Comité externe"/>
    <x v="1"/>
    <s v="Réabonnment"/>
    <s v="Distance"/>
    <n v="1"/>
    <n v="1"/>
    <n v="1"/>
    <n v="1"/>
    <n v="1"/>
    <n v="1"/>
    <n v="1"/>
    <s v=" "/>
    <n v="1"/>
    <n v="1"/>
    <n v="1"/>
    <n v="1"/>
    <n v="1"/>
    <n v="1"/>
    <n v="1"/>
    <n v="1"/>
    <n v="1"/>
    <n v="1"/>
    <n v="1"/>
    <n v="1"/>
    <n v="1"/>
    <n v="1"/>
    <n v="1"/>
    <s v="21/02/2018"/>
  </r>
  <r>
    <x v="6"/>
    <n v="2"/>
    <x v="1"/>
    <s v="PHONE"/>
    <s v="15/02/2018"/>
    <s v="GLM Grille BO"/>
    <s v="EL ABSI Yahya"/>
    <x v="32"/>
    <s v="11107"/>
    <s v="MASCLET ANNIE LAURE"/>
    <n v="89"/>
    <s v="10970160"/>
    <s v="6"/>
    <s v="Comité externe"/>
    <x v="3"/>
    <s v="Non réception"/>
    <s v="Distance"/>
    <n v="1"/>
    <n v="1"/>
    <n v="1"/>
    <n v="1"/>
    <n v="1"/>
    <n v="0"/>
    <n v="1"/>
    <s v=" "/>
    <n v="1"/>
    <n v="1"/>
    <n v="1"/>
    <n v="1"/>
    <n v="1"/>
    <n v="1"/>
    <s v=" "/>
    <n v="1"/>
    <n v="1"/>
    <n v="1"/>
    <n v="1"/>
    <n v="1"/>
    <n v="1"/>
    <n v="1"/>
    <n v="1"/>
    <s v="21/02/2018"/>
  </r>
  <r>
    <x v="6"/>
    <n v="2"/>
    <x v="1"/>
    <s v="PHONE"/>
    <s v="15/02/2018"/>
    <s v="GLM Grille BO"/>
    <s v="EL ABSI Yahya"/>
    <x v="35"/>
    <s v="18513"/>
    <s v="MASCLET ANNIE LAURE"/>
    <n v="94"/>
    <s v="10516335"/>
    <s v="6"/>
    <s v="Comité externe"/>
    <x v="3"/>
    <s v="Information Tar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0"/>
    <n v="1"/>
    <n v="1"/>
    <n v="0"/>
    <n v="1"/>
    <n v="1"/>
    <s v="21/02/2018"/>
  </r>
  <r>
    <x v="6"/>
    <n v="2"/>
    <x v="1"/>
    <s v="PHONE"/>
    <s v="15/02/2018"/>
    <s v="GLM Grille BO"/>
    <s v="EL ABSI Yahya"/>
    <x v="35"/>
    <s v="18513"/>
    <s v="MASCLET ANNIE LAURE"/>
    <n v="100"/>
    <s v="10728396"/>
    <s v="13"/>
    <s v="Comité externe"/>
    <x v="3"/>
    <s v="Rétention OK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1/02/2018"/>
  </r>
  <r>
    <x v="6"/>
    <n v="2"/>
    <x v="1"/>
    <s v="PHONE"/>
    <s v="15/02/2018"/>
    <s v="GLM Grille BO"/>
    <s v="EL ABSI Yahya"/>
    <x v="30"/>
    <s v="5677"/>
    <s v="MASCLET ANNIE LAURE"/>
    <n v="100"/>
    <s v="11317320"/>
    <s v="3"/>
    <s v="Comité externe"/>
    <x v="3"/>
    <s v="Résiliation"/>
    <s v="Distance"/>
    <n v="1"/>
    <n v="1"/>
    <n v="1"/>
    <n v="1"/>
    <n v="1"/>
    <n v="1"/>
    <n v="1"/>
    <s v=" "/>
    <n v="1"/>
    <n v="0"/>
    <n v="1"/>
    <n v="1"/>
    <n v="1"/>
    <n v="1"/>
    <s v=" "/>
    <n v="1"/>
    <n v="1"/>
    <n v="1"/>
    <n v="1"/>
    <n v="1"/>
    <n v="1"/>
    <n v="1"/>
    <n v="1"/>
    <s v="21/02/2018"/>
  </r>
  <r>
    <x v="6"/>
    <n v="2"/>
    <x v="1"/>
    <s v="PHONE"/>
    <s v="15/02/2018"/>
    <s v="GLM Grille BO"/>
    <s v="EL ABSI Yahya"/>
    <x v="34"/>
    <s v="21214"/>
    <s v="MASCLET ANNIE LAURE"/>
    <n v="89"/>
    <s v="10475193"/>
    <s v="17"/>
    <s v="Comité externe"/>
    <x v="1"/>
    <s v="Réabonnement"/>
    <s v="Distance"/>
    <n v="1"/>
    <n v="1"/>
    <n v="0"/>
    <n v="1"/>
    <n v="1"/>
    <n v="1"/>
    <n v="1"/>
    <s v=" "/>
    <n v="1"/>
    <n v="1"/>
    <n v="1"/>
    <n v="1"/>
    <n v="1"/>
    <n v="1"/>
    <s v=" "/>
    <n v="1"/>
    <n v="1"/>
    <n v="1"/>
    <n v="1"/>
    <n v="1"/>
    <n v="0"/>
    <n v="1"/>
    <n v="1"/>
    <s v="21/02/2018"/>
  </r>
  <r>
    <x v="6"/>
    <n v="2"/>
    <x v="1"/>
    <s v="PHONE"/>
    <s v="15/02/2018"/>
    <s v="GLM Grille BO"/>
    <s v="EL ABSI Yahya"/>
    <x v="34"/>
    <s v="21214"/>
    <s v="MASCLET ANNIE LAURE"/>
    <n v="98"/>
    <s v="11354627"/>
    <s v="1"/>
    <s v="Comité externe"/>
    <x v="1"/>
    <s v="Réabonn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21/02/2018"/>
  </r>
  <r>
    <x v="6"/>
    <n v="2"/>
    <x v="1"/>
    <s v="PHONE"/>
    <s v="15/02/2018"/>
    <s v="GLM Grille BO"/>
    <s v="EL ABSI Yahya"/>
    <x v="34"/>
    <s v="21214"/>
    <s v="MASCLET ANNIE LAURE"/>
    <n v="100"/>
    <s v="10657853"/>
    <s v="5"/>
    <s v="Comité externe"/>
    <x v="1"/>
    <s v="Rétention 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1/02/2018"/>
  </r>
  <r>
    <x v="12"/>
    <n v="3"/>
    <x v="2"/>
    <s v="PHONE"/>
    <s v="02/03/2018"/>
    <s v="GLM Grille BO"/>
    <s v="EL ABSI Yahya"/>
    <x v="38"/>
    <s v="19241"/>
    <s v="MASCLET ANNIE LAURE"/>
    <n v="90"/>
    <s v="0010903711"/>
    <s v="10"/>
    <s v="Formation"/>
    <x v="3"/>
    <s v=" Règlement d'impayé"/>
    <s v="Distance"/>
    <n v="1"/>
    <n v="1"/>
    <n v="1"/>
    <n v="1"/>
    <n v="1"/>
    <n v="1"/>
    <n v="1"/>
    <s v=" "/>
    <n v="1"/>
    <n v="1"/>
    <n v="1"/>
    <n v="0"/>
    <n v="1"/>
    <n v="1"/>
    <s v=" "/>
    <n v="1"/>
    <n v="1"/>
    <n v="1"/>
    <n v="1"/>
    <n v="1"/>
    <n v="1"/>
    <n v="1"/>
    <n v="1"/>
    <s v="08/03/2018"/>
  </r>
  <r>
    <x v="12"/>
    <n v="3"/>
    <x v="2"/>
    <s v="PHONE"/>
    <s v="02/03/2018"/>
    <s v="GLM Grille BO"/>
    <s v="EL ABSI Yahya"/>
    <x v="38"/>
    <s v="19241"/>
    <s v="MASCLET ANNIE LAURE"/>
    <n v="100"/>
    <s v="0010297728"/>
    <s v="5"/>
    <s v="Formation"/>
    <x v="2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3/2018"/>
  </r>
  <r>
    <x v="12"/>
    <n v="3"/>
    <x v="2"/>
    <s v="PHONE"/>
    <s v="02/03/2018"/>
    <s v="GLM Grille BO"/>
    <s v="EL ABSI Yahya"/>
    <x v="38"/>
    <s v="19241"/>
    <s v="MASCLET ANNIE LAURE"/>
    <n v="100"/>
    <s v="0010476844"/>
    <s v="6"/>
    <s v="Formation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3/2018"/>
  </r>
  <r>
    <x v="12"/>
    <n v="3"/>
    <x v="2"/>
    <s v="PHONE"/>
    <s v="02/03/2018"/>
    <s v="GLM Grille BO"/>
    <s v="EL ABSI Yahya"/>
    <x v="39"/>
    <s v="3648"/>
    <s v="MASCLET ANNIE LAURE"/>
    <n v="86"/>
    <s v="0000350145"/>
    <s v="9"/>
    <s v="Formation"/>
    <x v="1"/>
    <s v="Règlement d'abonnement"/>
    <s v="Distance"/>
    <n v="1"/>
    <n v="1"/>
    <n v="1"/>
    <n v="1"/>
    <n v="1"/>
    <n v="1"/>
    <n v="1"/>
    <s v=" "/>
    <n v="1"/>
    <n v="1"/>
    <n v="1"/>
    <n v="0"/>
    <n v="1"/>
    <n v="1"/>
    <s v=" "/>
    <n v="1"/>
    <n v="1"/>
    <n v="0"/>
    <n v="1"/>
    <n v="1"/>
    <n v="1"/>
    <n v="1"/>
    <n v="1"/>
    <s v="08/03/2018"/>
  </r>
  <r>
    <x v="12"/>
    <n v="3"/>
    <x v="2"/>
    <s v="PHONE"/>
    <s v="02/03/2018"/>
    <s v="GLM Grille BO"/>
    <s v="EL ABSI Yahya"/>
    <x v="39"/>
    <s v="3648"/>
    <s v="MASCLET ANNIE LAURE"/>
    <n v="100"/>
    <s v="0003043852"/>
    <s v="9"/>
    <s v="Formation"/>
    <x v="1"/>
    <s v="Réabonnement"/>
    <s v="Distance"/>
    <n v="1"/>
    <s v=" "/>
    <n v="1"/>
    <n v="1"/>
    <n v="1"/>
    <n v="1"/>
    <n v="1"/>
    <s v=" "/>
    <n v="1"/>
    <n v="1"/>
    <n v="1"/>
    <n v="1"/>
    <n v="1"/>
    <s v=" "/>
    <s v=" "/>
    <s v=" "/>
    <s v=" "/>
    <s v=" "/>
    <s v=" "/>
    <s v=" "/>
    <s v=" "/>
    <s v=" "/>
    <s v=" "/>
    <s v="08/03/2018"/>
  </r>
  <r>
    <x v="12"/>
    <n v="3"/>
    <x v="2"/>
    <s v="PHONE"/>
    <s v="02/03/2018"/>
    <s v="GLM Grille BO"/>
    <s v="EL ABSI Yahya"/>
    <x v="39"/>
    <s v="3648"/>
    <s v="MASCLET ANNIE LAURE"/>
    <n v="100"/>
    <s v="0011139587"/>
    <s v="27"/>
    <s v="Formation"/>
    <x v="2"/>
    <s v="Mise à jour RIB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3/2018"/>
  </r>
  <r>
    <x v="12"/>
    <n v="3"/>
    <x v="2"/>
    <s v="PHONE"/>
    <s v="02/03/2018"/>
    <s v="GLM Grille BO"/>
    <s v="EL ABSI Yahya"/>
    <x v="32"/>
    <s v="11107"/>
    <s v="MASCLET ANNIE LAURE"/>
    <n v="100"/>
    <s v="0011320557"/>
    <s v="1"/>
    <s v="Formation"/>
    <x v="3"/>
    <s v="Demande de facture acquitté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3/2018"/>
  </r>
  <r>
    <x v="12"/>
    <n v="3"/>
    <x v="2"/>
    <s v="PHONE"/>
    <s v="02/03/2018"/>
    <s v="GLM Grille BO"/>
    <s v="EL ABSI Yahya"/>
    <x v="32"/>
    <s v="11107"/>
    <s v="MASCLET ANNIE LAURE"/>
    <n v="100"/>
    <s v="0001390315"/>
    <s v="3"/>
    <s v="Formation"/>
    <x v="3"/>
    <s v="Rétention ok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08/03/2018"/>
  </r>
  <r>
    <x v="12"/>
    <n v="3"/>
    <x v="2"/>
    <s v="PHONE"/>
    <s v="02/03/2018"/>
    <s v="GLM Grille BO"/>
    <s v="EL ABSI Yahya"/>
    <x v="35"/>
    <s v="18513"/>
    <s v="MASCLET ANNIE LAURE"/>
    <n v="81"/>
    <s v="5001162641"/>
    <s v="1"/>
    <s v="Formation"/>
    <x v="1"/>
    <s v="Demande de portage"/>
    <s v="Distance"/>
    <n v="1"/>
    <n v="1"/>
    <n v="0"/>
    <n v="1"/>
    <n v="1"/>
    <n v="1"/>
    <n v="1"/>
    <s v=" "/>
    <n v="1"/>
    <n v="1"/>
    <n v="1"/>
    <n v="0"/>
    <n v="1"/>
    <n v="1"/>
    <s v=" "/>
    <n v="1"/>
    <n v="1"/>
    <n v="1"/>
    <n v="1"/>
    <n v="1"/>
    <n v="1"/>
    <n v="1"/>
    <n v="1"/>
    <s v="15/03/2018"/>
  </r>
  <r>
    <x v="12"/>
    <n v="3"/>
    <x v="2"/>
    <s v="PHONE"/>
    <s v="02/03/2018"/>
    <s v="GLM Grille BO"/>
    <s v="EL ABSI Yahya"/>
    <x v="35"/>
    <s v="18513"/>
    <s v="MASCLET ANNIE LAURE"/>
    <n v="100"/>
    <s v="0000198822"/>
    <s v="11"/>
    <s v="Formation"/>
    <x v="2"/>
    <s v="Changement d'adresse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38"/>
    <s v="19241"/>
    <s v="MASCLET ANNIE LAURE"/>
    <n v="88"/>
    <s v="5004121919"/>
    <s v="2"/>
    <s v="Comité externe"/>
    <x v="2"/>
    <s v="Non réception"/>
    <s v="Distance"/>
    <n v="1"/>
    <n v="1"/>
    <n v="0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0"/>
    <n v="1"/>
    <s v="15/03/2018"/>
  </r>
  <r>
    <x v="8"/>
    <n v="3"/>
    <x v="2"/>
    <s v="PHONE"/>
    <s v="08/03/2018"/>
    <s v="GLM Grille BO"/>
    <s v="EL ABSI Yahya"/>
    <x v="38"/>
    <s v="19241"/>
    <s v="MASCLET ANNIE LAURE"/>
    <n v="100"/>
    <s v="2235315"/>
    <s v="35"/>
    <s v="Comité externe"/>
    <x v="2"/>
    <s v="CHAD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31"/>
    <s v="20328"/>
    <s v="MASCLET ANNIE LAURE"/>
    <n v="100"/>
    <s v="11304786"/>
    <s v="1"/>
    <s v="Comité externe"/>
    <x v="2"/>
    <s v="CHAD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39"/>
    <s v="3648"/>
    <s v="MASCLET ANNIE LAURE"/>
    <n v="100"/>
    <s v="3122566"/>
    <s v="23"/>
    <s v="Comité externe"/>
    <x v="2"/>
    <s v="Demande ou enregistrement RIB &amp; CB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32"/>
    <s v="11107"/>
    <s v="MASCLET ANNIE LAURE"/>
    <n v="100"/>
    <s v="10249162"/>
    <s v="15"/>
    <s v="Comité externe"/>
    <x v="2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32"/>
    <s v="11107"/>
    <s v="MASCLET ANNIE LAURE"/>
    <n v="100"/>
    <s v="11223543"/>
    <s v="9"/>
    <s v="Comité externe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32"/>
    <s v="11107"/>
    <s v="MASCLET ANNIE LAURE"/>
    <n v="100"/>
    <s v="198891"/>
    <s v="19"/>
    <s v="Comité externe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43"/>
    <s v="19185"/>
    <s v="MASCLET ANNIE LAURE"/>
    <n v="78"/>
    <s v="671981"/>
    <s v="35"/>
    <s v="Comité externe"/>
    <x v="2"/>
    <s v="Demande de facture"/>
    <s v="Distance"/>
    <n v="0"/>
    <n v="1"/>
    <n v="1"/>
    <n v="1"/>
    <n v="1"/>
    <n v="1"/>
    <n v="1"/>
    <s v=" "/>
    <n v="1"/>
    <n v="1"/>
    <n v="1"/>
    <n v="0"/>
    <n v="1"/>
    <n v="1"/>
    <s v=" "/>
    <n v="1"/>
    <n v="1"/>
    <n v="1"/>
    <n v="1"/>
    <n v="1"/>
    <n v="1"/>
    <n v="1"/>
    <n v="1"/>
    <m/>
  </r>
  <r>
    <x v="8"/>
    <n v="3"/>
    <x v="2"/>
    <s v="PHONE"/>
    <s v="08/03/2018"/>
    <s v="GLM Grille BO"/>
    <s v="EL ABSI Yahya"/>
    <x v="43"/>
    <s v="19185"/>
    <s v="MASCLET ANNIE LAURE"/>
    <n v="100"/>
    <s v="1107478"/>
    <s v="36"/>
    <s v="Comité externe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m/>
  </r>
  <r>
    <x v="8"/>
    <n v="3"/>
    <x v="2"/>
    <s v="PHONE"/>
    <s v="08/03/2018"/>
    <s v="GLM Grille BO"/>
    <s v="EL ABSI Yahya"/>
    <x v="34"/>
    <s v="21214"/>
    <s v="MASCLET ANNIE LAURE"/>
    <n v="85"/>
    <s v="259141"/>
    <s v="15"/>
    <s v="Comité externe"/>
    <x v="2"/>
    <s v="Achat au numéro"/>
    <s v="Distance"/>
    <n v="1"/>
    <n v="1"/>
    <n v="1"/>
    <n v="1"/>
    <n v="1"/>
    <n v="1"/>
    <n v="1"/>
    <s v=" "/>
    <n v="1"/>
    <n v="1"/>
    <n v="1"/>
    <n v="0"/>
    <n v="1"/>
    <n v="0"/>
    <s v=" "/>
    <n v="1"/>
    <n v="1"/>
    <n v="1"/>
    <n v="1"/>
    <n v="1"/>
    <n v="1"/>
    <n v="1"/>
    <n v="1"/>
    <s v="15/03/2018"/>
  </r>
  <r>
    <x v="8"/>
    <n v="3"/>
    <x v="2"/>
    <s v="PHONE"/>
    <s v="08/03/2018"/>
    <s v="GLM Grille BO"/>
    <s v="EL ABSI Yahya"/>
    <x v="34"/>
    <s v="21214"/>
    <s v="MASCLET ANNIE LAURE"/>
    <n v="94"/>
    <s v="11361611"/>
    <s v="1"/>
    <s v="Comité externe"/>
    <x v="2"/>
    <s v="Enregistrement d'un remboursement"/>
    <s v="Distance"/>
    <n v="1"/>
    <n v="1"/>
    <n v="1"/>
    <n v="1"/>
    <n v="1"/>
    <n v="1"/>
    <n v="1"/>
    <s v=" "/>
    <n v="1"/>
    <n v="1"/>
    <n v="0"/>
    <n v="1"/>
    <n v="1"/>
    <n v="1"/>
    <s v=" "/>
    <n v="1"/>
    <n v="0"/>
    <n v="1"/>
    <n v="1"/>
    <n v="1"/>
    <n v="1"/>
    <n v="1"/>
    <n v="1"/>
    <s v="15/03/2018"/>
  </r>
  <r>
    <x v="9"/>
    <n v="3"/>
    <x v="2"/>
    <s v="PHONE"/>
    <s v="12/03/2018"/>
    <s v="GLM Grille BO"/>
    <s v="EL ABSI Yahya"/>
    <x v="32"/>
    <s v="11107"/>
    <s v="MASCLET ANNIE LAURE"/>
    <n v="89"/>
    <s v="1107478"/>
    <s v="37"/>
    <s v="Formation"/>
    <x v="2"/>
    <s v="Non réception"/>
    <s v="Distance"/>
    <n v="1"/>
    <n v="1"/>
    <n v="1"/>
    <n v="1"/>
    <n v="1"/>
    <n v="1"/>
    <n v="1"/>
    <s v=" "/>
    <n v="1"/>
    <n v="1"/>
    <n v="1"/>
    <n v="1"/>
    <n v="0"/>
    <n v="1"/>
    <s v=" "/>
    <n v="1"/>
    <n v="1"/>
    <n v="1"/>
    <n v="1"/>
    <n v="1"/>
    <n v="1"/>
    <n v="1"/>
    <n v="1"/>
    <s v="15/03/2018"/>
  </r>
  <r>
    <x v="9"/>
    <n v="3"/>
    <x v="2"/>
    <s v="PHONE"/>
    <s v="17/03/2018"/>
    <s v="GLM Grille BO"/>
    <s v="BOULAL Hajar"/>
    <x v="41"/>
    <s v="22039"/>
    <s v="MASCLET ANNIE LAURE"/>
    <n v="100"/>
    <s v="0002105802"/>
    <s v="1"/>
    <s v="Formation"/>
    <x v="3"/>
    <s v="Souscription d'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8/03/2018"/>
  </r>
  <r>
    <x v="9"/>
    <n v="3"/>
    <x v="2"/>
    <s v="PHONE"/>
    <s v="17/03/2018"/>
    <s v="GLM Grille BO"/>
    <s v="BOULAL Hajar"/>
    <x v="41"/>
    <s v="22039"/>
    <s v="MASCLET ANNIE LAURE"/>
    <n v="100"/>
    <s v="0010493963"/>
    <s v="8"/>
    <s v="Formation"/>
    <x v="3"/>
    <s v="Souscription de ré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s v=" "/>
    <n v="1"/>
    <s v="28/03/2018"/>
  </r>
  <r>
    <x v="9"/>
    <n v="3"/>
    <x v="2"/>
    <s v="PHONE"/>
    <s v="17/03/2018"/>
    <s v="GLM Grille BO"/>
    <s v="BOULAL Hajar"/>
    <x v="41"/>
    <s v="22039"/>
    <s v="MASCLET ANNIE LAURE"/>
    <n v="100"/>
    <s v="0002082994"/>
    <s v="4"/>
    <s v="Formation"/>
    <x v="3"/>
    <s v="Souscription de ré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8/03/2018"/>
  </r>
  <r>
    <x v="9"/>
    <n v="3"/>
    <x v="2"/>
    <s v="PHONE"/>
    <s v="17/03/2018"/>
    <s v="GLM Grille BO"/>
    <s v="BOULAL Hajar"/>
    <x v="42"/>
    <s v="11660"/>
    <s v="MASCLET ANNIE LAURE"/>
    <n v="98"/>
    <s v="0000633536"/>
    <s v="1"/>
    <s v="Formation"/>
    <x v="3"/>
    <s v=" Enregistrement d'une commande VPC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29/03/2018"/>
  </r>
  <r>
    <x v="9"/>
    <n v="3"/>
    <x v="2"/>
    <s v="PHONE"/>
    <s v="17/03/2018"/>
    <s v="GLM Grille BO"/>
    <s v="BOULAL Hajar"/>
    <x v="42"/>
    <s v="11660"/>
    <s v="MASCLET ANNIE LAURE"/>
    <n v="100"/>
    <s v="0011071319"/>
    <s v="1"/>
    <s v="Formation"/>
    <x v="3"/>
    <s v=" Règlement d'impayé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9/03/2018"/>
  </r>
  <r>
    <x v="9"/>
    <n v="3"/>
    <x v="2"/>
    <s v="PHONE"/>
    <s v="17/03/2018"/>
    <s v="GLM Grille BO"/>
    <s v="BOULAL Hajar"/>
    <x v="42"/>
    <s v="11660"/>
    <s v="MASCLET ANNIE LAURE"/>
    <n v="100"/>
    <s v="0011133747"/>
    <s v="5"/>
    <s v="Formation"/>
    <x v="1"/>
    <s v="Souscription de ré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s v=" "/>
    <n v="1"/>
    <n v="1"/>
    <n v="1"/>
    <n v="1"/>
    <n v="1"/>
    <s v="29/03/2018"/>
  </r>
  <r>
    <x v="9"/>
    <n v="3"/>
    <x v="2"/>
    <s v="PHONE"/>
    <s v="17/03/2018"/>
    <s v="GLM Grille BO"/>
    <s v="BOULAL Hajar"/>
    <x v="42"/>
    <s v="11660"/>
    <s v="EL ABSI Yahya"/>
    <n v="100"/>
    <s v="0010032667"/>
    <s v="7"/>
    <s v="Formation"/>
    <x v="1"/>
    <s v="Souscription de ré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s v=" "/>
    <s v=" "/>
    <n v="1"/>
    <s v="29/03/2018"/>
  </r>
  <r>
    <x v="9"/>
    <n v="3"/>
    <x v="2"/>
    <s v="PHONE"/>
    <s v="17/03/2018"/>
    <s v="GLM Grille BO"/>
    <s v="EL ABSI Yahya"/>
    <x v="31"/>
    <s v="20328"/>
    <s v="MASCLET ANNIE LAURE"/>
    <n v="94.72"/>
    <s v="5004438528"/>
    <s v="1"/>
    <s v="Formation"/>
    <x v="2"/>
    <s v="Demande de facture acquittée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0"/>
    <n v="1"/>
    <s v=" "/>
    <s v=" "/>
    <s v=" "/>
    <n v="1"/>
    <s v="28/03/2018"/>
  </r>
  <r>
    <x v="9"/>
    <n v="3"/>
    <x v="2"/>
    <s v="PHONE"/>
    <s v="17/03/2018"/>
    <s v="GLM Grille BO"/>
    <s v="EL ABSI Yahya"/>
    <x v="31"/>
    <s v="20328"/>
    <s v="MASCLET ANNIE LAURE"/>
    <n v="98"/>
    <s v="0010043923"/>
    <s v="33"/>
    <s v="Formation"/>
    <x v="2"/>
    <s v="Suspension temporaire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28/03/2018"/>
  </r>
  <r>
    <x v="9"/>
    <n v="3"/>
    <x v="2"/>
    <s v="PHONE"/>
    <s v="17/03/2018"/>
    <s v="GLM Grille BO"/>
    <s v="EL ABSI Yahya"/>
    <x v="31"/>
    <s v="20328"/>
    <s v="MASCLET ANNIE LAURE"/>
    <n v="100"/>
    <s v="0011266289"/>
    <s v="1"/>
    <s v="Formation"/>
    <x v="2"/>
    <s v="Impayé / rejet paiement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8/03/2018"/>
  </r>
  <r>
    <x v="9"/>
    <n v="3"/>
    <x v="2"/>
    <s v="PHONE"/>
    <s v="17/03/2018"/>
    <s v="GLM Grille BO"/>
    <s v="EL ABSI Yahya"/>
    <x v="32"/>
    <s v="11107"/>
    <s v="MASCLET ANNIE LAURE"/>
    <n v="100"/>
    <s v="0011306071"/>
    <s v="1"/>
    <s v="Formation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9/03/2018"/>
  </r>
  <r>
    <x v="9"/>
    <n v="3"/>
    <x v="2"/>
    <s v="PHONE"/>
    <s v="17/03/2018"/>
    <s v="GLM Grille BO"/>
    <s v="EL ABSI Yahya"/>
    <x v="35"/>
    <s v="18513"/>
    <s v="MASCLET ANNIE LAURE"/>
    <n v="84"/>
    <s v="0011128792"/>
    <s v="5"/>
    <s v="Formation"/>
    <x v="3"/>
    <s v="Difficulté de connexion"/>
    <s v="Distance"/>
    <n v="1"/>
    <n v="1"/>
    <n v="1"/>
    <n v="1"/>
    <n v="1"/>
    <n v="1"/>
    <n v="1"/>
    <s v=" "/>
    <n v="1"/>
    <n v="1"/>
    <n v="1"/>
    <n v="0"/>
    <n v="1"/>
    <n v="1"/>
    <n v="0"/>
    <n v="1"/>
    <n v="1"/>
    <n v="1"/>
    <n v="1"/>
    <n v="1"/>
    <n v="1"/>
    <n v="1"/>
    <n v="1"/>
    <s v="28/03/2018"/>
  </r>
  <r>
    <x v="9"/>
    <n v="3"/>
    <x v="2"/>
    <s v="PHONE"/>
    <s v="17/03/2018"/>
    <s v="GLM Grille BO"/>
    <s v="EL ABSI Yahya"/>
    <x v="35"/>
    <s v="18513"/>
    <s v="MASCLET ANNIE LAURE"/>
    <n v="100"/>
    <s v="0000199579"/>
    <s v="1"/>
    <s v="Formation"/>
    <x v="2"/>
    <s v="CHAD définitif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s v=" "/>
    <s v=" "/>
    <s v=" "/>
    <n v="1"/>
    <s v="28/03/2018"/>
  </r>
  <r>
    <x v="9"/>
    <n v="3"/>
    <x v="2"/>
    <s v="PHONE"/>
    <s v="17/03/2018"/>
    <s v="GLM Grille BO"/>
    <s v="EL ABSI Yahya"/>
    <x v="35"/>
    <s v="18513"/>
    <s v="MASCLET ANNIE LAURE"/>
    <n v="100"/>
    <s v="0002412187"/>
    <s v="12"/>
    <s v="Formation"/>
    <x v="2"/>
    <s v="Non récepti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s v="28/03/2018"/>
  </r>
  <r>
    <x v="9"/>
    <n v="3"/>
    <x v="2"/>
    <s v="PHONE"/>
    <s v="17/03/2018"/>
    <s v="GLM Grille BO"/>
    <s v="EL ABSI Yahya"/>
    <x v="33"/>
    <s v="12466"/>
    <s v="MASCLET ANNIE LAURE"/>
    <n v="96"/>
    <s v="0010775068"/>
    <s v="2"/>
    <s v="Formation"/>
    <x v="3"/>
    <s v="Rétention KO"/>
    <s v="Distance"/>
    <n v="1"/>
    <n v="1"/>
    <n v="1"/>
    <n v="1"/>
    <n v="0"/>
    <n v="1"/>
    <n v="1"/>
    <s v=" "/>
    <n v="1"/>
    <n v="1"/>
    <n v="1"/>
    <n v="1"/>
    <n v="1"/>
    <n v="1"/>
    <s v=" "/>
    <n v="1"/>
    <n v="1"/>
    <n v="1"/>
    <n v="1"/>
    <s v=" "/>
    <s v=" "/>
    <s v=" "/>
    <n v="1"/>
    <m/>
  </r>
  <r>
    <x v="9"/>
    <n v="3"/>
    <x v="2"/>
    <s v="PHONE"/>
    <s v="17/03/2018"/>
    <s v="GLM Grille BO"/>
    <s v="EL ABSI Yahya"/>
    <x v="33"/>
    <s v="12466"/>
    <s v="MASCLET ANNIE LAURE"/>
    <n v="100"/>
    <s v="0000210421"/>
    <s v="34"/>
    <s v="Formation"/>
    <x v="2"/>
    <s v="Délai de livraison"/>
    <s v="Distance"/>
    <n v="1"/>
    <n v="1"/>
    <n v="1"/>
    <n v="1"/>
    <n v="1"/>
    <n v="1"/>
    <n v="1"/>
    <s v=" "/>
    <n v="1"/>
    <n v="1"/>
    <n v="1"/>
    <n v="1"/>
    <n v="1"/>
    <n v="1"/>
    <s v=" "/>
    <n v="1"/>
    <n v="1"/>
    <n v="1"/>
    <n v="1"/>
    <n v="1"/>
    <n v="1"/>
    <n v="1"/>
    <n v="1"/>
    <m/>
  </r>
  <r>
    <x v="9"/>
    <n v="3"/>
    <x v="2"/>
    <s v="PHONE"/>
    <s v="17/03/2018"/>
    <s v="GLM Grille BO"/>
    <s v="EL ABSI Yahya"/>
    <x v="34"/>
    <s v="21214"/>
    <s v="MASCLET ANNIE LAURE"/>
    <n v="94"/>
    <s v="0011374883"/>
    <s v="1"/>
    <s v="Formation"/>
    <x v="3"/>
    <s v="Souscription d'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0"/>
    <n v="1"/>
    <n v="1"/>
    <n v="1"/>
    <n v="1"/>
    <n v="1"/>
    <s v="28/03/2018"/>
  </r>
  <r>
    <x v="9"/>
    <n v="3"/>
    <x v="2"/>
    <s v="PHONE"/>
    <s v="17/03/2018"/>
    <s v="GLM Grille BO"/>
    <s v="EL ABSI Yahya"/>
    <x v="34"/>
    <s v="21214"/>
    <s v="EL ABSI Yahya"/>
    <n v="94"/>
    <s v="0011374884"/>
    <s v="1"/>
    <s v="Formation"/>
    <x v="3"/>
    <s v="Souscription d'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0"/>
    <n v="1"/>
    <n v="1"/>
    <n v="1"/>
    <n v="1"/>
    <n v="1"/>
    <s v="28/03/2018"/>
  </r>
  <r>
    <x v="9"/>
    <n v="3"/>
    <x v="2"/>
    <s v="PHONE"/>
    <s v="17/03/2018"/>
    <s v="GLM Grille BO"/>
    <s v="EL ABSI Yahya"/>
    <x v="34"/>
    <s v="21214"/>
    <s v="MASCLET ANNIE LAURE"/>
    <n v="98"/>
    <s v="0010981411"/>
    <s v="1"/>
    <s v="Formation"/>
    <x v="3"/>
    <s v="Souscription d'abonnement payant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n v="1"/>
    <n v="1"/>
    <n v="1"/>
    <n v="1"/>
    <n v="1"/>
    <n v="1"/>
    <s v="28/03/2018"/>
  </r>
  <r>
    <x v="9"/>
    <n v="3"/>
    <x v="2"/>
    <s v="PHONE"/>
    <s v="17/03/2018"/>
    <s v="GLM Grille BO"/>
    <s v="EL ABSI Yahya"/>
    <x v="34"/>
    <s v="21214"/>
    <s v="EL ABSI Yahya"/>
    <n v="98"/>
    <s v="0010353554"/>
    <s v="6"/>
    <s v="Formation"/>
    <x v="2"/>
    <s v="Enregistrement d'une commande VPC"/>
    <s v="Distance"/>
    <n v="1"/>
    <n v="1"/>
    <n v="1"/>
    <n v="1"/>
    <n v="1"/>
    <n v="1"/>
    <n v="1"/>
    <s v=" "/>
    <n v="1"/>
    <n v="1"/>
    <n v="1"/>
    <n v="1"/>
    <n v="1"/>
    <n v="1"/>
    <s v=" "/>
    <n v="1"/>
    <n v="0"/>
    <s v=" "/>
    <n v="1"/>
    <n v="1"/>
    <s v=" "/>
    <s v=" "/>
    <n v="1"/>
    <s v="28/03/2018"/>
  </r>
  <r>
    <x v="10"/>
    <n v="3"/>
    <x v="2"/>
    <s v="PHONE"/>
    <s v="19/03/2018"/>
    <s v="GLM Grille BO"/>
    <s v="EL ABSI Yahya"/>
    <x v="38"/>
    <s v="19241"/>
    <s v="LEPINE ANNIE"/>
    <n v="86.5"/>
    <s v="11376126"/>
    <s v="194"/>
    <s v="Controleur"/>
    <x v="2"/>
    <s v="Résiliation MW"/>
    <s v="Distance"/>
    <n v="1"/>
    <n v="1"/>
    <n v="1"/>
    <n v="0"/>
    <n v="1"/>
    <n v="1"/>
    <n v="1"/>
    <s v=" "/>
    <s v=" "/>
    <n v="1"/>
    <n v="1"/>
    <s v=" "/>
    <s v=" "/>
    <n v="0"/>
    <s v=" "/>
    <n v="1"/>
    <s v=" "/>
    <n v="1"/>
    <n v="1"/>
    <s v=" "/>
    <s v=" "/>
    <s v=" "/>
    <s v=" "/>
    <s v="28/03/2018"/>
  </r>
  <r>
    <x v="10"/>
    <n v="3"/>
    <x v="2"/>
    <s v="PHONE"/>
    <s v="19/03/2018"/>
    <s v="GLM Grille BO"/>
    <s v="EL ABSI Yahya"/>
    <x v="38"/>
    <s v="19241"/>
    <s v="LEPINE ANNIE"/>
    <n v="96"/>
    <s v="0000897435"/>
    <s v="24"/>
    <s v="Controleur"/>
    <x v="2"/>
    <s v="Non réception MQ"/>
    <s v="Distance"/>
    <n v="1"/>
    <n v="1"/>
    <n v="1"/>
    <n v="1"/>
    <n v="1"/>
    <n v="1"/>
    <n v="1"/>
    <n v="1"/>
    <s v=" "/>
    <n v="1"/>
    <n v="0"/>
    <s v=" "/>
    <s v=" "/>
    <n v="1"/>
    <s v=" "/>
    <n v="1"/>
    <n v="1"/>
    <n v="1"/>
    <n v="1"/>
    <n v="1"/>
    <s v=" "/>
    <s v=" "/>
    <n v="1"/>
    <s v="28/03/2018"/>
  </r>
  <r>
    <x v="10"/>
    <n v="3"/>
    <x v="2"/>
    <s v="PHONE"/>
    <s v="19/03/2018"/>
    <s v="GLM Grille BO"/>
    <s v="EL ABSI Yahya"/>
    <x v="31"/>
    <s v="20328"/>
    <s v="LEPINE ANNIE"/>
    <n v="90"/>
    <s v="0011330214"/>
    <s v="5"/>
    <s v="Controleur"/>
    <x v="2"/>
    <s v="Chad "/>
    <s v="Distance"/>
    <n v="1"/>
    <n v="1"/>
    <n v="1"/>
    <n v="1"/>
    <n v="1"/>
    <n v="1"/>
    <n v="1"/>
    <n v="1"/>
    <n v="1"/>
    <n v="1"/>
    <n v="1"/>
    <n v="0"/>
    <s v=" "/>
    <n v="1"/>
    <s v=" "/>
    <n v="1"/>
    <n v="1"/>
    <n v="1"/>
    <n v="1"/>
    <s v=" "/>
    <s v=" "/>
    <s v=" "/>
    <n v="1"/>
    <s v="28/03/2018"/>
  </r>
  <r>
    <x v="10"/>
    <n v="3"/>
    <x v="2"/>
    <s v="PHONE"/>
    <s v="19/03/2018"/>
    <s v="GLM Grille BO"/>
    <s v="EL ABSI Yahya"/>
    <x v="31"/>
    <s v="20328"/>
    <s v="LEPINE ANNIE"/>
    <n v="100"/>
    <s v="10968270"/>
    <s v="8"/>
    <s v="Controleur"/>
    <x v="2"/>
    <s v="Non réception MW"/>
    <s v="Distance"/>
    <n v="1"/>
    <n v="1"/>
    <n v="1"/>
    <n v="1"/>
    <n v="1"/>
    <n v="1"/>
    <n v="1"/>
    <n v="1"/>
    <s v=" "/>
    <n v="1"/>
    <n v="1"/>
    <n v="1"/>
    <n v="1"/>
    <n v="1"/>
    <s v=" "/>
    <n v="1"/>
    <s v=" "/>
    <n v="1"/>
    <n v="1"/>
    <n v="1"/>
    <s v=" "/>
    <s v=" "/>
    <n v="1"/>
    <s v="28/03/2018"/>
  </r>
  <r>
    <x v="10"/>
    <n v="3"/>
    <x v="2"/>
    <s v="PHONE"/>
    <s v="20/03/2018"/>
    <s v="GLM Grille BO"/>
    <s v="EL ABSI Yahya"/>
    <x v="39"/>
    <s v="3648"/>
    <s v="SADOCKI JIMMY"/>
    <n v="85.074626865671647"/>
    <s v="5000401816"/>
    <s v="14"/>
    <s v="Comité externe"/>
    <x v="3"/>
    <s v="REABONNEMENT"/>
    <s v="Distance"/>
    <n v="1"/>
    <s v=" "/>
    <n v="1"/>
    <n v="1"/>
    <n v="1"/>
    <n v="1"/>
    <n v="1"/>
    <s v=" "/>
    <s v=" "/>
    <n v="1"/>
    <n v="1"/>
    <n v="0"/>
    <n v="1"/>
    <s v=" "/>
    <s v=" "/>
    <s v=" "/>
    <n v="1"/>
    <s v=" "/>
    <s v=" "/>
    <s v=" "/>
    <s v=" "/>
    <s v=" "/>
    <s v=" "/>
    <s v="28/03/2018"/>
  </r>
  <r>
    <x v="10"/>
    <n v="3"/>
    <x v="2"/>
    <s v="PHONE"/>
    <s v="20/03/2018"/>
    <s v="GLM Grille BO"/>
    <s v="EL ABSI Yahya"/>
    <x v="35"/>
    <s v="18513"/>
    <s v="SADOCKI JIMMY"/>
    <n v="100"/>
    <s v="21953"/>
    <s v="122"/>
    <s v="Comité externe"/>
    <x v="3"/>
    <s v="RETENTION"/>
    <s v="Distance"/>
    <n v="1"/>
    <n v="1"/>
    <n v="1"/>
    <n v="1"/>
    <n v="1"/>
    <n v="1"/>
    <n v="1"/>
    <s v=" "/>
    <s v=" "/>
    <n v="1"/>
    <n v="1"/>
    <n v="1"/>
    <s v=" "/>
    <n v="1"/>
    <s v=" "/>
    <n v="1"/>
    <s v=" "/>
    <n v="1"/>
    <n v="1"/>
    <n v="1"/>
    <s v=" "/>
    <n v="1"/>
    <s v=" "/>
    <s v="28/03/2018"/>
  </r>
  <r>
    <x v="10"/>
    <n v="3"/>
    <x v="2"/>
    <s v="PHONE"/>
    <s v="20/03/2018"/>
    <s v="GLM Grille BO"/>
    <s v="EL ABSI Yahya"/>
    <x v="35"/>
    <s v="18513"/>
    <s v="SADOCKI JIMMY"/>
    <n v="100"/>
    <s v="11253682"/>
    <s v="2"/>
    <s v="Comité externe"/>
    <x v="3"/>
    <s v="Non réception CO"/>
    <s v="Distance"/>
    <n v="1"/>
    <n v="1"/>
    <n v="1"/>
    <n v="1"/>
    <n v="1"/>
    <n v="1"/>
    <n v="1"/>
    <s v=" "/>
    <n v="1"/>
    <n v="1"/>
    <n v="1"/>
    <n v="1"/>
    <n v="1"/>
    <n v="1"/>
    <s v=" "/>
    <n v="1"/>
    <s v=" "/>
    <n v="1"/>
    <n v="1"/>
    <n v="1"/>
    <s v=" "/>
    <s v=" "/>
    <s v=" "/>
    <s v="28/03/2018"/>
  </r>
  <r>
    <x v="10"/>
    <n v="3"/>
    <x v="2"/>
    <s v="PHONE"/>
    <s v="20/03/2018"/>
    <s v="GLM Grille BO"/>
    <s v="EL ABSI Yahya"/>
    <x v="35"/>
    <s v="18513"/>
    <s v="SADOCKI JIMMY"/>
    <n v="100"/>
    <s v="10296561"/>
    <s v="9"/>
    <s v="Comité externe"/>
    <x v="3"/>
    <s v="RESILIA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n v="1"/>
    <s v="28/03/2018"/>
  </r>
  <r>
    <x v="10"/>
    <n v="3"/>
    <x v="2"/>
    <s v="PHONE"/>
    <s v="20/03/2018"/>
    <s v="GLM Grille BO"/>
    <s v="EL ABSI Yahya"/>
    <x v="33"/>
    <s v="12466"/>
    <s v="SADOCKI JIMMY"/>
    <n v="100"/>
    <s v="1240395"/>
    <s v="8"/>
    <s v="Comité externe"/>
    <x v="3"/>
    <s v="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n v="1"/>
    <n v="1"/>
    <n v="1"/>
    <m/>
  </r>
  <r>
    <x v="10"/>
    <n v="3"/>
    <x v="2"/>
    <s v="PHONE"/>
    <s v="20/03/2018"/>
    <s v="GLM Grille BO"/>
    <s v="EL ABSI Yahya"/>
    <x v="43"/>
    <s v="19185"/>
    <s v="SADOCKI JIMMY"/>
    <n v="77.040000000000006"/>
    <s v="1240395"/>
    <s v="8"/>
    <s v="Comité externe"/>
    <x v="3"/>
    <s v="RESILIATION"/>
    <s v="Distance"/>
    <n v="1"/>
    <n v="1"/>
    <n v="0"/>
    <n v="1"/>
    <n v="1"/>
    <n v="1"/>
    <n v="1"/>
    <s v=" "/>
    <s v=" "/>
    <n v="1"/>
    <n v="1"/>
    <n v="0"/>
    <n v="1"/>
    <n v="1"/>
    <s v=" "/>
    <n v="1"/>
    <s v=" "/>
    <n v="1"/>
    <n v="1"/>
    <s v=" "/>
    <s v=" "/>
    <n v="0"/>
    <s v=" "/>
    <m/>
  </r>
  <r>
    <x v="10"/>
    <n v="3"/>
    <x v="2"/>
    <s v="PHONE"/>
    <s v="20/03/2018"/>
    <s v="GLM Grille BO"/>
    <s v="EL ABSI Yahya"/>
    <x v="43"/>
    <s v="19185"/>
    <s v="SADOCKI JIMMY"/>
    <n v="78"/>
    <s v="10326600"/>
    <s v="29"/>
    <s v="Comité externe"/>
    <x v="3"/>
    <s v="CHANGEMENT CBC"/>
    <s v="Distance"/>
    <n v="0"/>
    <n v="1"/>
    <n v="1"/>
    <n v="1"/>
    <n v="1"/>
    <n v="1"/>
    <n v="1"/>
    <s v=" "/>
    <s v=" "/>
    <n v="1"/>
    <n v="1"/>
    <n v="0"/>
    <n v="1"/>
    <n v="1"/>
    <s v=" "/>
    <n v="1"/>
    <s v=" "/>
    <n v="1"/>
    <n v="1"/>
    <n v="1"/>
    <s v=" "/>
    <s v=" "/>
    <s v=" "/>
    <m/>
  </r>
  <r>
    <x v="10"/>
    <n v="3"/>
    <x v="2"/>
    <s v="PHONE"/>
    <s v="20/03/2018"/>
    <s v="GLM Grille BO"/>
    <s v="EL ABSI Yahya"/>
    <x v="43"/>
    <s v="19185"/>
    <s v="SADOCKI JIMMY"/>
    <n v="100"/>
    <s v="10119240"/>
    <s v="7"/>
    <s v="Comité externe"/>
    <x v="3"/>
    <s v="RETENTI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n v="1"/>
    <m/>
  </r>
  <r>
    <x v="10"/>
    <n v="3"/>
    <x v="2"/>
    <s v="PHONE"/>
    <s v="21/03/2018"/>
    <s v="GLM Grille BO"/>
    <s v="EL ABSI Yahya"/>
    <x v="33"/>
    <s v="12466"/>
    <s v="SADOCKI JIMMY"/>
    <n v="100"/>
    <s v="11370344"/>
    <s v="1"/>
    <s v="Comité externe"/>
    <x v="3"/>
    <s v="DELAI DE LIVRAISON"/>
    <s v="Distance"/>
    <n v="1"/>
    <n v="1"/>
    <n v="1"/>
    <n v="1"/>
    <n v="1"/>
    <n v="1"/>
    <n v="1"/>
    <s v=" "/>
    <s v=" "/>
    <n v="1"/>
    <n v="1"/>
    <n v="1"/>
    <n v="1"/>
    <n v="1"/>
    <s v=" "/>
    <n v="1"/>
    <s v=" "/>
    <n v="1"/>
    <n v="1"/>
    <n v="1"/>
    <s v=" "/>
    <s v=" "/>
    <s v=" "/>
    <m/>
  </r>
  <r>
    <x v="3"/>
    <n v="1"/>
    <x v="0"/>
    <s v="PHONE"/>
    <s v="22/01/2018"/>
    <s v="GLM Grille BO"/>
    <s v="BOULAL Hajar"/>
    <x v="40"/>
    <s v="22040"/>
    <s v="MASCLET ANNIE LAURE"/>
    <n v="88"/>
    <s v="0011049855"/>
    <s v="1"/>
    <s v="Formation"/>
    <x v="3"/>
    <s v="Souscription d'abonnement payant"/>
    <s v="Distance"/>
    <n v="1"/>
    <n v="1"/>
    <n v="1"/>
    <n v="1"/>
    <n v="1"/>
    <n v="1"/>
    <s v="OUI"/>
    <s v=" "/>
    <n v="1"/>
    <s v="OUI"/>
    <n v="1"/>
    <n v="0"/>
    <n v="1"/>
    <n v="1"/>
    <s v=" "/>
    <n v="1"/>
    <n v="0"/>
    <n v="1"/>
    <n v="1"/>
    <n v="1"/>
    <n v="1"/>
    <n v="1"/>
    <n v="1"/>
    <m/>
  </r>
  <r>
    <x v="3"/>
    <n v="1"/>
    <x v="0"/>
    <s v="PHONE"/>
    <s v="22/01/2018"/>
    <s v="GLM Grille BO"/>
    <s v="BOULAL Hajar"/>
    <x v="41"/>
    <s v="22039"/>
    <s v="MASCLET ANNIE LAURE"/>
    <n v="100"/>
    <s v="0001333282"/>
    <s v="1"/>
    <s v="Formation"/>
    <x v="3"/>
    <s v="Souscription de réabonnement payant"/>
    <s v="Distance"/>
    <n v="1"/>
    <s v=" "/>
    <n v="1"/>
    <n v="1"/>
    <n v="1"/>
    <n v="1"/>
    <s v="OUI"/>
    <s v=" "/>
    <n v="1"/>
    <s v="OUI"/>
    <n v="1"/>
    <n v="1"/>
    <n v="1"/>
    <s v=" "/>
    <s v=" "/>
    <s v=" "/>
    <n v="1"/>
    <s v=" "/>
    <s v=" "/>
    <s v=" "/>
    <s v=" "/>
    <s v=" "/>
    <s v=" "/>
    <m/>
  </r>
  <r>
    <x v="3"/>
    <n v="1"/>
    <x v="0"/>
    <s v="PHONE"/>
    <s v="22/01/2018"/>
    <s v="GLM Grille BO"/>
    <s v="BOULAL Hajar"/>
    <x v="44"/>
    <s v="11660"/>
    <s v="MASCLET ANNIE LAURE"/>
    <n v="96"/>
    <s v="0010773486"/>
    <s v="2"/>
    <s v="Formation"/>
    <x v="2"/>
    <s v="Règlement d'impayé"/>
    <s v="Distance"/>
    <n v="1"/>
    <n v="1"/>
    <n v="1"/>
    <n v="1"/>
    <n v="1"/>
    <n v="1"/>
    <s v="OUI"/>
    <s v=" "/>
    <n v="1"/>
    <s v="OUI"/>
    <n v="1"/>
    <n v="1"/>
    <n v="1"/>
    <n v="1"/>
    <s v=" "/>
    <n v="1"/>
    <s v=" "/>
    <n v="1"/>
    <n v="0"/>
    <n v="1"/>
    <n v="1"/>
    <n v="1"/>
    <n v="1"/>
    <m/>
  </r>
  <r>
    <x v="3"/>
    <n v="1"/>
    <x v="0"/>
    <s v="PHONE"/>
    <s v="22/01/2018"/>
    <s v="GLM Grille BO"/>
    <s v="DIONGUE Astou"/>
    <x v="38"/>
    <s v="19241"/>
    <s v="RAHMAT Issam"/>
    <n v="98"/>
    <s v="0000429076"/>
    <s v="7"/>
    <s v="Formation"/>
    <x v="2"/>
    <s v="Demande de facture acquittée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0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8"/>
    <s v="19241"/>
    <s v="RAHMAT Issam"/>
    <n v="100"/>
    <s v="0002112388"/>
    <s v="1"/>
    <s v="Formation"/>
    <x v="3"/>
    <s v="Demande de n° d'abonné ou n° de client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8"/>
    <s v="19241"/>
    <s v="RAHMAT Issam"/>
    <n v="100"/>
    <s v="0010777580"/>
    <s v="6"/>
    <s v="Formation"/>
    <x v="3"/>
    <s v="Suspension temporaire"/>
    <s v="Distance"/>
    <n v="1"/>
    <n v="1"/>
    <n v="1"/>
    <n v="1"/>
    <n v="1"/>
    <n v="1"/>
    <s v="OUI"/>
    <s v=" "/>
    <n v="1"/>
    <s v="NON"/>
    <n v="1"/>
    <n v="1"/>
    <n v="1"/>
    <n v="1"/>
    <s v=" "/>
    <n v="1"/>
    <n v="1"/>
    <n v="1"/>
    <n v="1"/>
    <n v="1"/>
    <s v=" "/>
    <s v=" "/>
    <s v=" "/>
    <s v="29/01/2018"/>
  </r>
  <r>
    <x v="3"/>
    <n v="1"/>
    <x v="0"/>
    <s v="PHONE"/>
    <s v="22/01/2018"/>
    <s v="GLM Grille BO"/>
    <s v="DIONGUE Astou"/>
    <x v="45"/>
    <s v="20328"/>
    <s v="MASCLET ANNIE LAURE"/>
    <n v="98"/>
    <s v="0002552073"/>
    <s v="1"/>
    <s v="Formation"/>
    <x v="3"/>
    <s v="Création compte sur le site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0"/>
    <n v="1"/>
    <n v="1"/>
    <n v="1"/>
    <n v="1"/>
    <n v="1"/>
    <n v="1"/>
    <s v="30/01/2018"/>
  </r>
  <r>
    <x v="3"/>
    <n v="1"/>
    <x v="0"/>
    <s v="PHONE"/>
    <s v="22/01/2018"/>
    <s v="GLM Grille BO"/>
    <s v="DIONGUE Astou"/>
    <x v="32"/>
    <s v="11107"/>
    <s v="MASCLET ANNIE LAURE"/>
    <n v="77"/>
    <s v="0000115476"/>
    <s v="2"/>
    <s v="Formation"/>
    <x v="2"/>
    <s v="Problème distribution postale"/>
    <s v="Distance"/>
    <n v="1"/>
    <n v="1"/>
    <n v="1"/>
    <n v="1"/>
    <n v="1"/>
    <n v="0"/>
    <s v="OUI"/>
    <s v=" "/>
    <n v="1"/>
    <s v="OUI"/>
    <n v="1"/>
    <n v="0"/>
    <n v="1"/>
    <n v="1"/>
    <s v=" "/>
    <n v="1"/>
    <n v="0"/>
    <n v="1"/>
    <n v="1"/>
    <n v="1"/>
    <n v="1"/>
    <n v="1"/>
    <n v="1"/>
    <m/>
  </r>
  <r>
    <x v="3"/>
    <n v="1"/>
    <x v="0"/>
    <s v="PHONE"/>
    <s v="22/01/2018"/>
    <s v="GLM Grille BO"/>
    <s v="DIONGUE Astou"/>
    <x v="32"/>
    <s v="11107"/>
    <s v="MASCLET ANNIE LAURE"/>
    <n v="100"/>
    <s v="0001171635"/>
    <s v="1"/>
    <s v="Formation"/>
    <x v="3"/>
    <s v="Demande de n° d'abonné ou n° de client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2"/>
    <s v="11107"/>
    <s v="MASCLET ANNIE LAURE"/>
    <n v="100"/>
    <s v="803771"/>
    <s v="1"/>
    <s v="Formation"/>
    <x v="3"/>
    <s v=" CHAD définitif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2"/>
    <s v="11107"/>
    <s v="MASCLET ANNIE LAURE"/>
    <n v="100"/>
    <s v="0000416241"/>
    <s v="50"/>
    <s v="Formation"/>
    <x v="2"/>
    <s v=" CHAD temporaire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s v="29/01/2018"/>
  </r>
  <r>
    <x v="3"/>
    <n v="1"/>
    <x v="0"/>
    <s v="PHONE"/>
    <s v="22/01/2018"/>
    <s v="GLM Grille BO"/>
    <s v="DIONGUE Astou"/>
    <x v="33"/>
    <s v="12466"/>
    <s v="MASCLET ANNIE LAURE"/>
    <n v="95"/>
    <s v="0001993815"/>
    <s v="1"/>
    <s v="Formation"/>
    <x v="3"/>
    <s v="1ère demande d'annulation prélèvement"/>
    <s v="Distance"/>
    <n v="1"/>
    <n v="1"/>
    <n v="1"/>
    <n v="1"/>
    <n v="1"/>
    <n v="1"/>
    <s v="OUI"/>
    <s v=" "/>
    <n v="1"/>
    <s v="OUI"/>
    <n v="1"/>
    <n v="1"/>
    <n v="1"/>
    <n v="0"/>
    <s v=" "/>
    <n v="1"/>
    <n v="1"/>
    <n v="1"/>
    <n v="1"/>
    <n v="1"/>
    <n v="1"/>
    <n v="1"/>
    <n v="1"/>
    <m/>
  </r>
  <r>
    <x v="3"/>
    <n v="1"/>
    <x v="0"/>
    <s v="PHONE"/>
    <s v="22/01/2018"/>
    <s v="GLM Grille BO"/>
    <s v="DIONGUE Astou"/>
    <x v="34"/>
    <s v="21214"/>
    <s v="MASCLET ANNIE LAURE"/>
    <n v="67"/>
    <s v="0001426449"/>
    <s v="1"/>
    <s v="Formation"/>
    <x v="3"/>
    <s v="Enregistrement d un paiement - chèque seul"/>
    <s v="Distance"/>
    <n v="0"/>
    <n v="1"/>
    <n v="1"/>
    <n v="1"/>
    <n v="1"/>
    <n v="0"/>
    <s v="OUI"/>
    <s v=" "/>
    <n v="1"/>
    <s v="OUI"/>
    <n v="1"/>
    <n v="0"/>
    <n v="1"/>
    <n v="1"/>
    <s v=" "/>
    <n v="1"/>
    <s v=" "/>
    <n v="1"/>
    <n v="1"/>
    <n v="1"/>
    <s v=" "/>
    <s v=" "/>
    <s v=" "/>
    <s v="29/01/2018"/>
  </r>
  <r>
    <x v="3"/>
    <n v="1"/>
    <x v="0"/>
    <s v="PHONE"/>
    <s v="26/01/2018"/>
    <s v="GLM Grille BO"/>
    <s v="BOULAL Hajar"/>
    <x v="40"/>
    <s v="22040"/>
    <s v="MASCLET ANNIE LAURE"/>
    <n v="100"/>
    <s v="0000764392"/>
    <s v="1"/>
    <s v="Formation"/>
    <x v="1"/>
    <s v="Confirmation enregistrement abo / réabo"/>
    <s v="Distance"/>
    <n v="1"/>
    <n v="1"/>
    <n v="1"/>
    <n v="1"/>
    <n v="1"/>
    <n v="1"/>
    <s v="OUI"/>
    <s v=" "/>
    <n v="1"/>
    <s v="OUI"/>
    <n v="1"/>
    <n v="1"/>
    <n v="1"/>
    <n v="1"/>
    <s v=" "/>
    <n v="1"/>
    <s v=" "/>
    <n v="1"/>
    <n v="1"/>
    <n v="1"/>
    <n v="1"/>
    <n v="1"/>
    <n v="1"/>
    <m/>
  </r>
  <r>
    <x v="3"/>
    <n v="1"/>
    <x v="0"/>
    <s v="PHONE"/>
    <s v="26/01/2018"/>
    <s v="GLM Grille BO"/>
    <s v="BOULAL Hajar"/>
    <x v="41"/>
    <s v="22039"/>
    <s v="MASCLET ANNIE LAURE"/>
    <n v="82.4"/>
    <s v="0000969506"/>
    <s v="1"/>
    <s v="Formation"/>
    <x v="2"/>
    <s v="Changement de desti taire"/>
    <s v="Distance"/>
    <n v="1"/>
    <n v="0"/>
    <n v="1"/>
    <n v="1"/>
    <n v="1"/>
    <n v="1"/>
    <s v="OUI"/>
    <s v=" "/>
    <n v="1"/>
    <s v="OUI"/>
    <n v="1"/>
    <n v="1"/>
    <n v="0"/>
    <n v="1"/>
    <s v=" "/>
    <n v="1"/>
    <n v="1"/>
    <n v="1"/>
    <n v="1"/>
    <n v="1"/>
    <s v=" "/>
    <s v=" "/>
    <s v=" "/>
    <m/>
  </r>
  <r>
    <x v="3"/>
    <n v="1"/>
    <x v="0"/>
    <s v="PHONE"/>
    <s v="26/01/2018"/>
    <s v="GLM Grille BO"/>
    <s v="BOULAL Hajar"/>
    <x v="41"/>
    <s v="22039"/>
    <s v="MASCLET ANNIE LAURE"/>
    <n v="100"/>
    <s v="0002155217"/>
    <s v="1"/>
    <s v="Formation"/>
    <x v="1"/>
    <s v=" CHAD définitif"/>
    <s v="Distance"/>
    <n v="1"/>
    <n v="1"/>
    <n v="1"/>
    <n v="1"/>
    <n v="1"/>
    <n v="1"/>
    <s v="OUI"/>
    <s v=" "/>
    <n v="1"/>
    <s v="OUI"/>
    <n v="1"/>
    <n v="1"/>
    <n v="1"/>
    <n v="1"/>
    <s v=" "/>
    <s v=" "/>
    <s v=" "/>
    <n v="1"/>
    <s v=" "/>
    <n v="1"/>
    <n v="1"/>
    <s v=" "/>
    <n v="1"/>
    <m/>
  </r>
  <r>
    <x v="3"/>
    <n v="1"/>
    <x v="0"/>
    <s v="PHONE"/>
    <s v="26/01/2018"/>
    <s v="GLM Grille BO"/>
    <s v="BOULAL Hajar"/>
    <x v="41"/>
    <s v="22039"/>
    <s v="MASCLET ANNIE LAURE"/>
    <n v="100"/>
    <s v="0001656615"/>
    <s v="9"/>
    <s v="Formation"/>
    <x v="2"/>
    <s v="Demande la date de fin d'abonnement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m/>
  </r>
  <r>
    <x v="3"/>
    <n v="1"/>
    <x v="0"/>
    <s v="PHONE"/>
    <s v="26/01/2018"/>
    <s v="GLM Grille BO"/>
    <s v="BOULAL Hajar"/>
    <x v="44"/>
    <s v="11660"/>
    <s v="MASCLET ANNIE LAURE"/>
    <n v="68.656716417910445"/>
    <s v="0010588137"/>
    <s v="1"/>
    <s v="Formation"/>
    <x v="3"/>
    <s v="Souscription de réabonnement payant"/>
    <s v="Distance"/>
    <n v="1"/>
    <s v=" "/>
    <s v=" "/>
    <n v="1"/>
    <n v="1"/>
    <n v="1"/>
    <s v="OUI"/>
    <s v=" "/>
    <n v="1"/>
    <s v="OUI"/>
    <n v="1"/>
    <n v="0"/>
    <n v="1"/>
    <s v=" "/>
    <s v=" "/>
    <s v=" "/>
    <n v="0"/>
    <s v=" "/>
    <s v=" "/>
    <s v=" "/>
    <s v=" "/>
    <s v=" "/>
    <s v=" "/>
    <m/>
  </r>
  <r>
    <x v="3"/>
    <n v="1"/>
    <x v="0"/>
    <s v="PHONE"/>
    <s v="26/01/2018"/>
    <s v="GLM Grille BO"/>
    <s v="BOULAL Hajar"/>
    <x v="44"/>
    <s v="11660"/>
    <s v="MASCLET ANNIE LAURE"/>
    <n v="95.6"/>
    <s v="0003062709"/>
    <s v="8"/>
    <s v="Formation"/>
    <x v="1"/>
    <s v="CHAD définitif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0"/>
    <n v="1"/>
    <n v="1"/>
    <n v="1"/>
    <s v=" "/>
    <n v="1"/>
    <m/>
  </r>
  <r>
    <x v="3"/>
    <n v="1"/>
    <x v="0"/>
    <s v="PHONE"/>
    <s v="26/01/2018"/>
    <s v="GLM Grille BO"/>
    <s v="DIONGUE Astou"/>
    <x v="46"/>
    <s v="5677"/>
    <s v="MASCLET ANNIE LAURE"/>
    <n v="100"/>
    <s v="0001734065"/>
    <s v="1"/>
    <s v="Formation"/>
    <x v="3"/>
    <s v="Non réception en France ou à l'étranger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m/>
  </r>
  <r>
    <x v="3"/>
    <n v="1"/>
    <x v="0"/>
    <s v="PHONE"/>
    <s v="26/01/2018"/>
    <s v="GLM Grille BO"/>
    <s v="DIONGUE Astou"/>
    <x v="46"/>
    <s v="5677"/>
    <s v="MASCLET ANNIE LAURE"/>
    <n v="100"/>
    <s v="0001758438"/>
    <s v="129"/>
    <s v="Formation"/>
    <x v="2"/>
    <s v="Portage en Banlieue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m/>
  </r>
  <r>
    <x v="3"/>
    <n v="1"/>
    <x v="0"/>
    <s v="PHONE"/>
    <s v="26/01/2018"/>
    <s v="GLM Grille BO"/>
    <s v="DIONGUE Astou"/>
    <x v="46"/>
    <s v="5677"/>
    <s v="MASCLET ANNIE LAURE"/>
    <n v="100"/>
    <s v="0010460388"/>
    <s v="19"/>
    <s v="Formation"/>
    <x v="2"/>
    <s v="Demande de facture acquittée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m/>
  </r>
  <r>
    <x v="3"/>
    <n v="1"/>
    <x v="0"/>
    <s v="PHONE"/>
    <s v="26/01/2018"/>
    <s v="GLM Grille BO"/>
    <s v="DIONGUE Astou"/>
    <x v="46"/>
    <s v="5677"/>
    <s v="MASCLET ANNIE LAURE"/>
    <n v="100"/>
    <s v="0000446735"/>
    <s v="39"/>
    <s v="Formation"/>
    <x v="2"/>
    <s v="Suspension temporaire"/>
    <s v="Distance"/>
    <n v="1"/>
    <n v="1"/>
    <n v="1"/>
    <n v="1"/>
    <n v="1"/>
    <n v="1"/>
    <s v="OUI"/>
    <s v=" "/>
    <n v="1"/>
    <s v="OUI"/>
    <n v="1"/>
    <n v="1"/>
    <n v="1"/>
    <n v="1"/>
    <s v=" "/>
    <n v="1"/>
    <n v="1"/>
    <n v="1"/>
    <n v="1"/>
    <n v="1"/>
    <n v="1"/>
    <n v="1"/>
    <n v="1"/>
    <m/>
  </r>
  <r>
    <x v="13"/>
    <m/>
    <x v="3"/>
    <m/>
    <m/>
    <m/>
    <m/>
    <x v="47"/>
    <m/>
    <m/>
    <m/>
    <m/>
    <m/>
    <m/>
    <x v="4"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K8" firstHeaderRow="1" firstDataRow="3" firstDataCol="1"/>
  <pivotFields count="41">
    <pivotField showAll="0" defaultSubtotal="0"/>
    <pivotField showAll="0" defaultSubtotal="0"/>
    <pivotField axis="axisRow" showAll="0" defaultSubtotal="0">
      <items count="7">
        <item h="1" x="0"/>
        <item x="1"/>
        <item x="2"/>
        <item h="1" m="1" x="6"/>
        <item h="1" m="1" x="5"/>
        <item h="1" m="1" x="4"/>
        <item h="1" x="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axis="axisCol" showAll="0" defaultSubtotal="0">
      <items count="5">
        <item x="3"/>
        <item x="0"/>
        <item x="1"/>
        <item x="2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2"/>
  </rowFields>
  <rowItems count="3">
    <i>
      <x v="1"/>
    </i>
    <i>
      <x v="2"/>
    </i>
    <i t="grand">
      <x/>
    </i>
  </rowItems>
  <colFields count="2">
    <field x="14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Nombre" fld="10" subtotal="count" baseField="2" baseItem="1"/>
    <dataField name="%" fld="10" subtotal="average" baseField="2" baseItem="1" numFmtId="1"/>
  </dataFields>
  <formats count="12">
    <format dxfId="31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10">
      <pivotArea field="2" type="button" dataOnly="0" labelOnly="1" outline="0" axis="axisRow" fieldPosition="0"/>
    </format>
    <format dxfId="309">
      <pivotArea field="14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08">
      <pivotArea field="14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07">
      <pivotArea dataOnly="0" labelOnly="1" outline="0" fieldPosition="0">
        <references count="2">
          <reference field="4294967294" count="2">
            <x v="0"/>
            <x v="1"/>
          </reference>
          <reference field="14" count="1" selected="0">
            <x v="0"/>
          </reference>
        </references>
      </pivotArea>
    </format>
    <format dxfId="306">
      <pivotArea dataOnly="0" labelOnly="1" outline="0" fieldPosition="0">
        <references count="2">
          <reference field="4294967294" count="2">
            <x v="0"/>
            <x v="1"/>
          </reference>
          <reference field="14" count="1" selected="0">
            <x v="1"/>
          </reference>
        </references>
      </pivotArea>
    </format>
    <format dxfId="305">
      <pivotArea dataOnly="0" labelOnly="1" outline="0" fieldPosition="0">
        <references count="2">
          <reference field="4294967294" count="2">
            <x v="0"/>
            <x v="1"/>
          </reference>
          <reference field="14" count="1" selected="0">
            <x v="2"/>
          </reference>
        </references>
      </pivotArea>
    </format>
    <format dxfId="304">
      <pivotArea dataOnly="0" labelOnly="1" outline="0" fieldPosition="0">
        <references count="2">
          <reference field="4294967294" count="2">
            <x v="0"/>
            <x v="1"/>
          </reference>
          <reference field="14" count="1" selected="0">
            <x v="3"/>
          </reference>
        </references>
      </pivotArea>
    </format>
    <format dxfId="303">
      <pivotArea type="origin" dataOnly="0" labelOnly="1" outline="0" fieldPosition="0"/>
    </format>
    <format dxfId="302">
      <pivotArea field="14" type="button" dataOnly="0" labelOnly="1" outline="0" axis="axisCol" fieldPosition="0"/>
    </format>
    <format dxfId="301">
      <pivotArea field="-2" type="button" dataOnly="0" labelOnly="1" outline="0" axis="axisCol" fieldPosition="1"/>
    </format>
    <format dxfId="30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13" applyNumberFormats="0" applyBorderFormats="0" applyFontFormats="0" applyPatternFormats="0" applyAlignmentFormats="0" applyWidthHeightFormats="1" dataCaption="Valeurs" errorCaption="NA" showError="1" updatedVersion="4" minRefreshableVersion="3" useAutoFormatting="1" itemPrintTitles="1" createdVersion="4" indent="0" outline="1" outlineData="1" multipleFieldFilters="0">
  <location ref="A4:Y117" firstHeaderRow="1" firstDataRow="2" firstDataCol="1"/>
  <pivotFields count="41">
    <pivotField showAll="0" defaultSubtotal="0"/>
    <pivotField showAll="0" defaultSubtotal="0"/>
    <pivotField axis="axisRow" showAll="0" avgSubtotal="1">
      <items count="8">
        <item x="3"/>
        <item x="0"/>
        <item m="1" x="6"/>
        <item m="1" x="5"/>
        <item m="1" x="4"/>
        <item x="2"/>
        <item x="1"/>
        <item t="avg"/>
      </items>
    </pivotField>
    <pivotField showAll="0" defaultSubtotal="0"/>
    <pivotField showAll="0"/>
    <pivotField showAll="0"/>
    <pivotField showAll="0"/>
    <pivotField axis="axisRow" showAll="0">
      <items count="60">
        <item x="38"/>
        <item x="10"/>
        <item x="6"/>
        <item x="45"/>
        <item x="7"/>
        <item x="15"/>
        <item x="14"/>
        <item x="16"/>
        <item m="1" x="54"/>
        <item x="13"/>
        <item x="9"/>
        <item x="39"/>
        <item x="32"/>
        <item x="35"/>
        <item x="33"/>
        <item x="1"/>
        <item x="46"/>
        <item x="37"/>
        <item x="36"/>
        <item x="2"/>
        <item x="4"/>
        <item x="12"/>
        <item x="11"/>
        <item x="3"/>
        <item m="1" x="56"/>
        <item m="1" x="57"/>
        <item x="47"/>
        <item x="44"/>
        <item x="25"/>
        <item m="1" x="53"/>
        <item x="20"/>
        <item m="1" x="55"/>
        <item x="28"/>
        <item x="26"/>
        <item m="1" x="58"/>
        <item m="1" x="51"/>
        <item x="19"/>
        <item x="40"/>
        <item x="41"/>
        <item x="34"/>
        <item m="1" x="50"/>
        <item x="24"/>
        <item m="1" x="48"/>
        <item m="1" x="49"/>
        <item x="21"/>
        <item x="23"/>
        <item x="27"/>
        <item m="1" x="52"/>
        <item x="17"/>
        <item x="18"/>
        <item x="22"/>
        <item x="43"/>
        <item x="0"/>
        <item x="5"/>
        <item x="8"/>
        <item x="29"/>
        <item x="30"/>
        <item x="31"/>
        <item x="42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 defaultSubtota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/>
    <pivotField dataField="1" showAll="0" defaultSubtotal="0"/>
    <pivotField dataField="1" showAll="0" defaultSubtotal="0"/>
    <pivotField dataField="1" showAll="0"/>
    <pivotField dataField="1" showAll="0"/>
    <pivotField dataField="1" showAll="0" defaultSubtotal="0"/>
    <pivotField dataField="1" showAll="0"/>
    <pivotField showAll="0" defaultSubtotal="0"/>
  </pivotFields>
  <rowFields count="2">
    <field x="2"/>
    <field x="7"/>
  </rowFields>
  <rowItems count="112">
    <i>
      <x/>
    </i>
    <i r="1">
      <x v="26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7"/>
    </i>
    <i r="1">
      <x v="30"/>
    </i>
    <i r="1">
      <x v="36"/>
    </i>
    <i r="1">
      <x v="37"/>
    </i>
    <i r="1">
      <x v="38"/>
    </i>
    <i r="1">
      <x v="39"/>
    </i>
    <i r="1">
      <x v="44"/>
    </i>
    <i r="1">
      <x v="45"/>
    </i>
    <i r="1">
      <x v="48"/>
    </i>
    <i r="1">
      <x v="49"/>
    </i>
    <i r="1">
      <x v="50"/>
    </i>
    <i r="1">
      <x v="52"/>
    </i>
    <i r="1">
      <x v="53"/>
    </i>
    <i r="1">
      <x v="54"/>
    </i>
    <i r="1">
      <x v="56"/>
    </i>
    <i r="1">
      <x v="57"/>
    </i>
    <i r="1">
      <x v="58"/>
    </i>
    <i>
      <x v="5"/>
    </i>
    <i r="1"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9"/>
    </i>
    <i r="1">
      <x v="22"/>
    </i>
    <i r="1">
      <x v="23"/>
    </i>
    <i r="1">
      <x v="30"/>
    </i>
    <i r="1">
      <x v="38"/>
    </i>
    <i r="1">
      <x v="39"/>
    </i>
    <i r="1">
      <x v="44"/>
    </i>
    <i r="1">
      <x v="45"/>
    </i>
    <i r="1">
      <x v="46"/>
    </i>
    <i r="1">
      <x v="48"/>
    </i>
    <i r="1">
      <x v="51"/>
    </i>
    <i r="1">
      <x v="52"/>
    </i>
    <i r="1">
      <x v="53"/>
    </i>
    <i r="1">
      <x v="54"/>
    </i>
    <i r="1">
      <x v="57"/>
    </i>
    <i r="1">
      <x v="58"/>
    </i>
    <i>
      <x v="6"/>
    </i>
    <i r="1">
      <x/>
    </i>
    <i r="1">
      <x v="2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9"/>
    </i>
    <i r="1">
      <x v="20"/>
    </i>
    <i r="1">
      <x v="22"/>
    </i>
    <i r="1">
      <x v="23"/>
    </i>
    <i r="1">
      <x v="28"/>
    </i>
    <i r="1">
      <x v="32"/>
    </i>
    <i r="1">
      <x v="33"/>
    </i>
    <i r="1">
      <x v="36"/>
    </i>
    <i r="1">
      <x v="37"/>
    </i>
    <i r="1">
      <x v="38"/>
    </i>
    <i r="1">
      <x v="39"/>
    </i>
    <i r="1">
      <x v="41"/>
    </i>
    <i r="1">
      <x v="44"/>
    </i>
    <i r="1">
      <x v="45"/>
    </i>
    <i r="1">
      <x v="46"/>
    </i>
    <i r="1">
      <x v="48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t="grand">
      <x/>
    </i>
  </rowItems>
  <colFields count="1">
    <field x="-2"/>
  </colFields>
  <colItems count="2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</colItems>
  <dataFields count="24">
    <dataField name="Analyse de la demande, des commandes et de l'historique des échanges." fld="17" subtotal="average" baseField="2" baseItem="1"/>
    <dataField name="Aucune faute de grammaire ou d'orthographe." fld="18" subtotal="average" baseField="2" baseItem="1"/>
    <dataField name="Choix du modèle-type." fld="19" subtotal="average" baseField="2" baseItem="1"/>
    <dataField name="Identification (ou création) du dossier." fld="20" subtotal="average" baseField="2" baseItem="1"/>
    <dataField name="Pose du contact - PRN." fld="21" subtotal="average" baseField="2" baseItem="1"/>
    <dataField name="Respect des procédures." fld="22" subtotal="average" baseField="2" baseItem="1"/>
    <dataField name="Procédure." fld="23" subtotal="average" baseField="2" baseItem="1"/>
    <dataField name="MAJ des con issances produit (intranet, etc.)." fld="24" subtotal="average" baseField="2" baseItem="1"/>
    <dataField name="MAJ des coordonnées postales." fld="25" subtotal="average" baseField="2" baseItem="1"/>
    <dataField name="Discours." fld="26" subtotal="average" baseField="2" baseItem="1"/>
    <dataField name="Commentaire." fld="27" subtotal="average" baseField="2" baseItem="1"/>
    <dataField name="Réponse correcte et complète - Résolution au premier contact." fld="28" subtotal="average" baseField="2" baseItem="1"/>
    <dataField name="Respect des règles de gestion (cm, anomalie portage, etc.)." fld="29" subtotal="average" baseField="2" baseItem="1"/>
    <dataField name="Syntaxe claire et ponctuée." fld="30" subtotal="average" baseField="2" baseItem="1"/>
    <dataField name="Appel à l'assistance/cellule prio - Escalade vers le niveau 2." fld="31" subtotal="average" baseField="2" baseItem="1"/>
    <dataField name="Adresse mail expéditeur et destinataire." fld="32" subtotal="average" baseField="2" baseItem="1"/>
    <dataField name="MAJ des moyens de communication (téléphone, adresse électronique)." fld="33" subtotal="average" baseField="2" baseItem="1"/>
    <dataField name="Personnalisation de la réponse." fld="34" subtotal="average" baseField="2" baseItem="1"/>
    <dataField name="Entête nominative - formule de politesse et prise de congé adaptées." fld="35" subtotal="average" baseField="2" baseItem="1"/>
    <dataField name="Accompagnement client - sens du service." fld="36" subtotal="average" baseField="2" baseItem="1"/>
    <dataField name="Présentation et mise en valeur des offres." fld="37" subtotal="average" baseField="2" baseItem="1"/>
    <dataField name="Valorisation des gestes co/dédommagement - valorisation de la marque." fld="38" subtotal="average" baseField="2" baseItem="1"/>
    <dataField name="Valorisation client." fld="39" subtotal="average" baseField="2" baseItem="1"/>
    <dataField name="Moyenne de note" fld="10" subtotal="average" baseField="2" baseItem="1" numFmtId="2"/>
  </dataFields>
  <formats count="3">
    <format dxfId="299">
      <pivotArea outline="0" fieldPosition="0"/>
    </format>
    <format dxfId="298">
      <pivotArea dataOnly="0" labelOnly="1" outline="0" fieldPosition="0">
        <references count="1">
          <reference field="4294967294" count="2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97">
      <pivotArea outline="0" fieldPosition="0">
        <references count="1">
          <reference field="4294967294" count="1">
            <x v="2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8" cacheId="13" applyNumberFormats="0" applyBorderFormats="0" applyFontFormats="0" applyPatternFormats="0" applyAlignmentFormats="0" applyWidthHeightFormats="1" dataCaption="Valeurs" errorCaption="NA" showError="1" updatedVersion="4" minRefreshableVersion="3" useAutoFormatting="1" itemPrintTitles="1" createdVersion="4" indent="0" outline="1" outlineData="1" multipleFieldFilters="0">
  <location ref="A4:Y23" firstHeaderRow="1" firstDataRow="2" firstDataCol="1"/>
  <pivotFields count="41">
    <pivotField showAll="0" defaultSubtotal="0"/>
    <pivotField showAll="0" defaultSubtotal="0"/>
    <pivotField axis="axisRow" showAll="0" avgSubtotal="1">
      <items count="8">
        <item x="3"/>
        <item x="0"/>
        <item m="1" x="6"/>
        <item m="1" x="5"/>
        <item m="1" x="4"/>
        <item x="2"/>
        <item x="1"/>
        <item t="avg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Row" showAll="0">
      <items count="6">
        <item x="3"/>
        <item x="0"/>
        <item x="1"/>
        <item x="2"/>
        <item x="4"/>
        <item t="default"/>
      </items>
    </pivotField>
    <pivotField showAll="0"/>
    <pivotField showAll="0"/>
    <pivotField dataField="1" showAll="0" defaultSubtota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/>
    <pivotField dataField="1" showAll="0" defaultSubtotal="0"/>
    <pivotField dataField="1" showAll="0" defaultSubtotal="0"/>
    <pivotField dataField="1" showAll="0"/>
    <pivotField dataField="1" showAll="0"/>
    <pivotField dataField="1" showAll="0" defaultSubtotal="0"/>
    <pivotField dataField="1" showAll="0"/>
    <pivotField showAll="0" defaultSubtotal="0"/>
  </pivotFields>
  <rowFields count="2">
    <field x="2"/>
    <field x="14"/>
  </rowFields>
  <rowItems count="18">
    <i>
      <x/>
    </i>
    <i r="1">
      <x v="4"/>
    </i>
    <i>
      <x v="1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2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</colItems>
  <dataFields count="24">
    <dataField name="Analyse de la demande, des commandes et de l'historique des échanges." fld="17" subtotal="average" baseField="2" baseItem="1"/>
    <dataField name="Aucune faute de grammaire ou d'orthographe." fld="18" subtotal="average" baseField="2" baseItem="1"/>
    <dataField name="Choix du modèle-type." fld="19" subtotal="average" baseField="2" baseItem="1"/>
    <dataField name="Identification (ou création) du dossier." fld="20" subtotal="average" baseField="2" baseItem="1"/>
    <dataField name="Pose du contact - PRN." fld="21" subtotal="average" baseField="2" baseItem="1"/>
    <dataField name="Respect des procédures." fld="22" subtotal="average" baseField="2" baseItem="1"/>
    <dataField name="Procédure." fld="23" subtotal="average" baseField="2" baseItem="1"/>
    <dataField name="MAJ des con issances produit (intranet, etc.)." fld="24" subtotal="average" baseField="2" baseItem="1"/>
    <dataField name="MAJ des coordonnées postales." fld="25" subtotal="average" baseField="2" baseItem="1"/>
    <dataField name="Discours." fld="26" subtotal="average" baseField="2" baseItem="1"/>
    <dataField name="Commentaire." fld="27" subtotal="average" baseField="2" baseItem="1"/>
    <dataField name="Réponse correcte et complète - Résolution au premier contact." fld="28" subtotal="average" baseField="2" baseItem="1"/>
    <dataField name="Respect des règles de gestion (cm, anomalie portage, etc.)." fld="29" subtotal="average" baseField="2" baseItem="1"/>
    <dataField name="Syntaxe claire et ponctuée." fld="30" subtotal="average" baseField="2" baseItem="1"/>
    <dataField name="Appel à l'assistance/cellule prio - Escalade vers le niveau 2." fld="31" subtotal="average" baseField="2" baseItem="1"/>
    <dataField name="Adresse mail expéditeur et destinataire." fld="32" subtotal="average" baseField="2" baseItem="1"/>
    <dataField name="MAJ des moyens de communication (téléphone, adresse électronique)." fld="33" subtotal="average" baseField="2" baseItem="1"/>
    <dataField name="Personnalisation de la réponse." fld="34" subtotal="average" baseField="2" baseItem="1"/>
    <dataField name="Entête nominative - formule de politesse et prise de congé adaptées." fld="35" subtotal="average" baseField="2" baseItem="1"/>
    <dataField name="Accompagnement client - sens du service." fld="36" subtotal="average" baseField="2" baseItem="1"/>
    <dataField name="Présentation et mise en valeur des offres." fld="37" subtotal="average" baseField="2" baseItem="1"/>
    <dataField name="Valorisation des gestes co/dédommagement - valorisation de la marque." fld="38" subtotal="average" baseField="2" baseItem="1"/>
    <dataField name="Valorisation client." fld="39" subtotal="average" baseField="2" baseItem="1"/>
    <dataField name="Moyenne de note" fld="10" subtotal="average" baseField="2" baseItem="1" numFmtId="2"/>
  </dataFields>
  <formats count="3">
    <format dxfId="296">
      <pivotArea outline="0" fieldPosition="0"/>
    </format>
    <format dxfId="295">
      <pivotArea dataOnly="0" labelOnly="1" outline="0" fieldPosition="0">
        <references count="1">
          <reference field="4294967294" count="2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94">
      <pivotArea outline="0" fieldPosition="0">
        <references count="1">
          <reference field="4294967294" count="1">
            <x v="2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8" cacheId="13" applyNumberFormats="0" applyBorderFormats="0" applyFontFormats="0" applyPatternFormats="0" applyAlignmentFormats="0" applyWidthHeightFormats="1" dataCaption="Valeurs" errorCaption="NA" showError="1" updatedVersion="4" minRefreshableVersion="3" useAutoFormatting="1" itemPrintTitles="1" createdVersion="4" indent="0" outline="1" outlineData="1" multipleFieldFilters="0">
  <location ref="A4:Y25" firstHeaderRow="1" firstDataRow="2" firstDataCol="1"/>
  <pivotFields count="41">
    <pivotField axis="axisRow" showAll="0" defaultSubtotal="0">
      <items count="27">
        <item x="0"/>
        <item x="1"/>
        <item x="13"/>
        <item m="1" x="15"/>
        <item m="1" x="21"/>
        <item m="1" x="22"/>
        <item m="1" x="17"/>
        <item m="1" x="16"/>
        <item m="1" x="23"/>
        <item m="1" x="18"/>
        <item m="1" x="24"/>
        <item m="1" x="19"/>
        <item m="1" x="25"/>
        <item m="1" x="26"/>
        <item m="1" x="20"/>
        <item x="2"/>
        <item x="3"/>
        <item x="4"/>
        <item x="12"/>
        <item x="8"/>
        <item x="9"/>
        <item x="10"/>
        <item x="11"/>
        <item x="5"/>
        <item x="6"/>
        <item x="7"/>
        <item m="1" x="14"/>
      </items>
    </pivotField>
    <pivotField showAll="0" defaultSubtotal="0"/>
    <pivotField axis="axisRow" showAll="0" avgSubtotal="1">
      <items count="8">
        <item x="3"/>
        <item x="0"/>
        <item m="1" x="6"/>
        <item m="1" x="5"/>
        <item m="1" x="4"/>
        <item x="2"/>
        <item x="1"/>
        <item t="avg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 defaultSubtota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/>
    <pivotField dataField="1" showAll="0" defaultSubtotal="0"/>
    <pivotField dataField="1" showAll="0" defaultSubtotal="0"/>
    <pivotField dataField="1" showAll="0"/>
    <pivotField dataField="1" showAll="0"/>
    <pivotField dataField="1" showAll="0" defaultSubtotal="0"/>
    <pivotField dataField="1" showAll="0"/>
    <pivotField showAll="0" defaultSubtotal="0"/>
  </pivotFields>
  <rowFields count="2">
    <field x="2"/>
    <field x="0"/>
  </rowFields>
  <rowItems count="20">
    <i>
      <x/>
    </i>
    <i r="1">
      <x v="2"/>
    </i>
    <i>
      <x v="1"/>
    </i>
    <i r="1">
      <x/>
    </i>
    <i r="1">
      <x v="1"/>
    </i>
    <i r="1">
      <x v="15"/>
    </i>
    <i r="1">
      <x v="16"/>
    </i>
    <i r="1">
      <x v="17"/>
    </i>
    <i>
      <x v="5"/>
    </i>
    <i r="1">
      <x v="18"/>
    </i>
    <i r="1">
      <x v="19"/>
    </i>
    <i r="1">
      <x v="20"/>
    </i>
    <i r="1">
      <x v="21"/>
    </i>
    <i r="1">
      <x v="22"/>
    </i>
    <i>
      <x v="6"/>
    </i>
    <i r="1">
      <x v="17"/>
    </i>
    <i r="1">
      <x v="23"/>
    </i>
    <i r="1">
      <x v="24"/>
    </i>
    <i r="1">
      <x v="25"/>
    </i>
    <i t="grand">
      <x/>
    </i>
  </rowItems>
  <colFields count="1">
    <field x="-2"/>
  </colFields>
  <colItems count="2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</colItems>
  <dataFields count="24">
    <dataField name="Analyse de la demande, des commandes et de l'historique des échanges." fld="17" subtotal="average" baseField="2" baseItem="1"/>
    <dataField name="Aucune faute de grammaire ou d'orthographe." fld="18" subtotal="average" baseField="2" baseItem="1"/>
    <dataField name="Choix du modèle-type." fld="19" subtotal="average" baseField="2" baseItem="1"/>
    <dataField name="Identification (ou création) du dossier." fld="20" subtotal="average" baseField="2" baseItem="1"/>
    <dataField name="Pose du contact - PRN." fld="21" subtotal="average" baseField="2" baseItem="1"/>
    <dataField name="Respect des procédures." fld="22" subtotal="average" baseField="2" baseItem="1"/>
    <dataField name="Procédure." fld="23" subtotal="average" baseField="2" baseItem="1"/>
    <dataField name="MAJ des con issances produit (intranet, etc.)." fld="24" subtotal="average" baseField="2" baseItem="1"/>
    <dataField name="MAJ des coordonnées postales." fld="25" subtotal="average" baseField="2" baseItem="1"/>
    <dataField name="Discours." fld="26" subtotal="average" baseField="2" baseItem="1"/>
    <dataField name="Commentaire." fld="27" subtotal="average" baseField="2" baseItem="1"/>
    <dataField name="Réponse correcte et complète - Résolution au premier contact." fld="28" subtotal="average" baseField="2" baseItem="1"/>
    <dataField name="Respect des règles de gestion (cm, anomalie portage, etc.)." fld="29" subtotal="average" baseField="2" baseItem="1"/>
    <dataField name="Syntaxe claire et ponctuée." fld="30" subtotal="average" baseField="2" baseItem="1"/>
    <dataField name="Appel à l'assistance/cellule prio - Escalade vers le niveau 2." fld="31" subtotal="average" baseField="2" baseItem="1"/>
    <dataField name="Adresse mail expéditeur et destinataire." fld="32" subtotal="average" baseField="2" baseItem="1"/>
    <dataField name="MAJ des moyens de communication (téléphone, adresse électronique)." fld="33" subtotal="average" baseField="2" baseItem="1"/>
    <dataField name="Personnalisation de la réponse." fld="34" subtotal="average" baseField="2" baseItem="1"/>
    <dataField name="Entête nominative - formule de politesse et prise de congé adaptées." fld="35" subtotal="average" baseField="2" baseItem="1"/>
    <dataField name="Accompagnement client - sens du service." fld="36" subtotal="average" baseField="2" baseItem="1"/>
    <dataField name="Présentation et mise en valeur des offres." fld="37" subtotal="average" baseField="2" baseItem="1"/>
    <dataField name="Valorisation des gestes co/dédommagement - valorisation de la marque." fld="38" subtotal="average" baseField="2" baseItem="1"/>
    <dataField name="Valorisation client." fld="39" subtotal="average" baseField="2" baseItem="1"/>
    <dataField name="Moyenne de note" fld="10" subtotal="average" baseField="2" baseItem="1" numFmtId="2"/>
  </dataFields>
  <formats count="3">
    <format dxfId="293">
      <pivotArea outline="0" fieldPosition="0"/>
    </format>
    <format dxfId="292">
      <pivotArea dataOnly="0" labelOnly="1" outline="0" fieldPosition="0">
        <references count="1">
          <reference field="4294967294" count="2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91">
      <pivotArea outline="0" fieldPosition="0">
        <references count="1">
          <reference field="4294967294" count="1">
            <x v="2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K8" firstHeaderRow="1" firstDataRow="3" firstDataCol="1"/>
  <pivotFields count="46">
    <pivotField showAll="0" defaultSubtotal="0"/>
    <pivotField showAll="0" defaultSubtotal="0"/>
    <pivotField axis="axisRow" showAll="0" defaultSubtotal="0">
      <items count="8">
        <item h="1" x="0"/>
        <item x="1"/>
        <item x="2"/>
        <item h="1" m="1" x="7"/>
        <item h="1" m="1" x="6"/>
        <item h="1" m="1" x="5"/>
        <item h="1" x="4"/>
        <item h="1" x="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axis="axisCol" showAll="0" defaultSubtotal="0">
      <items count="5">
        <item x="1"/>
        <item x="2"/>
        <item x="3"/>
        <item x="0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2"/>
  </rowFields>
  <rowItems count="3">
    <i>
      <x v="1"/>
    </i>
    <i>
      <x v="2"/>
    </i>
    <i t="grand">
      <x/>
    </i>
  </rowItems>
  <colFields count="2">
    <field x="12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Nombre" fld="9" subtotal="count" baseField="2" baseItem="1"/>
    <dataField name="%" fld="9" subtotal="average" baseField="2" baseItem="1" numFmtId="1"/>
  </dataFields>
  <formats count="12">
    <format dxfId="29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89">
      <pivotArea field="2" type="button" dataOnly="0" labelOnly="1" outline="0" axis="axisRow" fieldPosition="0"/>
    </format>
    <format dxfId="288">
      <pivotArea field="1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87">
      <pivotArea field="1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86">
      <pivotArea dataOnly="0" labelOnly="1" outline="0" fieldPosition="0">
        <references count="2">
          <reference field="4294967294" count="2">
            <x v="0"/>
            <x v="1"/>
          </reference>
          <reference field="12" count="1" selected="0">
            <x v="0"/>
          </reference>
        </references>
      </pivotArea>
    </format>
    <format dxfId="285">
      <pivotArea dataOnly="0" labelOnly="1" outline="0" fieldPosition="0">
        <references count="2">
          <reference field="4294967294" count="2">
            <x v="0"/>
            <x v="1"/>
          </reference>
          <reference field="12" count="1" selected="0">
            <x v="1"/>
          </reference>
        </references>
      </pivotArea>
    </format>
    <format dxfId="284">
      <pivotArea dataOnly="0" labelOnly="1" outline="0" fieldPosition="0">
        <references count="2">
          <reference field="4294967294" count="2">
            <x v="0"/>
            <x v="1"/>
          </reference>
          <reference field="12" count="1" selected="0">
            <x v="2"/>
          </reference>
        </references>
      </pivotArea>
    </format>
    <format dxfId="283">
      <pivotArea dataOnly="0" labelOnly="1" outline="0" fieldPosition="0">
        <references count="2">
          <reference field="4294967294" count="2">
            <x v="0"/>
            <x v="1"/>
          </reference>
          <reference field="12" count="1" selected="0">
            <x v="3"/>
          </reference>
        </references>
      </pivotArea>
    </format>
    <format dxfId="282">
      <pivotArea type="origin" dataOnly="0" labelOnly="1" outline="0" fieldPosition="0"/>
    </format>
    <format dxfId="281">
      <pivotArea field="12" type="button" dataOnly="0" labelOnly="1" outline="0" axis="axisCol" fieldPosition="0"/>
    </format>
    <format dxfId="280">
      <pivotArea field="-2" type="button" dataOnly="0" labelOnly="1" outline="0" axis="axisCol" fieldPosition="1"/>
    </format>
    <format dxfId="27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AE74" firstHeaderRow="0" firstDataRow="1" firstDataCol="1"/>
  <pivotFields count="46">
    <pivotField showAll="0"/>
    <pivotField showAll="0"/>
    <pivotField axis="axisRow" showAll="0">
      <items count="9">
        <item x="0"/>
        <item x="4"/>
        <item m="1" x="7"/>
        <item m="1" x="6"/>
        <item m="1" x="5"/>
        <item x="2"/>
        <item x="1"/>
        <item x="3"/>
        <item t="default"/>
      </items>
    </pivotField>
    <pivotField showAll="0"/>
    <pivotField showAll="0"/>
    <pivotField showAll="0"/>
    <pivotField axis="axisRow" showAll="0">
      <items count="26">
        <item x="8"/>
        <item x="10"/>
        <item x="9"/>
        <item x="13"/>
        <item x="12"/>
        <item x="0"/>
        <item x="7"/>
        <item x="4"/>
        <item x="2"/>
        <item x="1"/>
        <item x="14"/>
        <item x="5"/>
        <item x="11"/>
        <item x="3"/>
        <item x="6"/>
        <item x="19"/>
        <item x="16"/>
        <item x="18"/>
        <item m="1" x="23"/>
        <item m="1" x="22"/>
        <item x="17"/>
        <item m="1" x="24"/>
        <item m="1" x="20"/>
        <item m="1" x="21"/>
        <item x="15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</pivotFields>
  <rowFields count="2">
    <field x="2"/>
    <field x="6"/>
  </rowFields>
  <rowItems count="70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6"/>
    </i>
    <i r="1">
      <x v="24"/>
    </i>
    <i>
      <x v="1"/>
    </i>
    <i r="1">
      <x v="15"/>
    </i>
    <i>
      <x v="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6"/>
    </i>
    <i r="1">
      <x v="20"/>
    </i>
    <i r="1">
      <x v="24"/>
    </i>
    <i>
      <x v="6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20"/>
    </i>
    <i r="1">
      <x v="24"/>
    </i>
    <i>
      <x v="7"/>
    </i>
    <i r="1">
      <x/>
    </i>
    <i r="1">
      <x v="1"/>
    </i>
    <i r="1">
      <x v="2"/>
    </i>
    <i r="1">
      <x v="6"/>
    </i>
    <i r="1">
      <x v="8"/>
    </i>
    <i r="1">
      <x v="12"/>
    </i>
    <i r="1">
      <x v="13"/>
    </i>
    <i r="1">
      <x v="14"/>
    </i>
    <i r="1">
      <x v="16"/>
    </i>
    <i t="grand">
      <x/>
    </i>
  </rowItems>
  <colFields count="1">
    <field x="-2"/>
  </colFields>
  <colItems count="3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</colItems>
  <dataFields count="30">
    <dataField name="Moyenne de Perso lisation" fld="16" subtotal="average" baseField="6" baseItem="2"/>
    <dataField name="Moyenne de MAJ des co issances produit (intranet, etc.)" fld="39" subtotal="average" baseField="6" baseItem="2"/>
    <dataField name="Directivité - Maîtrise de l'entretien." fld="15" subtotal="average" baseField="2" baseItem="0" numFmtId="10"/>
    <dataField name="Phrase d'accueil et présentation complète." fld="17" subtotal="average" baseField="2" baseItem="0" numFmtId="10"/>
    <dataField name="Pose du contact - PRN." fld="18" subtotal="average" baseField="2" baseItem="0" numFmtId="10"/>
    <dataField name="Reformulation." fld="19" subtotal="average" baseField="2" baseItem="0" numFmtId="10"/>
    <dataField name="Verrouillage." fld="20" subtotal="average" baseField="2" baseItem="0" numFmtId="10"/>
    <dataField name="Procédure." fld="21" subtotal="average" baseField="2" baseItem="0" numFmtId="10"/>
    <dataField name="Utilisation de l'historique client." fld="22" subtotal="average" baseField="2" baseItem="0" numFmtId="10"/>
    <dataField name="Commentaires de contacts." fld="23" subtotal="average" baseField="2" baseItem="0" numFmtId="10"/>
    <dataField name="Ecoute active/implication." fld="24" subtotal="average" baseField="2" baseItem="0" numFmtId="10"/>
    <dataField name="Identification client." fld="25" subtotal="average" baseField="2" baseItem="0" numFmtId="10"/>
    <dataField name="Questionnement." fld="26" subtotal="average" baseField="2" baseItem="0" numFmtId="10"/>
    <dataField name="Remerciement." fld="27" subtotal="average" baseField="2" baseItem="0" numFmtId="10"/>
    <dataField name="Communication sortante." fld="29" subtotal="average" baseField="2" baseItem="0" numFmtId="10"/>
    <dataField name="Accompagnement et valorisation du client." fld="30" subtotal="average" baseField="2" baseItem="0" numFmtId="10"/>
    <dataField name="Réponse correcte et complète - Résolution au premier contact." fld="31" subtotal="average" baseField="2" baseItem="0" numFmtId="10"/>
    <dataField name="Souhaite quelque chose d'agréable." fld="32" subtotal="average" baseField="2" baseItem="0" numFmtId="10"/>
    <dataField name="Ton, débit, volume, empathie." fld="33" subtotal="average" baseField="2" baseItem="0" numFmtId="10"/>
    <dataField name="Vérification et MAJ de l'adresse postale." fld="34" subtotal="average" baseField="2" baseItem="0" numFmtId="10"/>
    <dataField name="Traitement des objections." fld="35" subtotal="average" baseField="2" baseItem="0" numFmtId="10"/>
    <dataField name="Vérification et MAJ du numéro de téléphone." fld="36" subtotal="average" baseField="2" baseItem="0" numFmtId="10"/>
    <dataField name="Valorisation du service et/ou du produit." fld="37" subtotal="average" baseField="2" baseItem="0" numFmtId="10"/>
    <dataField name="Vocabulaire, jargon, utilisation du JE et du présent, syntaxe." fld="38" subtotal="average" baseField="2" baseItem="0" numFmtId="10"/>
    <dataField name="Amabilité, courtoisie, sourire." fld="40" subtotal="average" baseField="2" baseItem="0" numFmtId="10"/>
    <dataField name="Fiabilisation." fld="41" subtotal="average" baseField="2" baseItem="0" numFmtId="10"/>
    <dataField name="Vérification et MAJ de l'adresse électronique." fld="42" subtotal="average" baseField="2" baseItem="0" numFmtId="10"/>
    <dataField name="Mise en attente." fld="43" subtotal="average" baseField="2" baseItem="0" numFmtId="10"/>
    <dataField name="Actions nécessaires effectuées - Respect des procédures." fld="44" subtotal="average" baseField="2" baseItem="0" numFmtId="10"/>
    <dataField name="Moyenne de note" fld="9" subtotal="average" baseField="2" baseItem="0" numFmtId="2"/>
  </dataFields>
  <formats count="31">
    <format dxfId="278">
      <pivotArea field="2" type="button" dataOnly="0" labelOnly="1" outline="0" axis="axisRow" fieldPosition="0"/>
    </format>
    <format dxfId="277">
      <pivotArea dataOnly="0" labelOnly="1" outline="0" fieldPosition="0">
        <references count="1">
          <reference field="4294967294" count="28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76">
      <pivotArea collapsedLevelsAreSubtotals="1" fieldPosition="0">
        <references count="1">
          <reference field="2" count="1">
            <x v="0"/>
          </reference>
        </references>
      </pivotArea>
    </format>
    <format dxfId="275">
      <pivotArea outline="0" fieldPosition="0">
        <references count="1">
          <reference field="4294967294" count="1">
            <x v="2"/>
          </reference>
        </references>
      </pivotArea>
    </format>
    <format dxfId="274">
      <pivotArea outline="0" fieldPosition="0">
        <references count="1">
          <reference field="4294967294" count="1">
            <x v="3"/>
          </reference>
        </references>
      </pivotArea>
    </format>
    <format dxfId="273">
      <pivotArea outline="0" fieldPosition="0">
        <references count="1">
          <reference field="4294967294" count="1">
            <x v="4"/>
          </reference>
        </references>
      </pivotArea>
    </format>
    <format dxfId="272">
      <pivotArea outline="0" fieldPosition="0">
        <references count="1">
          <reference field="4294967294" count="1">
            <x v="5"/>
          </reference>
        </references>
      </pivotArea>
    </format>
    <format dxfId="271">
      <pivotArea outline="0" fieldPosition="0">
        <references count="1">
          <reference field="4294967294" count="1">
            <x v="6"/>
          </reference>
        </references>
      </pivotArea>
    </format>
    <format dxfId="270">
      <pivotArea outline="0" fieldPosition="0">
        <references count="1">
          <reference field="4294967294" count="1">
            <x v="7"/>
          </reference>
        </references>
      </pivotArea>
    </format>
    <format dxfId="269">
      <pivotArea outline="0" fieldPosition="0">
        <references count="1">
          <reference field="4294967294" count="1">
            <x v="8"/>
          </reference>
        </references>
      </pivotArea>
    </format>
    <format dxfId="268">
      <pivotArea outline="0" fieldPosition="0">
        <references count="1">
          <reference field="4294967294" count="1">
            <x v="9"/>
          </reference>
        </references>
      </pivotArea>
    </format>
    <format dxfId="267">
      <pivotArea outline="0" fieldPosition="0">
        <references count="1">
          <reference field="4294967294" count="1">
            <x v="10"/>
          </reference>
        </references>
      </pivotArea>
    </format>
    <format dxfId="266">
      <pivotArea outline="0" fieldPosition="0">
        <references count="1">
          <reference field="4294967294" count="1">
            <x v="11"/>
          </reference>
        </references>
      </pivotArea>
    </format>
    <format dxfId="265">
      <pivotArea outline="0" fieldPosition="0">
        <references count="1">
          <reference field="4294967294" count="1">
            <x v="12"/>
          </reference>
        </references>
      </pivotArea>
    </format>
    <format dxfId="264">
      <pivotArea outline="0" fieldPosition="0">
        <references count="1">
          <reference field="4294967294" count="1">
            <x v="13"/>
          </reference>
        </references>
      </pivotArea>
    </format>
    <format dxfId="263">
      <pivotArea outline="0" fieldPosition="0">
        <references count="1">
          <reference field="4294967294" count="1">
            <x v="14"/>
          </reference>
        </references>
      </pivotArea>
    </format>
    <format dxfId="262">
      <pivotArea outline="0" fieldPosition="0">
        <references count="1">
          <reference field="4294967294" count="1">
            <x v="15"/>
          </reference>
        </references>
      </pivotArea>
    </format>
    <format dxfId="261">
      <pivotArea outline="0" fieldPosition="0">
        <references count="1">
          <reference field="4294967294" count="1">
            <x v="16"/>
          </reference>
        </references>
      </pivotArea>
    </format>
    <format dxfId="260">
      <pivotArea outline="0" fieldPosition="0">
        <references count="1">
          <reference field="4294967294" count="1">
            <x v="17"/>
          </reference>
        </references>
      </pivotArea>
    </format>
    <format dxfId="259">
      <pivotArea outline="0" fieldPosition="0">
        <references count="1">
          <reference field="4294967294" count="1">
            <x v="18"/>
          </reference>
        </references>
      </pivotArea>
    </format>
    <format dxfId="258">
      <pivotArea outline="0" fieldPosition="0">
        <references count="1">
          <reference field="4294967294" count="1">
            <x v="19"/>
          </reference>
        </references>
      </pivotArea>
    </format>
    <format dxfId="257">
      <pivotArea outline="0" fieldPosition="0">
        <references count="1">
          <reference field="4294967294" count="1">
            <x v="20"/>
          </reference>
        </references>
      </pivotArea>
    </format>
    <format dxfId="256">
      <pivotArea outline="0" fieldPosition="0">
        <references count="1">
          <reference field="4294967294" count="1">
            <x v="21"/>
          </reference>
        </references>
      </pivotArea>
    </format>
    <format dxfId="255">
      <pivotArea outline="0" fieldPosition="0">
        <references count="1">
          <reference field="4294967294" count="1">
            <x v="22"/>
          </reference>
        </references>
      </pivotArea>
    </format>
    <format dxfId="254">
      <pivotArea outline="0" fieldPosition="0">
        <references count="1">
          <reference field="4294967294" count="1">
            <x v="23"/>
          </reference>
        </references>
      </pivotArea>
    </format>
    <format dxfId="253">
      <pivotArea outline="0" fieldPosition="0">
        <references count="1">
          <reference field="4294967294" count="1">
            <x v="24"/>
          </reference>
        </references>
      </pivotArea>
    </format>
    <format dxfId="252">
      <pivotArea outline="0" fieldPosition="0">
        <references count="1">
          <reference field="4294967294" count="1">
            <x v="25"/>
          </reference>
        </references>
      </pivotArea>
    </format>
    <format dxfId="251">
      <pivotArea outline="0" fieldPosition="0">
        <references count="1">
          <reference field="4294967294" count="1">
            <x v="26"/>
          </reference>
        </references>
      </pivotArea>
    </format>
    <format dxfId="250">
      <pivotArea outline="0" fieldPosition="0">
        <references count="1">
          <reference field="4294967294" count="1">
            <x v="27"/>
          </reference>
        </references>
      </pivotArea>
    </format>
    <format dxfId="249">
      <pivotArea outline="0" fieldPosition="0">
        <references count="1">
          <reference field="4294967294" count="1">
            <x v="28"/>
          </reference>
        </references>
      </pivotArea>
    </format>
    <format dxfId="248">
      <pivotArea outline="0" fieldPosition="0">
        <references count="1">
          <reference field="4294967294" count="1">
            <x v="2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errorCaption="NA" showError="1" updatedVersion="4" minRefreshableVersion="3" useAutoFormatting="1" itemPrintTitles="1" createdVersion="4" indent="0" outline="1" outlineData="1" multipleFieldFilters="0">
  <location ref="A3:AF24" firstHeaderRow="0" firstDataRow="1" firstDataCol="1"/>
  <pivotFields count="46">
    <pivotField showAll="0"/>
    <pivotField showAll="0"/>
    <pivotField axis="axisRow" showAll="0">
      <items count="9">
        <item x="0"/>
        <item x="4"/>
        <item m="1" x="7"/>
        <item m="1" x="6"/>
        <item m="1" x="5"/>
        <item x="2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>
      <items count="6">
        <item x="1"/>
        <item x="2"/>
        <item x="3"/>
        <item x="0"/>
        <item x="4"/>
        <item t="default"/>
      </items>
    </pivotField>
    <pivotField showAll="0"/>
    <pivotField showAl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</pivotFields>
  <rowFields count="2">
    <field x="2"/>
    <field x="12"/>
  </rowFields>
  <rowItems count="21">
    <i>
      <x/>
    </i>
    <i r="1">
      <x/>
    </i>
    <i r="1">
      <x v="1"/>
    </i>
    <i r="1">
      <x v="2"/>
    </i>
    <i r="1">
      <x v="3"/>
    </i>
    <i>
      <x v="1"/>
    </i>
    <i r="1">
      <x v="4"/>
    </i>
    <i>
      <x v="5"/>
    </i>
    <i r="1">
      <x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 r="1">
      <x v="3"/>
    </i>
    <i>
      <x v="7"/>
    </i>
    <i r="1">
      <x v="1"/>
    </i>
    <i r="1">
      <x v="3"/>
    </i>
    <i t="grand">
      <x/>
    </i>
  </rowItems>
  <colFields count="1">
    <field x="-2"/>
  </colFields>
  <colItems count="3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</colItems>
  <dataFields count="31">
    <dataField name="Personalisation" fld="16" subtotal="average" baseField="12" baseItem="1"/>
    <dataField name="MAJ des connaissances produit (intranet, etc.)" fld="39" subtotal="average" baseField="12" baseItem="1"/>
    <dataField name="Directivité - Maîtrise de l'entretien." fld="15" subtotal="average" baseField="2" baseItem="0" numFmtId="10"/>
    <dataField name="Phrase d'accueil et présentation complète." fld="17" subtotal="average" baseField="2" baseItem="0" numFmtId="10"/>
    <dataField name="Pose du contact - PRN." fld="18" subtotal="average" baseField="2" baseItem="0" numFmtId="10"/>
    <dataField name="Reformulation." fld="19" subtotal="average" baseField="2" baseItem="0" numFmtId="10"/>
    <dataField name="Verrouillage." fld="20" subtotal="average" baseField="2" baseItem="0" numFmtId="10"/>
    <dataField name="Procédure." fld="21" subtotal="average" baseField="2" baseItem="0" numFmtId="10"/>
    <dataField name="Utilisation de l'historique client." fld="22" subtotal="average" baseField="2" baseItem="0" numFmtId="10"/>
    <dataField name="Commentaires de contacts." fld="23" subtotal="average" baseField="2" baseItem="0" numFmtId="10"/>
    <dataField name="Ecoute active/implication." fld="24" subtotal="average" baseField="2" baseItem="0" numFmtId="10"/>
    <dataField name="Identification client." fld="25" subtotal="average" baseField="2" baseItem="0" numFmtId="10"/>
    <dataField name="Questionnement." fld="26" subtotal="average" baseField="2" baseItem="0" numFmtId="10"/>
    <dataField name="Remerciement." fld="27" subtotal="average" baseField="2" baseItem="0" numFmtId="10"/>
    <dataField name="Discours." fld="28" subtotal="average" baseField="2" baseItem="0" numFmtId="10"/>
    <dataField name="Communication sortante." fld="29" subtotal="average" baseField="2" baseItem="0" numFmtId="10"/>
    <dataField name="Accompagnement et valorisation du client." fld="30" subtotal="average" baseField="2" baseItem="0" numFmtId="10"/>
    <dataField name="Réponse correcte et complète - Résolution au premier contact." fld="31" subtotal="average" baseField="2" baseItem="0" numFmtId="10"/>
    <dataField name="Souhaite quelque chose d'agréable." fld="32" subtotal="average" baseField="2" baseItem="0" numFmtId="10"/>
    <dataField name="Ton, débit, volume, empathie." fld="33" subtotal="average" baseField="2" baseItem="0" numFmtId="10"/>
    <dataField name="Vérification et MAJ de l'adresse postale." fld="34" subtotal="average" baseField="2" baseItem="0" numFmtId="10"/>
    <dataField name="Traitement des objections." fld="35" subtotal="average" baseField="2" baseItem="0" numFmtId="10"/>
    <dataField name="Vérification et MAJ du numéro de téléphone." fld="36" subtotal="average" baseField="2" baseItem="0" numFmtId="10"/>
    <dataField name="Valorisation du service et/ou du produit." fld="37" subtotal="average" baseField="2" baseItem="0" numFmtId="10"/>
    <dataField name="Vocabulaire, jargon, utilisation du JE et du présent, syntaxe." fld="38" subtotal="average" baseField="2" baseItem="0" numFmtId="10"/>
    <dataField name="Amabilité, courtoisie, sourire." fld="40" subtotal="average" baseField="2" baseItem="0" numFmtId="10"/>
    <dataField name="Fiabilisation." fld="41" subtotal="average" baseField="2" baseItem="0" numFmtId="10"/>
    <dataField name="Vérification et MAJ de l'adresse électronique." fld="42" subtotal="average" baseField="2" baseItem="0" numFmtId="10"/>
    <dataField name="Mise en attente." fld="43" subtotal="average" baseField="2" baseItem="0" numFmtId="10"/>
    <dataField name="Actions nécessaires effectuées - Respect des procédures." fld="44" subtotal="average" baseField="2" baseItem="0" numFmtId="10"/>
    <dataField name="Moyenne de note" fld="9" subtotal="average" baseField="2" baseItem="0" numFmtId="2"/>
  </dataFields>
  <formats count="43">
    <format dxfId="247">
      <pivotArea field="2" type="button" dataOnly="0" labelOnly="1" outline="0" axis="axisRow" fieldPosition="0"/>
    </format>
    <format dxfId="246">
      <pivotArea dataOnly="0" labelOnly="1" outline="0" fieldPosition="0">
        <references count="1">
          <reference field="4294967294" count="29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245">
      <pivotArea collapsedLevelsAreSubtotals="1" fieldPosition="0">
        <references count="1">
          <reference field="2" count="1">
            <x v="0"/>
          </reference>
        </references>
      </pivotArea>
    </format>
    <format dxfId="244">
      <pivotArea outline="0" fieldPosition="0">
        <references count="1">
          <reference field="4294967294" count="1">
            <x v="2"/>
          </reference>
        </references>
      </pivotArea>
    </format>
    <format dxfId="243">
      <pivotArea outline="0" fieldPosition="0">
        <references count="1">
          <reference field="4294967294" count="1">
            <x v="3"/>
          </reference>
        </references>
      </pivotArea>
    </format>
    <format dxfId="242">
      <pivotArea outline="0" fieldPosition="0">
        <references count="1">
          <reference field="4294967294" count="1">
            <x v="4"/>
          </reference>
        </references>
      </pivotArea>
    </format>
    <format dxfId="241">
      <pivotArea outline="0" fieldPosition="0">
        <references count="1">
          <reference field="4294967294" count="1">
            <x v="5"/>
          </reference>
        </references>
      </pivotArea>
    </format>
    <format dxfId="240">
      <pivotArea outline="0" fieldPosition="0">
        <references count="1">
          <reference field="4294967294" count="1">
            <x v="6"/>
          </reference>
        </references>
      </pivotArea>
    </format>
    <format dxfId="239">
      <pivotArea outline="0" fieldPosition="0">
        <references count="1">
          <reference field="4294967294" count="1">
            <x v="7"/>
          </reference>
        </references>
      </pivotArea>
    </format>
    <format dxfId="238">
      <pivotArea outline="0" fieldPosition="0">
        <references count="1">
          <reference field="4294967294" count="1">
            <x v="8"/>
          </reference>
        </references>
      </pivotArea>
    </format>
    <format dxfId="237">
      <pivotArea outline="0" fieldPosition="0">
        <references count="1">
          <reference field="4294967294" count="1">
            <x v="9"/>
          </reference>
        </references>
      </pivotArea>
    </format>
    <format dxfId="236">
      <pivotArea outline="0" fieldPosition="0">
        <references count="1">
          <reference field="4294967294" count="1">
            <x v="10"/>
          </reference>
        </references>
      </pivotArea>
    </format>
    <format dxfId="235">
      <pivotArea outline="0" fieldPosition="0">
        <references count="1">
          <reference field="4294967294" count="1">
            <x v="11"/>
          </reference>
        </references>
      </pivotArea>
    </format>
    <format dxfId="234">
      <pivotArea outline="0" fieldPosition="0">
        <references count="1">
          <reference field="4294967294" count="1">
            <x v="12"/>
          </reference>
        </references>
      </pivotArea>
    </format>
    <format dxfId="233">
      <pivotArea outline="0" fieldPosition="0">
        <references count="1">
          <reference field="4294967294" count="1">
            <x v="13"/>
          </reference>
        </references>
      </pivotArea>
    </format>
    <format dxfId="232">
      <pivotArea outline="0" fieldPosition="0">
        <references count="1">
          <reference field="4294967294" count="1">
            <x v="14"/>
          </reference>
        </references>
      </pivotArea>
    </format>
    <format dxfId="231">
      <pivotArea outline="0" fieldPosition="0">
        <references count="1">
          <reference field="4294967294" count="1">
            <x v="15"/>
          </reference>
        </references>
      </pivotArea>
    </format>
    <format dxfId="230">
      <pivotArea outline="0" fieldPosition="0">
        <references count="1">
          <reference field="4294967294" count="1">
            <x v="16"/>
          </reference>
        </references>
      </pivotArea>
    </format>
    <format dxfId="229">
      <pivotArea outline="0" fieldPosition="0">
        <references count="1">
          <reference field="4294967294" count="1">
            <x v="17"/>
          </reference>
        </references>
      </pivotArea>
    </format>
    <format dxfId="228">
      <pivotArea outline="0" fieldPosition="0">
        <references count="1">
          <reference field="4294967294" count="1">
            <x v="18"/>
          </reference>
        </references>
      </pivotArea>
    </format>
    <format dxfId="227">
      <pivotArea outline="0" fieldPosition="0">
        <references count="1">
          <reference field="4294967294" count="1">
            <x v="19"/>
          </reference>
        </references>
      </pivotArea>
    </format>
    <format dxfId="226">
      <pivotArea outline="0" fieldPosition="0">
        <references count="1">
          <reference field="4294967294" count="1">
            <x v="20"/>
          </reference>
        </references>
      </pivotArea>
    </format>
    <format dxfId="225">
      <pivotArea outline="0" fieldPosition="0">
        <references count="1">
          <reference field="4294967294" count="1">
            <x v="21"/>
          </reference>
        </references>
      </pivotArea>
    </format>
    <format dxfId="224">
      <pivotArea outline="0" fieldPosition="0">
        <references count="1">
          <reference field="4294967294" count="1">
            <x v="22"/>
          </reference>
        </references>
      </pivotArea>
    </format>
    <format dxfId="223">
      <pivotArea outline="0" fieldPosition="0">
        <references count="1">
          <reference field="4294967294" count="1">
            <x v="23"/>
          </reference>
        </references>
      </pivotArea>
    </format>
    <format dxfId="222">
      <pivotArea outline="0" fieldPosition="0">
        <references count="1">
          <reference field="4294967294" count="1">
            <x v="24"/>
          </reference>
        </references>
      </pivotArea>
    </format>
    <format dxfId="221">
      <pivotArea outline="0" fieldPosition="0">
        <references count="1">
          <reference field="4294967294" count="1">
            <x v="25"/>
          </reference>
        </references>
      </pivotArea>
    </format>
    <format dxfId="220">
      <pivotArea outline="0" fieldPosition="0">
        <references count="1">
          <reference field="4294967294" count="1">
            <x v="26"/>
          </reference>
        </references>
      </pivotArea>
    </format>
    <format dxfId="219">
      <pivotArea outline="0" fieldPosition="0">
        <references count="1">
          <reference field="4294967294" count="1">
            <x v="27"/>
          </reference>
        </references>
      </pivotArea>
    </format>
    <format dxfId="218">
      <pivotArea outline="0" fieldPosition="0">
        <references count="1">
          <reference field="4294967294" count="1">
            <x v="28"/>
          </reference>
        </references>
      </pivotArea>
    </format>
    <format dxfId="217">
      <pivotArea outline="0" fieldPosition="0">
        <references count="1">
          <reference field="4294967294" count="1">
            <x v="29"/>
          </reference>
        </references>
      </pivotArea>
    </format>
    <format dxfId="216">
      <pivotArea outline="0" fieldPosition="0">
        <references count="1">
          <reference field="4294967294" count="1">
            <x v="30"/>
          </reference>
        </references>
      </pivotArea>
    </format>
    <format dxfId="2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14">
      <pivotArea collapsedLevelsAreSubtotals="1" fieldPosition="0">
        <references count="3">
          <reference field="4294967294" count="2" selected="0">
            <x v="0"/>
            <x v="1"/>
          </reference>
          <reference field="2" count="1" selected="0">
            <x v="0"/>
          </reference>
          <reference field="12" count="4">
            <x v="0"/>
            <x v="1"/>
            <x v="2"/>
            <x v="3"/>
          </reference>
        </references>
      </pivotArea>
    </format>
    <format dxfId="213">
      <pivotArea collapsedLevelsAreSubtotals="1" fieldPosition="0">
        <references count="2">
          <reference field="4294967294" count="2" selected="0">
            <x v="0"/>
            <x v="1"/>
          </reference>
          <reference field="2" count="1">
            <x v="1"/>
          </reference>
        </references>
      </pivotArea>
    </format>
    <format dxfId="212">
      <pivotArea collapsedLevelsAreSubtotals="1" fieldPosition="0">
        <references count="3">
          <reference field="4294967294" count="2" selected="0">
            <x v="0"/>
            <x v="1"/>
          </reference>
          <reference field="2" count="1" selected="0">
            <x v="1"/>
          </reference>
          <reference field="12" count="1">
            <x v="4"/>
          </reference>
        </references>
      </pivotArea>
    </format>
    <format dxfId="211">
      <pivotArea collapsedLevelsAreSubtotals="1" fieldPosition="0">
        <references count="2">
          <reference field="4294967294" count="2" selected="0">
            <x v="0"/>
            <x v="1"/>
          </reference>
          <reference field="2" count="1">
            <x v="2"/>
          </reference>
        </references>
      </pivotArea>
    </format>
    <format dxfId="210">
      <pivotArea collapsedLevelsAreSubtotals="1" fieldPosition="0">
        <references count="3">
          <reference field="4294967294" count="2" selected="0">
            <x v="0"/>
            <x v="1"/>
          </reference>
          <reference field="2" count="1" selected="0">
            <x v="2"/>
          </reference>
          <reference field="12" count="4">
            <x v="0"/>
            <x v="1"/>
            <x v="2"/>
            <x v="3"/>
          </reference>
        </references>
      </pivotArea>
    </format>
    <format dxfId="209">
      <pivotArea collapsedLevelsAreSubtotals="1" fieldPosition="0">
        <references count="2">
          <reference field="4294967294" count="2" selected="0">
            <x v="0"/>
            <x v="1"/>
          </reference>
          <reference field="2" count="1">
            <x v="3"/>
          </reference>
        </references>
      </pivotArea>
    </format>
    <format dxfId="208">
      <pivotArea collapsedLevelsAreSubtotals="1" fieldPosition="0">
        <references count="3">
          <reference field="4294967294" count="2" selected="0">
            <x v="0"/>
            <x v="1"/>
          </reference>
          <reference field="2" count="1" selected="0">
            <x v="3"/>
          </reference>
          <reference field="12" count="4">
            <x v="0"/>
            <x v="1"/>
            <x v="2"/>
            <x v="3"/>
          </reference>
        </references>
      </pivotArea>
    </format>
    <format dxfId="207">
      <pivotArea collapsedLevelsAreSubtotals="1" fieldPosition="0">
        <references count="2">
          <reference field="4294967294" count="2" selected="0">
            <x v="0"/>
            <x v="1"/>
          </reference>
          <reference field="2" count="1">
            <x v="4"/>
          </reference>
        </references>
      </pivotArea>
    </format>
    <format dxfId="206">
      <pivotArea collapsedLevelsAreSubtotals="1" fieldPosition="0">
        <references count="3">
          <reference field="4294967294" count="2" selected="0">
            <x v="0"/>
            <x v="1"/>
          </reference>
          <reference field="2" count="1" selected="0">
            <x v="4"/>
          </reference>
          <reference field="12" count="4">
            <x v="0"/>
            <x v="1"/>
            <x v="2"/>
            <x v="3"/>
          </reference>
        </references>
      </pivotArea>
    </format>
    <format dxfId="205">
      <pivotArea field="2" grandRow="1" outline="0" collapsedLevelsAreSubtotals="1" axis="axisRow" fieldPosition="0">
        <references count="1">
          <reference field="4294967294" count="2" selected="0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errorCaption="NA" showError="1" updatedVersion="4" minRefreshableVersion="3" useAutoFormatting="1" itemPrintTitles="1" createdVersion="4" indent="0" outline="1" outlineData="1" multipleFieldFilters="0">
  <location ref="A3:AF26" firstHeaderRow="0" firstDataRow="1" firstDataCol="1"/>
  <pivotFields count="46">
    <pivotField axis="axisRow" showAll="0">
      <items count="28">
        <item x="0"/>
        <item x="1"/>
        <item x="14"/>
        <item m="1" x="21"/>
        <item m="1" x="15"/>
        <item m="1" x="22"/>
        <item m="1" x="16"/>
        <item m="1" x="23"/>
        <item m="1" x="17"/>
        <item m="1" x="24"/>
        <item m="1" x="18"/>
        <item m="1" x="25"/>
        <item m="1" x="19"/>
        <item m="1" x="26"/>
        <item m="1" x="20"/>
        <item x="2"/>
        <item x="3"/>
        <item x="4"/>
        <item x="8"/>
        <item x="9"/>
        <item x="10"/>
        <item x="11"/>
        <item x="12"/>
        <item x="5"/>
        <item x="6"/>
        <item x="7"/>
        <item x="13"/>
        <item t="default"/>
      </items>
    </pivotField>
    <pivotField showAll="0"/>
    <pivotField axis="axisRow" showAll="0">
      <items count="9">
        <item x="0"/>
        <item x="4"/>
        <item m="1" x="7"/>
        <item m="1" x="6"/>
        <item m="1" x="5"/>
        <item x="2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</pivotFields>
  <rowFields count="2">
    <field x="2"/>
    <field x="0"/>
  </rowFields>
  <rowItems count="23">
    <i>
      <x/>
    </i>
    <i r="1">
      <x/>
    </i>
    <i r="1">
      <x v="1"/>
    </i>
    <i r="1">
      <x v="15"/>
    </i>
    <i r="1">
      <x v="16"/>
    </i>
    <i r="1">
      <x v="17"/>
    </i>
    <i>
      <x v="1"/>
    </i>
    <i r="1">
      <x v="2"/>
    </i>
    <i>
      <x v="5"/>
    </i>
    <i r="1">
      <x v="18"/>
    </i>
    <i r="1">
      <x v="19"/>
    </i>
    <i r="1">
      <x v="20"/>
    </i>
    <i r="1">
      <x v="21"/>
    </i>
    <i r="1">
      <x v="22"/>
    </i>
    <i>
      <x v="6"/>
    </i>
    <i r="1">
      <x v="17"/>
    </i>
    <i r="1">
      <x v="18"/>
    </i>
    <i r="1">
      <x v="23"/>
    </i>
    <i r="1">
      <x v="24"/>
    </i>
    <i r="1">
      <x v="25"/>
    </i>
    <i>
      <x v="7"/>
    </i>
    <i r="1">
      <x v="26"/>
    </i>
    <i t="grand">
      <x/>
    </i>
  </rowItems>
  <colFields count="1">
    <field x="-2"/>
  </colFields>
  <colItems count="3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</colItems>
  <dataFields count="31">
    <dataField name="Personalisation" fld="16" subtotal="average" baseField="0" baseItem="16"/>
    <dataField name="MAJ des connaissances produit (intranet, etc.)" fld="39" subtotal="average" baseField="0" baseItem="16"/>
    <dataField name="Directivité - Maîtrise de l'entretien." fld="15" subtotal="average" baseField="2" baseItem="0" numFmtId="10"/>
    <dataField name="Phrase d'accueil et présentation complète." fld="17" subtotal="average" baseField="2" baseItem="0" numFmtId="10"/>
    <dataField name="Pose du contact - PRN." fld="18" subtotal="average" baseField="2" baseItem="0" numFmtId="10"/>
    <dataField name="Reformulation." fld="19" subtotal="average" baseField="2" baseItem="0" numFmtId="10"/>
    <dataField name="Verrouillage." fld="20" subtotal="average" baseField="2" baseItem="0" numFmtId="10"/>
    <dataField name="Procédure." fld="21" subtotal="average" baseField="2" baseItem="0" numFmtId="10"/>
    <dataField name="Utilisation de l'historique client." fld="22" subtotal="average" baseField="2" baseItem="0" numFmtId="10"/>
    <dataField name="Commentaires de contacts." fld="23" subtotal="average" baseField="2" baseItem="0" numFmtId="10"/>
    <dataField name="Ecoute active/implication." fld="24" subtotal="average" baseField="2" baseItem="0" numFmtId="10"/>
    <dataField name="Identification client." fld="25" subtotal="average" baseField="2" baseItem="0" numFmtId="10"/>
    <dataField name="Questionnement." fld="26" subtotal="average" baseField="2" baseItem="0" numFmtId="10"/>
    <dataField name="Remerciement." fld="27" subtotal="average" baseField="2" baseItem="0" numFmtId="10"/>
    <dataField name="Discours." fld="28" subtotal="average" baseField="2" baseItem="0" numFmtId="10"/>
    <dataField name="Communication sortante." fld="29" subtotal="average" baseField="2" baseItem="0" numFmtId="10"/>
    <dataField name="Accompagnement et valorisation du client." fld="30" subtotal="average" baseField="2" baseItem="0" numFmtId="10"/>
    <dataField name="Réponse correcte et complète - Résolution au premier contact." fld="31" subtotal="average" baseField="2" baseItem="0" numFmtId="10"/>
    <dataField name="Souhaite quelque chose d'agréable." fld="32" subtotal="average" baseField="2" baseItem="0" numFmtId="10"/>
    <dataField name="Ton, débit, volume, empathie." fld="33" subtotal="average" baseField="2" baseItem="0" numFmtId="10"/>
    <dataField name="Vérification et MAJ de l'adresse postale." fld="34" subtotal="average" baseField="2" baseItem="0" numFmtId="10"/>
    <dataField name="Traitement des objections." fld="35" subtotal="average" baseField="2" baseItem="0" numFmtId="10"/>
    <dataField name="Vérification et MAJ du numéro de téléphone." fld="36" subtotal="average" baseField="2" baseItem="0" numFmtId="10"/>
    <dataField name="Valorisation du service et/ou du produit." fld="37" subtotal="average" baseField="2" baseItem="0" numFmtId="10"/>
    <dataField name="Vocabulaire, jargon, utilisation du JE et du présent, syntaxe." fld="38" subtotal="average" baseField="2" baseItem="0" numFmtId="10"/>
    <dataField name="Amabilité, courtoisie, sourire." fld="40" subtotal="average" baseField="2" baseItem="0" numFmtId="10"/>
    <dataField name="Fiabilisation." fld="41" subtotal="average" baseField="2" baseItem="0" numFmtId="10"/>
    <dataField name="Vérification et MAJ de l'adresse électronique." fld="42" subtotal="average" baseField="2" baseItem="0" numFmtId="10"/>
    <dataField name="Mise en attente." fld="43" subtotal="average" baseField="2" baseItem="0" numFmtId="10"/>
    <dataField name="Actions nécessaires effectuées - Respect des procédures." fld="44" subtotal="average" baseField="2" baseItem="0" numFmtId="10"/>
    <dataField name="Moyenne de note" fld="9" subtotal="average" baseField="2" baseItem="0" numFmtId="2"/>
  </dataFields>
  <formats count="34">
    <format dxfId="204">
      <pivotArea field="2" type="button" dataOnly="0" labelOnly="1" outline="0" axis="axisRow" fieldPosition="0"/>
    </format>
    <format dxfId="203">
      <pivotArea dataOnly="0" labelOnly="1" outline="0" fieldPosition="0">
        <references count="1">
          <reference field="4294967294" count="29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202">
      <pivotArea collapsedLevelsAreSubtotals="1" fieldPosition="0">
        <references count="1">
          <reference field="2" count="1">
            <x v="0"/>
          </reference>
        </references>
      </pivotArea>
    </format>
    <format dxfId="201">
      <pivotArea collapsedLevelsAreSubtotals="1" fieldPosition="0">
        <references count="2">
          <reference field="0" count="2">
            <x v="0"/>
            <x v="1"/>
          </reference>
          <reference field="2" count="1" selected="0">
            <x v="0"/>
          </reference>
        </references>
      </pivotArea>
    </format>
    <format dxfId="200">
      <pivotArea outline="0" fieldPosition="0">
        <references count="1">
          <reference field="4294967294" count="1">
            <x v="2"/>
          </reference>
        </references>
      </pivotArea>
    </format>
    <format dxfId="199">
      <pivotArea outline="0" fieldPosition="0">
        <references count="1">
          <reference field="4294967294" count="1">
            <x v="3"/>
          </reference>
        </references>
      </pivotArea>
    </format>
    <format dxfId="198">
      <pivotArea outline="0" fieldPosition="0">
        <references count="1">
          <reference field="4294967294" count="1">
            <x v="4"/>
          </reference>
        </references>
      </pivotArea>
    </format>
    <format dxfId="197">
      <pivotArea outline="0" fieldPosition="0">
        <references count="1">
          <reference field="4294967294" count="1">
            <x v="5"/>
          </reference>
        </references>
      </pivotArea>
    </format>
    <format dxfId="196">
      <pivotArea outline="0" fieldPosition="0">
        <references count="1">
          <reference field="4294967294" count="1">
            <x v="6"/>
          </reference>
        </references>
      </pivotArea>
    </format>
    <format dxfId="195">
      <pivotArea outline="0" fieldPosition="0">
        <references count="1">
          <reference field="4294967294" count="1">
            <x v="7"/>
          </reference>
        </references>
      </pivotArea>
    </format>
    <format dxfId="194">
      <pivotArea outline="0" fieldPosition="0">
        <references count="1">
          <reference field="4294967294" count="1">
            <x v="8"/>
          </reference>
        </references>
      </pivotArea>
    </format>
    <format dxfId="193">
      <pivotArea outline="0" fieldPosition="0">
        <references count="1">
          <reference field="4294967294" count="1">
            <x v="9"/>
          </reference>
        </references>
      </pivotArea>
    </format>
    <format dxfId="192">
      <pivotArea outline="0" fieldPosition="0">
        <references count="1">
          <reference field="4294967294" count="1">
            <x v="10"/>
          </reference>
        </references>
      </pivotArea>
    </format>
    <format dxfId="191">
      <pivotArea outline="0" fieldPosition="0">
        <references count="1">
          <reference field="4294967294" count="1">
            <x v="11"/>
          </reference>
        </references>
      </pivotArea>
    </format>
    <format dxfId="190">
      <pivotArea outline="0" fieldPosition="0">
        <references count="1">
          <reference field="4294967294" count="1">
            <x v="12"/>
          </reference>
        </references>
      </pivotArea>
    </format>
    <format dxfId="189">
      <pivotArea outline="0" fieldPosition="0">
        <references count="1">
          <reference field="4294967294" count="1">
            <x v="13"/>
          </reference>
        </references>
      </pivotArea>
    </format>
    <format dxfId="188">
      <pivotArea outline="0" fieldPosition="0">
        <references count="1">
          <reference field="4294967294" count="1">
            <x v="14"/>
          </reference>
        </references>
      </pivotArea>
    </format>
    <format dxfId="187">
      <pivotArea outline="0" fieldPosition="0">
        <references count="1">
          <reference field="4294967294" count="1">
            <x v="15"/>
          </reference>
        </references>
      </pivotArea>
    </format>
    <format dxfId="186">
      <pivotArea outline="0" fieldPosition="0">
        <references count="1">
          <reference field="4294967294" count="1">
            <x v="16"/>
          </reference>
        </references>
      </pivotArea>
    </format>
    <format dxfId="185">
      <pivotArea outline="0" fieldPosition="0">
        <references count="1">
          <reference field="4294967294" count="1">
            <x v="17"/>
          </reference>
        </references>
      </pivotArea>
    </format>
    <format dxfId="184">
      <pivotArea outline="0" fieldPosition="0">
        <references count="1">
          <reference field="4294967294" count="1">
            <x v="18"/>
          </reference>
        </references>
      </pivotArea>
    </format>
    <format dxfId="183">
      <pivotArea outline="0" fieldPosition="0">
        <references count="1">
          <reference field="4294967294" count="1">
            <x v="19"/>
          </reference>
        </references>
      </pivotArea>
    </format>
    <format dxfId="182">
      <pivotArea outline="0" fieldPosition="0">
        <references count="1">
          <reference field="4294967294" count="1">
            <x v="20"/>
          </reference>
        </references>
      </pivotArea>
    </format>
    <format dxfId="181">
      <pivotArea outline="0" fieldPosition="0">
        <references count="1">
          <reference field="4294967294" count="1">
            <x v="21"/>
          </reference>
        </references>
      </pivotArea>
    </format>
    <format dxfId="180">
      <pivotArea outline="0" fieldPosition="0">
        <references count="1">
          <reference field="4294967294" count="1">
            <x v="22"/>
          </reference>
        </references>
      </pivotArea>
    </format>
    <format dxfId="179">
      <pivotArea outline="0" fieldPosition="0">
        <references count="1">
          <reference field="4294967294" count="1">
            <x v="23"/>
          </reference>
        </references>
      </pivotArea>
    </format>
    <format dxfId="178">
      <pivotArea outline="0" fieldPosition="0">
        <references count="1">
          <reference field="4294967294" count="1">
            <x v="24"/>
          </reference>
        </references>
      </pivotArea>
    </format>
    <format dxfId="177">
      <pivotArea outline="0" fieldPosition="0">
        <references count="1">
          <reference field="4294967294" count="1">
            <x v="25"/>
          </reference>
        </references>
      </pivotArea>
    </format>
    <format dxfId="176">
      <pivotArea outline="0" fieldPosition="0">
        <references count="1">
          <reference field="4294967294" count="1">
            <x v="26"/>
          </reference>
        </references>
      </pivotArea>
    </format>
    <format dxfId="175">
      <pivotArea outline="0" fieldPosition="0">
        <references count="1">
          <reference field="4294967294" count="1">
            <x v="27"/>
          </reference>
        </references>
      </pivotArea>
    </format>
    <format dxfId="174">
      <pivotArea outline="0" fieldPosition="0">
        <references count="1">
          <reference field="4294967294" count="1">
            <x v="28"/>
          </reference>
        </references>
      </pivotArea>
    </format>
    <format dxfId="173">
      <pivotArea outline="0" fieldPosition="0">
        <references count="1">
          <reference field="4294967294" count="1">
            <x v="29"/>
          </reference>
        </references>
      </pivotArea>
    </format>
    <format dxfId="172">
      <pivotArea outline="0" fieldPosition="0">
        <references count="1">
          <reference field="4294967294" count="1">
            <x v="30"/>
          </reference>
        </references>
      </pivotArea>
    </format>
    <format dxfId="17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Content.Outlook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5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2"/>
  <sheetViews>
    <sheetView showGridLines="0" workbookViewId="0">
      <selection activeCell="C27" sqref="C27"/>
    </sheetView>
  </sheetViews>
  <sheetFormatPr baseColWidth="10" defaultColWidth="22.28515625" defaultRowHeight="12.75" x14ac:dyDescent="0.2"/>
  <cols>
    <col min="1" max="1" width="27" style="16" customWidth="1"/>
    <col min="2" max="2" width="5" style="16" customWidth="1"/>
    <col min="3" max="3" width="18.85546875" style="16" customWidth="1"/>
    <col min="4" max="4" width="25.7109375" style="16" bestFit="1" customWidth="1"/>
    <col min="5" max="5" width="16.85546875" style="16" customWidth="1"/>
    <col min="6" max="7" width="22.28515625" style="16" hidden="1" customWidth="1"/>
    <col min="8" max="8" width="3" style="17" hidden="1" customWidth="1"/>
    <col min="9" max="9" width="9.7109375" style="16" hidden="1" customWidth="1"/>
    <col min="10" max="10" width="3" style="16" hidden="1" customWidth="1"/>
    <col min="11" max="11" width="22.28515625" style="16" customWidth="1"/>
    <col min="12" max="16384" width="22.28515625" style="16"/>
  </cols>
  <sheetData>
    <row r="1" spans="1:10" x14ac:dyDescent="0.2">
      <c r="A1" s="16">
        <f ca="1">MONTH(TODAY())</f>
        <v>4</v>
      </c>
      <c r="I1" s="16" t="e">
        <f>E9*1</f>
        <v>#VALUE!</v>
      </c>
    </row>
    <row r="2" spans="1:10" x14ac:dyDescent="0.2">
      <c r="B2" s="18" t="s">
        <v>379</v>
      </c>
      <c r="C2" s="16" t="s">
        <v>422</v>
      </c>
    </row>
    <row r="3" spans="1:10" x14ac:dyDescent="0.2">
      <c r="B3" s="19" t="str">
        <f>E9</f>
        <v>Semaine</v>
      </c>
      <c r="C3" s="16" t="e">
        <f ca="1">IF(I1&gt;A1,"2017","2017")</f>
        <v>#VALUE!</v>
      </c>
    </row>
    <row r="4" spans="1:10" x14ac:dyDescent="0.2">
      <c r="B4" s="20" t="e">
        <f>VLOOKUP(B3,H4:I15,2,FALSE)</f>
        <v>#N/A</v>
      </c>
      <c r="H4" s="17" t="s">
        <v>380</v>
      </c>
      <c r="I4" s="16" t="s">
        <v>381</v>
      </c>
      <c r="J4" s="16">
        <v>1</v>
      </c>
    </row>
    <row r="5" spans="1:10" x14ac:dyDescent="0.2">
      <c r="B5" s="16" t="e">
        <f>VLOOKUP(B3,H4:J15,3,FALSE)</f>
        <v>#N/A</v>
      </c>
      <c r="H5" s="17" t="s">
        <v>382</v>
      </c>
      <c r="I5" s="16" t="s">
        <v>383</v>
      </c>
      <c r="J5" s="16">
        <v>2</v>
      </c>
    </row>
    <row r="6" spans="1:10" x14ac:dyDescent="0.2">
      <c r="B6" s="21">
        <f ca="1">NOW()</f>
        <v>43199.386872222225</v>
      </c>
      <c r="H6" s="17" t="s">
        <v>384</v>
      </c>
      <c r="I6" s="16" t="s">
        <v>385</v>
      </c>
      <c r="J6" s="16">
        <v>3</v>
      </c>
    </row>
    <row r="7" spans="1:10" x14ac:dyDescent="0.2">
      <c r="B7" s="16">
        <v>1</v>
      </c>
      <c r="H7" s="17" t="s">
        <v>386</v>
      </c>
      <c r="I7" s="16" t="s">
        <v>387</v>
      </c>
      <c r="J7" s="16">
        <v>4</v>
      </c>
    </row>
    <row r="8" spans="1:10" ht="13.5" thickBot="1" x14ac:dyDescent="0.25">
      <c r="H8" s="17" t="s">
        <v>388</v>
      </c>
      <c r="I8" s="16" t="s">
        <v>389</v>
      </c>
      <c r="J8" s="16">
        <v>5</v>
      </c>
    </row>
    <row r="9" spans="1:10" ht="27" thickBot="1" x14ac:dyDescent="0.45">
      <c r="D9" s="22" t="s">
        <v>406</v>
      </c>
      <c r="E9" s="23" t="s">
        <v>409</v>
      </c>
      <c r="H9" s="17" t="s">
        <v>391</v>
      </c>
      <c r="I9" s="16" t="s">
        <v>392</v>
      </c>
      <c r="J9" s="16">
        <v>6</v>
      </c>
    </row>
    <row r="10" spans="1:10" x14ac:dyDescent="0.2">
      <c r="H10" s="17" t="s">
        <v>390</v>
      </c>
      <c r="I10" s="16" t="s">
        <v>393</v>
      </c>
      <c r="J10" s="16">
        <v>7</v>
      </c>
    </row>
    <row r="11" spans="1:10" ht="13.5" thickBot="1" x14ac:dyDescent="0.25">
      <c r="H11" s="17" t="s">
        <v>394</v>
      </c>
      <c r="I11" s="16" t="s">
        <v>395</v>
      </c>
      <c r="J11" s="16">
        <v>8</v>
      </c>
    </row>
    <row r="12" spans="1:10" ht="27" customHeight="1" thickBot="1" x14ac:dyDescent="0.45">
      <c r="D12" s="22" t="s">
        <v>407</v>
      </c>
      <c r="E12" s="23">
        <v>7</v>
      </c>
      <c r="H12" s="17" t="s">
        <v>397</v>
      </c>
      <c r="I12" s="16" t="s">
        <v>398</v>
      </c>
      <c r="J12" s="16">
        <v>9</v>
      </c>
    </row>
    <row r="13" spans="1:10" x14ac:dyDescent="0.2">
      <c r="H13" s="17" t="s">
        <v>399</v>
      </c>
      <c r="I13" s="16" t="s">
        <v>400</v>
      </c>
      <c r="J13" s="16">
        <v>10</v>
      </c>
    </row>
    <row r="14" spans="1:10" ht="13.5" thickBot="1" x14ac:dyDescent="0.25">
      <c r="H14" s="17" t="s">
        <v>401</v>
      </c>
      <c r="I14" s="16" t="s">
        <v>402</v>
      </c>
      <c r="J14" s="16">
        <v>11</v>
      </c>
    </row>
    <row r="15" spans="1:10" ht="27" customHeight="1" thickBot="1" x14ac:dyDescent="0.45">
      <c r="D15" s="22" t="s">
        <v>396</v>
      </c>
      <c r="E15" s="24" t="s">
        <v>405</v>
      </c>
      <c r="H15" s="19">
        <v>12</v>
      </c>
      <c r="I15" s="16" t="s">
        <v>403</v>
      </c>
      <c r="J15" s="16">
        <v>12</v>
      </c>
    </row>
    <row r="16" spans="1:10" x14ac:dyDescent="0.2">
      <c r="E16" s="17"/>
    </row>
    <row r="21" spans="1:1" x14ac:dyDescent="0.2">
      <c r="A21" s="16" t="s">
        <v>404</v>
      </c>
    </row>
    <row r="22" spans="1:1" x14ac:dyDescent="0.2">
      <c r="A22" s="16" t="s">
        <v>405</v>
      </c>
    </row>
    <row r="24" spans="1:1" x14ac:dyDescent="0.2">
      <c r="A24" s="16" t="s">
        <v>408</v>
      </c>
    </row>
    <row r="25" spans="1:1" x14ac:dyDescent="0.2">
      <c r="A25" s="16" t="s">
        <v>409</v>
      </c>
    </row>
    <row r="26" spans="1:1" x14ac:dyDescent="0.2">
      <c r="A26" s="16" t="s">
        <v>423</v>
      </c>
    </row>
    <row r="28" spans="1:1" x14ac:dyDescent="0.2">
      <c r="A28" s="16">
        <v>1</v>
      </c>
    </row>
    <row r="29" spans="1:1" x14ac:dyDescent="0.2">
      <c r="A29" s="16">
        <v>2</v>
      </c>
    </row>
    <row r="30" spans="1:1" x14ac:dyDescent="0.2">
      <c r="A30" s="16">
        <v>3</v>
      </c>
    </row>
    <row r="31" spans="1:1" x14ac:dyDescent="0.2">
      <c r="A31" s="16">
        <v>4</v>
      </c>
    </row>
    <row r="32" spans="1:1" x14ac:dyDescent="0.2">
      <c r="A32" s="16">
        <v>5</v>
      </c>
    </row>
    <row r="33" spans="1:1" x14ac:dyDescent="0.2">
      <c r="A33" s="16">
        <v>6</v>
      </c>
    </row>
    <row r="34" spans="1:1" x14ac:dyDescent="0.2">
      <c r="A34" s="16">
        <v>7</v>
      </c>
    </row>
    <row r="35" spans="1:1" x14ac:dyDescent="0.2">
      <c r="A35" s="16">
        <v>8</v>
      </c>
    </row>
    <row r="36" spans="1:1" x14ac:dyDescent="0.2">
      <c r="A36" s="16">
        <v>9</v>
      </c>
    </row>
    <row r="37" spans="1:1" x14ac:dyDescent="0.2">
      <c r="A37" s="16">
        <v>10</v>
      </c>
    </row>
    <row r="38" spans="1:1" x14ac:dyDescent="0.2">
      <c r="A38" s="16">
        <v>11</v>
      </c>
    </row>
    <row r="39" spans="1:1" x14ac:dyDescent="0.2">
      <c r="A39" s="16">
        <v>12</v>
      </c>
    </row>
    <row r="40" spans="1:1" x14ac:dyDescent="0.2">
      <c r="A40" s="16">
        <v>13</v>
      </c>
    </row>
    <row r="41" spans="1:1" x14ac:dyDescent="0.2">
      <c r="A41" s="16">
        <v>14</v>
      </c>
    </row>
    <row r="42" spans="1:1" x14ac:dyDescent="0.2">
      <c r="A42" s="16">
        <v>15</v>
      </c>
    </row>
    <row r="43" spans="1:1" x14ac:dyDescent="0.2">
      <c r="A43" s="16">
        <v>16</v>
      </c>
    </row>
    <row r="44" spans="1:1" x14ac:dyDescent="0.2">
      <c r="A44" s="16">
        <v>17</v>
      </c>
    </row>
    <row r="45" spans="1:1" x14ac:dyDescent="0.2">
      <c r="A45" s="16">
        <v>18</v>
      </c>
    </row>
    <row r="46" spans="1:1" x14ac:dyDescent="0.2">
      <c r="A46" s="16">
        <v>19</v>
      </c>
    </row>
    <row r="47" spans="1:1" x14ac:dyDescent="0.2">
      <c r="A47" s="16">
        <v>20</v>
      </c>
    </row>
    <row r="48" spans="1:1" x14ac:dyDescent="0.2">
      <c r="A48" s="16">
        <v>21</v>
      </c>
    </row>
    <row r="49" spans="1:1" x14ac:dyDescent="0.2">
      <c r="A49" s="16">
        <v>22</v>
      </c>
    </row>
    <row r="50" spans="1:1" x14ac:dyDescent="0.2">
      <c r="A50" s="16">
        <v>23</v>
      </c>
    </row>
    <row r="51" spans="1:1" x14ac:dyDescent="0.2">
      <c r="A51" s="16">
        <v>24</v>
      </c>
    </row>
    <row r="52" spans="1:1" x14ac:dyDescent="0.2">
      <c r="A52" s="16">
        <v>25</v>
      </c>
    </row>
    <row r="53" spans="1:1" x14ac:dyDescent="0.2">
      <c r="A53" s="16">
        <v>26</v>
      </c>
    </row>
    <row r="54" spans="1:1" x14ac:dyDescent="0.2">
      <c r="A54" s="16">
        <v>27</v>
      </c>
    </row>
    <row r="55" spans="1:1" x14ac:dyDescent="0.2">
      <c r="A55" s="16">
        <v>28</v>
      </c>
    </row>
    <row r="56" spans="1:1" x14ac:dyDescent="0.2">
      <c r="A56" s="16">
        <v>29</v>
      </c>
    </row>
    <row r="57" spans="1:1" x14ac:dyDescent="0.2">
      <c r="A57" s="16">
        <v>30</v>
      </c>
    </row>
    <row r="58" spans="1:1" x14ac:dyDescent="0.2">
      <c r="A58" s="16">
        <v>31</v>
      </c>
    </row>
    <row r="59" spans="1:1" x14ac:dyDescent="0.2">
      <c r="A59" s="16">
        <v>32</v>
      </c>
    </row>
    <row r="60" spans="1:1" x14ac:dyDescent="0.2">
      <c r="A60" s="16">
        <v>33</v>
      </c>
    </row>
    <row r="61" spans="1:1" x14ac:dyDescent="0.2">
      <c r="A61" s="16">
        <v>34</v>
      </c>
    </row>
    <row r="62" spans="1:1" x14ac:dyDescent="0.2">
      <c r="A62" s="16">
        <v>35</v>
      </c>
    </row>
    <row r="63" spans="1:1" x14ac:dyDescent="0.2">
      <c r="A63" s="16">
        <v>36</v>
      </c>
    </row>
    <row r="64" spans="1:1" x14ac:dyDescent="0.2">
      <c r="A64" s="16">
        <v>37</v>
      </c>
    </row>
    <row r="65" spans="1:1" x14ac:dyDescent="0.2">
      <c r="A65" s="16">
        <v>38</v>
      </c>
    </row>
    <row r="66" spans="1:1" x14ac:dyDescent="0.2">
      <c r="A66" s="16">
        <v>39</v>
      </c>
    </row>
    <row r="67" spans="1:1" x14ac:dyDescent="0.2">
      <c r="A67" s="16">
        <v>40</v>
      </c>
    </row>
    <row r="68" spans="1:1" x14ac:dyDescent="0.2">
      <c r="A68" s="16">
        <v>41</v>
      </c>
    </row>
    <row r="69" spans="1:1" x14ac:dyDescent="0.2">
      <c r="A69" s="16">
        <v>42</v>
      </c>
    </row>
    <row r="70" spans="1:1" x14ac:dyDescent="0.2">
      <c r="A70" s="16">
        <v>43</v>
      </c>
    </row>
    <row r="71" spans="1:1" x14ac:dyDescent="0.2">
      <c r="A71" s="16">
        <v>44</v>
      </c>
    </row>
    <row r="72" spans="1:1" x14ac:dyDescent="0.2">
      <c r="A72" s="16">
        <v>45</v>
      </c>
    </row>
    <row r="73" spans="1:1" x14ac:dyDescent="0.2">
      <c r="A73" s="16">
        <v>46</v>
      </c>
    </row>
    <row r="74" spans="1:1" x14ac:dyDescent="0.2">
      <c r="A74" s="16">
        <v>47</v>
      </c>
    </row>
    <row r="75" spans="1:1" x14ac:dyDescent="0.2">
      <c r="A75" s="16">
        <v>48</v>
      </c>
    </row>
    <row r="76" spans="1:1" x14ac:dyDescent="0.2">
      <c r="A76" s="16">
        <v>49</v>
      </c>
    </row>
    <row r="77" spans="1:1" x14ac:dyDescent="0.2">
      <c r="A77" s="16">
        <v>50</v>
      </c>
    </row>
    <row r="78" spans="1:1" x14ac:dyDescent="0.2">
      <c r="A78" s="16">
        <v>51</v>
      </c>
    </row>
    <row r="79" spans="1:1" x14ac:dyDescent="0.2">
      <c r="A79" s="16">
        <v>52</v>
      </c>
    </row>
    <row r="80" spans="1:1" x14ac:dyDescent="0.2">
      <c r="A80" s="16">
        <v>53</v>
      </c>
    </row>
    <row r="81" spans="1:1" x14ac:dyDescent="0.2">
      <c r="A81" s="16" t="s">
        <v>410</v>
      </c>
    </row>
    <row r="82" spans="1:1" x14ac:dyDescent="0.2">
      <c r="A82" s="16" t="s">
        <v>411</v>
      </c>
    </row>
    <row r="83" spans="1:1" x14ac:dyDescent="0.2">
      <c r="A83" s="16" t="s">
        <v>412</v>
      </c>
    </row>
    <row r="84" spans="1:1" x14ac:dyDescent="0.2">
      <c r="A84" s="16" t="s">
        <v>413</v>
      </c>
    </row>
    <row r="85" spans="1:1" x14ac:dyDescent="0.2">
      <c r="A85" s="16" t="s">
        <v>414</v>
      </c>
    </row>
    <row r="86" spans="1:1" x14ac:dyDescent="0.2">
      <c r="A86" s="16" t="s">
        <v>415</v>
      </c>
    </row>
    <row r="87" spans="1:1" x14ac:dyDescent="0.2">
      <c r="A87" s="16" t="s">
        <v>416</v>
      </c>
    </row>
    <row r="88" spans="1:1" x14ac:dyDescent="0.2">
      <c r="A88" s="16" t="s">
        <v>417</v>
      </c>
    </row>
    <row r="89" spans="1:1" x14ac:dyDescent="0.2">
      <c r="A89" s="16" t="s">
        <v>418</v>
      </c>
    </row>
    <row r="90" spans="1:1" x14ac:dyDescent="0.2">
      <c r="A90" s="16" t="s">
        <v>419</v>
      </c>
    </row>
    <row r="91" spans="1:1" x14ac:dyDescent="0.2">
      <c r="A91" s="16" t="s">
        <v>420</v>
      </c>
    </row>
    <row r="92" spans="1:1" x14ac:dyDescent="0.2">
      <c r="A92" s="16" t="s">
        <v>421</v>
      </c>
    </row>
  </sheetData>
  <dataValidations count="3">
    <dataValidation type="list" allowBlank="1" showInputMessage="1" showErrorMessage="1" sqref="E9">
      <formula1>$A$24:$A$25</formula1>
    </dataValidation>
    <dataValidation type="list" allowBlank="1" showInputMessage="1" showErrorMessage="1" sqref="E15">
      <formula1>$A$21:$A$22</formula1>
    </dataValidation>
    <dataValidation type="list" allowBlank="1" showInputMessage="1" showErrorMessage="1" sqref="E12">
      <formula1>$A$28:$A$92</formula1>
    </dataValidation>
  </dataValidations>
  <hyperlinks>
    <hyperlink ref="B2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K48"/>
  <sheetViews>
    <sheetView topLeftCell="A28" zoomScale="70" zoomScaleNormal="70" workbookViewId="0">
      <selection activeCell="S25" sqref="S25"/>
    </sheetView>
  </sheetViews>
  <sheetFormatPr baseColWidth="10" defaultRowHeight="12.75" x14ac:dyDescent="0.2"/>
  <cols>
    <col min="1" max="1" width="1.7109375" style="57" customWidth="1"/>
    <col min="2" max="2" width="53.42578125" bestFit="1" customWidth="1"/>
    <col min="4" max="4" width="11.7109375" bestFit="1" customWidth="1"/>
  </cols>
  <sheetData>
    <row r="1" spans="1:30" ht="45.75" customHeight="1" x14ac:dyDescent="0.6">
      <c r="B1" s="124" t="s">
        <v>559</v>
      </c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</row>
    <row r="3" spans="1:30" ht="27" x14ac:dyDescent="0.2">
      <c r="B3" s="125" t="s">
        <v>428</v>
      </c>
      <c r="C3" s="125"/>
      <c r="D3" s="125" t="str">
        <f>VLOOKUP(I3,Correspondance!D3:E14,2,FALSE)</f>
        <v>Janvier</v>
      </c>
      <c r="E3" s="125"/>
      <c r="F3" s="125"/>
      <c r="G3" s="125"/>
      <c r="I3" s="58">
        <v>1</v>
      </c>
      <c r="J3" s="58">
        <f>VLOOKUP(I3,Correspondance!D3:G14,3,FALSE)</f>
        <v>12</v>
      </c>
      <c r="K3" s="58">
        <f>VLOOKUP(I3,Correspondance!D3:H14,4,FALSE)</f>
        <v>11</v>
      </c>
    </row>
    <row r="4" spans="1:30" ht="27" x14ac:dyDescent="0.2">
      <c r="B4" s="59"/>
      <c r="C4" s="59"/>
      <c r="D4" s="59"/>
      <c r="E4" s="59"/>
      <c r="F4" s="59"/>
      <c r="G4" s="59"/>
      <c r="J4" t="str">
        <f>VLOOKUP(J3,Correspondance!D3:E14,2,FALSE)</f>
        <v>Décembre</v>
      </c>
      <c r="K4" t="str">
        <f>VLOOKUP(K3,Correspondance!D3:E14,2,FALSE)</f>
        <v>Novembre</v>
      </c>
    </row>
    <row r="5" spans="1:30" ht="27" x14ac:dyDescent="0.2">
      <c r="B5" s="59"/>
      <c r="C5" s="59"/>
      <c r="D5" s="59"/>
      <c r="E5" s="59"/>
      <c r="F5" s="59"/>
      <c r="G5" s="59"/>
    </row>
    <row r="6" spans="1:30" ht="27" x14ac:dyDescent="0.2">
      <c r="B6" s="123" t="str">
        <f>CONCATENATE("Suivi BO de ",K4," à ",D3," - évolution par Item sur 3 mois")</f>
        <v>Suivi BO de Novembre à Janvier - évolution par Item sur 3 mois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</row>
    <row r="7" spans="1:30" ht="25.5" customHeight="1" thickBot="1" x14ac:dyDescent="0.25"/>
    <row r="8" spans="1:30" ht="313.5" customHeight="1" thickBot="1" x14ac:dyDescent="0.25">
      <c r="B8" s="65"/>
      <c r="C8" s="73" t="s">
        <v>430</v>
      </c>
      <c r="D8" s="74" t="s">
        <v>431</v>
      </c>
      <c r="E8" s="75" t="s">
        <v>432</v>
      </c>
      <c r="F8" s="73" t="s">
        <v>433</v>
      </c>
      <c r="G8" s="75" t="s">
        <v>451</v>
      </c>
      <c r="H8" s="73" t="s">
        <v>434</v>
      </c>
      <c r="I8" s="74" t="s">
        <v>435</v>
      </c>
      <c r="J8" s="75" t="s">
        <v>436</v>
      </c>
      <c r="K8" s="73" t="s">
        <v>437</v>
      </c>
      <c r="L8" s="75" t="s">
        <v>438</v>
      </c>
      <c r="M8" s="73" t="s">
        <v>439</v>
      </c>
      <c r="N8" s="74" t="s">
        <v>440</v>
      </c>
      <c r="O8" s="74" t="s">
        <v>441</v>
      </c>
      <c r="P8" s="74" t="s">
        <v>442</v>
      </c>
      <c r="Q8" s="74" t="s">
        <v>449</v>
      </c>
      <c r="R8" s="74" t="s">
        <v>443</v>
      </c>
      <c r="S8" s="74" t="s">
        <v>444</v>
      </c>
      <c r="T8" s="74" t="s">
        <v>445</v>
      </c>
      <c r="U8" s="75" t="s">
        <v>446</v>
      </c>
      <c r="V8" s="73" t="s">
        <v>447</v>
      </c>
      <c r="W8" s="75" t="s">
        <v>448</v>
      </c>
      <c r="Y8" s="82" t="s">
        <v>295</v>
      </c>
      <c r="Z8" s="83" t="s">
        <v>296</v>
      </c>
      <c r="AA8" s="83" t="s">
        <v>297</v>
      </c>
      <c r="AB8" s="83" t="s">
        <v>298</v>
      </c>
      <c r="AC8" s="83" t="s">
        <v>378</v>
      </c>
      <c r="AD8" s="84" t="s">
        <v>299</v>
      </c>
    </row>
    <row r="9" spans="1:30" ht="15" x14ac:dyDescent="0.2">
      <c r="B9" s="70" t="str">
        <f>CONCATENATE(B3," ",D3)</f>
        <v>MOIS : Janvier</v>
      </c>
      <c r="C9" s="76">
        <f>GETPIVOTDATA("Identification (ou création) du dossier.",'TCD BO'!$A$4,"MOIS",$D$3)</f>
        <v>1</v>
      </c>
      <c r="D9" s="77">
        <f>GETPIVOTDATA("MAJ des coordonnées postales.",'TCD BO'!$A$4,"MOIS",$D$3)</f>
        <v>0.97916666666666663</v>
      </c>
      <c r="E9" s="78">
        <f>GETPIVOTDATA("MAJ des moyens de communication (téléphone, adresse électronique).",'TCD BO'!$A$4,"MOIS",$D$3)</f>
        <v>0.84313725490196079</v>
      </c>
      <c r="F9" s="76">
        <f>GETPIVOTDATA("Analyse de la demande, des commandes et de l'historique des échanges.",'TCD BO'!$A$4,"MOIS",$D$3)</f>
        <v>0.96511627906976749</v>
      </c>
      <c r="G9" s="78">
        <f>GETPIVOTDATA("MAJ des con issances produit (intranet, etc.).",'TCD BO'!$A$4,"MOIS",$D$3)</f>
        <v>1</v>
      </c>
      <c r="H9" s="76">
        <f>GETPIVOTDATA("Respect des procédures.",'TCD BO'!$A$4,"MOIS",$D$3)</f>
        <v>0.97674418604651159</v>
      </c>
      <c r="I9" s="77">
        <f>GETPIVOTDATA("Respect des règles de gestion (cm, anomalie portage, etc.).",'TCD BO'!$A$4,"MOIS",$D$3)</f>
        <v>0.96932515337423308</v>
      </c>
      <c r="J9" s="78">
        <f>GETPIVOTDATA("Appel à l'assistance/cellule prio - Escalade vers le niveau 2.",'TCD BO'!$A$4,"MOIS",$D$3)</f>
        <v>1</v>
      </c>
      <c r="K9" s="76">
        <f>GETPIVOTDATA("Choix du modèle-type.",'TCD BO'!$A$4,"MOIS",$D$3)</f>
        <v>0.98136645962732916</v>
      </c>
      <c r="L9" s="78">
        <f>GETPIVOTDATA("Réponse correcte et complète - Résolution au premier contact.",'TCD BO'!$A$4,"MOIS",$D$3)</f>
        <v>0.85882352941176465</v>
      </c>
      <c r="M9" s="76">
        <f>GETPIVOTDATA("Aucune faute de grammaire ou d'orthographe.",'TCD BO'!$A$4,"MOIS",$D$3)</f>
        <v>0.97484276729559749</v>
      </c>
      <c r="N9" s="77">
        <f>GETPIVOTDATA("Syntaxe claire et ponctuée.",'TCD BO'!$A$4,"MOIS",$D$3)</f>
        <v>0.96855345911949686</v>
      </c>
      <c r="O9" s="77">
        <f>GETPIVOTDATA("Adresse mail expéditeur et destinataire.",'TCD BO'!$A$4,"MOIS",$D$3)</f>
        <v>1</v>
      </c>
      <c r="P9" s="77">
        <f>GETPIVOTDATA("Personnalisation de la réponse.",'TCD BO'!$A$4,"MOIS",$D$3)</f>
        <v>0.94339622641509435</v>
      </c>
      <c r="Q9" s="77">
        <f>GETPIVOTDATA("Entête nominative - formule de politesse et prise de congé adaptées.",'TCD BO'!$A$4,"MOIS",$D$3)</f>
        <v>0.98717948717948723</v>
      </c>
      <c r="R9" s="77">
        <f>GETPIVOTDATA("Accompagnement client - sens du service.",'TCD BO'!$A$4,"MOIS",$D$3)</f>
        <v>0.98550724637681164</v>
      </c>
      <c r="S9" s="77">
        <f>GETPIVOTDATA("Présentation et mise en valeur des offres.",'TCD BO'!$A$4,"MOIS",$D$3)</f>
        <v>1</v>
      </c>
      <c r="T9" s="77">
        <f>GETPIVOTDATA("Valorisation des gestes co/dédommagement - valorisation de la marque.",'TCD BO'!$A$4,"MOIS",$D$3)</f>
        <v>1</v>
      </c>
      <c r="U9" s="78">
        <f>GETPIVOTDATA("Valorisation client.",'TCD BO'!$A$4,"MOIS",$D$3)</f>
        <v>1</v>
      </c>
      <c r="V9" s="76">
        <f>GETPIVOTDATA("Pose du contact - PRN.",'TCD BO'!$A$4,"MOIS",$D$3)</f>
        <v>0.96531791907514453</v>
      </c>
      <c r="W9" s="78">
        <f>GETPIVOTDATA("Commentaire.",'TCD BO'!$A$4,"MOIS",$D$3)</f>
        <v>0.97687861271676302</v>
      </c>
      <c r="Y9" s="79">
        <f>AVERAGE(C9:E9)</f>
        <v>0.94076797385620914</v>
      </c>
      <c r="Z9" s="80">
        <f>AVERAGE(F9:G9)</f>
        <v>0.98255813953488369</v>
      </c>
      <c r="AA9" s="80">
        <f>AVERAGE(H9:J9)</f>
        <v>0.98202311314024815</v>
      </c>
      <c r="AB9" s="80">
        <f>AVERAGE(K9:L9)</f>
        <v>0.9200949945195469</v>
      </c>
      <c r="AC9" s="80">
        <f>AVERAGE(M9:U9)</f>
        <v>0.98438657626516524</v>
      </c>
      <c r="AD9" s="81">
        <f>AVERAGE(V9:W9)</f>
        <v>0.97109826589595372</v>
      </c>
    </row>
    <row r="10" spans="1:30" ht="15" x14ac:dyDescent="0.2">
      <c r="A10" s="57" t="s">
        <v>74</v>
      </c>
      <c r="B10" s="71" t="str">
        <f>VLOOKUP(A10,Correspondance!$I$3:$J$6,2,FALSE)</f>
        <v>Courrier Internationnal</v>
      </c>
      <c r="C10" s="60">
        <f>GETPIVOTDATA("Identification (ou création) du dossier.",'TCD BO par titre'!$A$4,"MOIS",$D$3,"Titre2",$A$10)</f>
        <v>1</v>
      </c>
      <c r="D10" s="41">
        <f>GETPIVOTDATA("MAJ des coordonnées postales.",'TCD BO par titre'!$A$4,"MOIS",$D$3,"Titre2",$A$10)</f>
        <v>0.96666666666666667</v>
      </c>
      <c r="E10" s="61">
        <f>GETPIVOTDATA("MAJ des moyens de communication (téléphone, adresse électronique).",'TCD BO par titre'!$A$4,"MOIS",$D$3,"Titre2",$A$10)</f>
        <v>0.68965517241379315</v>
      </c>
      <c r="F10" s="60">
        <f>GETPIVOTDATA("Analyse de la demande, des commandes et de l'historique des échanges.",'TCD BO par titre'!$A$4,"MOIS",$D$3,"Titre2",$A$10)</f>
        <v>0.93617021276595747</v>
      </c>
      <c r="G10" s="61">
        <f>GETPIVOTDATA("MAJ des con issances produit (intranet, etc.).",'TCD BO par titre'!$A$4,"MOIS",$D$3,"Titre2",$A$10)</f>
        <v>1</v>
      </c>
      <c r="H10" s="60">
        <f>GETPIVOTDATA("Respect des procédures.",'TCD BO par titre'!$A$4,"MOIS",$D$3,"Titre2",$A$10)</f>
        <v>0.95744680851063835</v>
      </c>
      <c r="I10" s="41">
        <f>GETPIVOTDATA("Respect des règles de gestion (cm, anomalie portage, etc.).",'TCD BO par titre'!$A$4,"MOIS",$D$3,"Titre2",$A$10)</f>
        <v>0.97435897435897434</v>
      </c>
      <c r="J10" s="61" t="str">
        <f>GETPIVOTDATA("Appel à l'assistance/cellule prio - Escalade vers le niveau 2.",'TCD BO par titre'!$A$4,"MOIS",$D$3,"Titre2",$A$10)</f>
        <v>NA</v>
      </c>
      <c r="K10" s="60">
        <f>GETPIVOTDATA("Choix du modèle-type.",'TCD BO par titre'!$A$4,"MOIS",$D$3,"Titre2",$A$10)</f>
        <v>0.97560975609756095</v>
      </c>
      <c r="L10" s="61">
        <f>GETPIVOTDATA("Réponse correcte et complète - Résolution au premier contact.",'TCD BO par titre'!$A$4,"MOIS",$D$3,"Titre2",$A$10)</f>
        <v>0.7021276595744681</v>
      </c>
      <c r="M10" s="60">
        <f>GETPIVOTDATA("Aucune faute de grammaire ou d'orthographe.",'TCD BO par titre'!$A$4,"MOIS",$D$3,"Titre2",$A$10)</f>
        <v>1</v>
      </c>
      <c r="N10" s="41">
        <f>GETPIVOTDATA("Syntaxe claire et ponctuée.",'TCD BO par titre'!$A$4,"MOIS",$D$3,"Titre2",$A$10)</f>
        <v>0.92500000000000004</v>
      </c>
      <c r="O10" s="41">
        <f>GETPIVOTDATA("Adresse mail expéditeur et destinataire.",'TCD BO par titre'!$A$4,"MOIS",$D$3,"Titre2",$A$10)</f>
        <v>1</v>
      </c>
      <c r="P10" s="41">
        <f>GETPIVOTDATA("Personnalisation de la réponse.",'TCD BO par titre'!$A$4,"MOIS",$D$3,"Titre2",$A$10)</f>
        <v>0.9</v>
      </c>
      <c r="Q10" s="41">
        <f>GETPIVOTDATA("Entête nominative - formule de politesse et prise de congé adaptées.",'TCD BO par titre'!$A$4,"MOIS",$D$3,"Titre2",$A$10)</f>
        <v>1</v>
      </c>
      <c r="R10" s="41">
        <f>GETPIVOTDATA("Accompagnement client - sens du service.",'TCD BO par titre'!$A$4,"MOIS",$D$3,"Titre2",$A$10)</f>
        <v>0.96969696969696972</v>
      </c>
      <c r="S10" s="41">
        <f>GETPIVOTDATA("Présentation et mise en valeur des offres.",'TCD BO par titre'!$A$4,"MOIS",$D$3,"Titre2",$A$10)</f>
        <v>1</v>
      </c>
      <c r="T10" s="41">
        <f>GETPIVOTDATA("Valorisation des gestes co/dédommagement - valorisation de la marque.",'TCD BO par titre'!$A$4,"MOIS",$D$3,"Titre2",$A$10)</f>
        <v>1</v>
      </c>
      <c r="U10" s="61">
        <f>GETPIVOTDATA("Valorisation client.",'TCD BO par titre'!$A$4,"MOIS",$D$3,"Titre2",$A$10)</f>
        <v>1</v>
      </c>
      <c r="V10" s="60">
        <f>GETPIVOTDATA("Pose du contact - PRN.",'TCD BO par titre'!$A$4,"MOIS",$D$3,"Titre2",$A$10)</f>
        <v>1</v>
      </c>
      <c r="W10" s="61">
        <f>GETPIVOTDATA("Commentaire.",'TCD BO par titre'!$A$4,"MOIS",$D$3,"Titre2",$A$10)</f>
        <v>0.97872340425531912</v>
      </c>
      <c r="Y10" s="60">
        <f t="shared" ref="Y10:Y23" si="0">AVERAGE(C10:E10)</f>
        <v>0.88544061302681998</v>
      </c>
      <c r="Z10" s="41">
        <f t="shared" ref="Z10:Z23" si="1">AVERAGE(F10:G10)</f>
        <v>0.96808510638297873</v>
      </c>
      <c r="AA10" s="41">
        <f t="shared" ref="AA10:AA23" si="2">AVERAGE(H10:J10)</f>
        <v>0.96590289143480634</v>
      </c>
      <c r="AB10" s="41">
        <f t="shared" ref="AB10:AB23" si="3">AVERAGE(K10:L10)</f>
        <v>0.83886870783601453</v>
      </c>
      <c r="AC10" s="41">
        <f t="shared" ref="AC10:AC23" si="4">AVERAGE(M10:U10)</f>
        <v>0.97718855218855205</v>
      </c>
      <c r="AD10" s="61">
        <f t="shared" ref="AD10:AD23" si="5">AVERAGE(V10:W10)</f>
        <v>0.9893617021276595</v>
      </c>
    </row>
    <row r="11" spans="1:30" ht="15" x14ac:dyDescent="0.2">
      <c r="A11" s="57" t="s">
        <v>99</v>
      </c>
      <c r="B11" s="71" t="str">
        <f>VLOOKUP(A11,Correspondance!$I$3:$J$6,2,FALSE)</f>
        <v>Le Monde.FR</v>
      </c>
      <c r="C11" s="60">
        <f>GETPIVOTDATA("Identification (ou création) du dossier.",'TCD BO par titre'!$A$4,"MOIS",$D$3,"Titre2",$A$11)</f>
        <v>1</v>
      </c>
      <c r="D11" s="41">
        <f>GETPIVOTDATA("MAJ des coordonnées postales.",'TCD BO par titre'!$A$4,"MOIS",$D$3,"Titre2",$A$11)</f>
        <v>0.90909090909090906</v>
      </c>
      <c r="E11" s="61">
        <f>GETPIVOTDATA("MAJ des moyens de communication (téléphone, adresse électronique).",'TCD BO par titre'!$A$4,"MOIS",$D$3,"Titre2",$A$11)</f>
        <v>0.96153846153846156</v>
      </c>
      <c r="F11" s="60">
        <f>GETPIVOTDATA("Analyse de la demande, des commandes et de l'historique des échanges.",'TCD BO par titre'!$A$4,"MOIS",$D$3,"Titre2",$A$11)</f>
        <v>0.96226415094339623</v>
      </c>
      <c r="G11" s="61">
        <f>GETPIVOTDATA("MAJ des con issances produit (intranet, etc.).",'TCD BO par titre'!$A$4,"MOIS",$D$3,"Titre2",$A$11)</f>
        <v>1</v>
      </c>
      <c r="H11" s="60">
        <f>GETPIVOTDATA("Respect des procédures.",'TCD BO par titre'!$A$4,"MOIS",$D$3,"Titre2",$A$11)</f>
        <v>1</v>
      </c>
      <c r="I11" s="41">
        <f>GETPIVOTDATA("Respect des règles de gestion (cm, anomalie portage, etc.).",'TCD BO par titre'!$A$4,"MOIS",$D$3,"Titre2",$A$11)</f>
        <v>0.98113207547169812</v>
      </c>
      <c r="J11" s="61">
        <f>GETPIVOTDATA("Appel à l'assistance/cellule prio - Escalade vers le niveau 2.",'TCD BO par titre'!$A$4,"MOIS",$D$3,"Titre2",$A$11)</f>
        <v>1</v>
      </c>
      <c r="K11" s="60">
        <f>GETPIVOTDATA("Choix du modèle-type.",'TCD BO par titre'!$A$4,"MOIS",$D$3,"Titre2",$A$11)</f>
        <v>0.98148148148148151</v>
      </c>
      <c r="L11" s="61">
        <f>GETPIVOTDATA("Réponse correcte et complète - Résolution au premier contact.",'TCD BO par titre'!$A$4,"MOIS",$D$3,"Titre2",$A$11)</f>
        <v>0.92592592592592593</v>
      </c>
      <c r="M11" s="60">
        <f>GETPIVOTDATA("Aucune faute de grammaire ou d'orthographe.",'TCD BO par titre'!$A$4,"MOIS",$D$3,"Titre2",$A$11)</f>
        <v>0.96153846153846156</v>
      </c>
      <c r="N11" s="41">
        <f>GETPIVOTDATA("Syntaxe claire et ponctuée.",'TCD BO par titre'!$A$4,"MOIS",$D$3,"Titre2",$A$11)</f>
        <v>1</v>
      </c>
      <c r="O11" s="41">
        <f>GETPIVOTDATA("Adresse mail expéditeur et destinataire.",'TCD BO par titre'!$A$4,"MOIS",$D$3,"Titre2",$A$11)</f>
        <v>1</v>
      </c>
      <c r="P11" s="41">
        <f>GETPIVOTDATA("Personnalisation de la réponse.",'TCD BO par titre'!$A$4,"MOIS",$D$3,"Titre2",$A$11)</f>
        <v>0.96153846153846156</v>
      </c>
      <c r="Q11" s="41">
        <f>GETPIVOTDATA("Entête nominative - formule de politesse et prise de congé adaptées.",'TCD BO par titre'!$A$4,"MOIS",$D$3,"Titre2",$A$11)</f>
        <v>1</v>
      </c>
      <c r="R11" s="41">
        <f>GETPIVOTDATA("Accompagnement client - sens du service.",'TCD BO par titre'!$A$4,"MOIS",$D$3,"Titre2",$A$11)</f>
        <v>1</v>
      </c>
      <c r="S11" s="41">
        <f>GETPIVOTDATA("Présentation et mise en valeur des offres.",'TCD BO par titre'!$A$4,"MOIS",$D$3,"Titre2",$A$11)</f>
        <v>1</v>
      </c>
      <c r="T11" s="41">
        <f>GETPIVOTDATA("Valorisation des gestes co/dédommagement - valorisation de la marque.",'TCD BO par titre'!$A$4,"MOIS",$D$3,"Titre2",$A$11)</f>
        <v>1</v>
      </c>
      <c r="U11" s="61">
        <f>GETPIVOTDATA("Valorisation client.",'TCD BO par titre'!$A$4,"MOIS",$D$3,"Titre2",$A$11)</f>
        <v>1</v>
      </c>
      <c r="V11" s="60">
        <f>GETPIVOTDATA("Pose du contact - PRN.",'TCD BO par titre'!$A$4,"MOIS",$D$3,"Titre2",$A$11)</f>
        <v>0.92592592592592593</v>
      </c>
      <c r="W11" s="61">
        <f>GETPIVOTDATA("Commentaire.",'TCD BO par titre'!$A$4,"MOIS",$D$3,"Titre2",$A$11)</f>
        <v>0.96296296296296291</v>
      </c>
      <c r="Y11" s="60">
        <f t="shared" si="0"/>
        <v>0.95687645687645695</v>
      </c>
      <c r="Z11" s="41">
        <f t="shared" si="1"/>
        <v>0.98113207547169812</v>
      </c>
      <c r="AA11" s="41">
        <f t="shared" si="2"/>
        <v>0.99371069182389926</v>
      </c>
      <c r="AB11" s="41">
        <f t="shared" si="3"/>
        <v>0.95370370370370372</v>
      </c>
      <c r="AC11" s="41">
        <f t="shared" si="4"/>
        <v>0.99145299145299148</v>
      </c>
      <c r="AD11" s="61">
        <f t="shared" si="5"/>
        <v>0.94444444444444442</v>
      </c>
    </row>
    <row r="12" spans="1:30" ht="15" x14ac:dyDescent="0.2">
      <c r="A12" s="57" t="s">
        <v>175</v>
      </c>
      <c r="B12" s="71" t="str">
        <f>VLOOKUP(A12,Correspondance!$I$3:$J$6,2,FALSE)</f>
        <v>Le Monde Diplomatique</v>
      </c>
      <c r="C12" s="60">
        <f>GETPIVOTDATA("Identification (ou création) du dossier.",'TCD BO par titre'!$A$4,"MOIS",$D$3,"Titre2",$A$12)</f>
        <v>1</v>
      </c>
      <c r="D12" s="41">
        <f>GETPIVOTDATA("MAJ des coordonnées postales.",'TCD BO par titre'!$A$4,"MOIS",$D$3,"Titre2",$A$12)</f>
        <v>1</v>
      </c>
      <c r="E12" s="61">
        <f>GETPIVOTDATA("MAJ des moyens de communication (téléphone, adresse électronique).",'TCD BO par titre'!$A$4,"MOIS",$D$3,"Titre2",$A$12)</f>
        <v>0.95652173913043481</v>
      </c>
      <c r="F12" s="60">
        <f>GETPIVOTDATA("Analyse de la demande, des commandes et de l'historique des échanges.",'TCD BO par titre'!$A$4,"MOIS",$D$3,"Titre2",$A$12)</f>
        <v>1</v>
      </c>
      <c r="G12" s="61">
        <f>GETPIVOTDATA("MAJ des con issances produit (intranet, etc.).",'TCD BO par titre'!$A$4,"MOIS",$D$3,"Titre2",$A$12)</f>
        <v>1</v>
      </c>
      <c r="H12" s="60">
        <f>GETPIVOTDATA("Respect des procédures.",'TCD BO par titre'!$A$4,"MOIS",$D$3,"Titre2",$A$12)</f>
        <v>1</v>
      </c>
      <c r="I12" s="41">
        <f>GETPIVOTDATA("Respect des règles de gestion (cm, anomalie portage, etc.).",'TCD BO par titre'!$A$4,"MOIS",$D$3,"Titre2",$A$12)</f>
        <v>1</v>
      </c>
      <c r="J12" s="61" t="str">
        <f>GETPIVOTDATA("Appel à l'assistance/cellule prio - Escalade vers le niveau 2.",'TCD BO par titre'!$A$4,"MOIS",$D$3,"Titre2",$A$12)</f>
        <v>NA</v>
      </c>
      <c r="K12" s="60">
        <f>GETPIVOTDATA("Choix du modèle-type.",'TCD BO par titre'!$A$4,"MOIS",$D$3,"Titre2",$A$12)</f>
        <v>1</v>
      </c>
      <c r="L12" s="61">
        <f>GETPIVOTDATA("Réponse correcte et complète - Résolution au premier contact.",'TCD BO par titre'!$A$4,"MOIS",$D$3,"Titre2",$A$12)</f>
        <v>1</v>
      </c>
      <c r="M12" s="60">
        <f>GETPIVOTDATA("Aucune faute de grammaire ou d'orthographe.",'TCD BO par titre'!$A$4,"MOIS",$D$3,"Titre2",$A$12)</f>
        <v>1</v>
      </c>
      <c r="N12" s="41">
        <f>GETPIVOTDATA("Syntaxe claire et ponctuée.",'TCD BO par titre'!$A$4,"MOIS",$D$3,"Titre2",$A$12)</f>
        <v>1</v>
      </c>
      <c r="O12" s="41">
        <f>GETPIVOTDATA("Adresse mail expéditeur et destinataire.",'TCD BO par titre'!$A$4,"MOIS",$D$3,"Titre2",$A$12)</f>
        <v>1</v>
      </c>
      <c r="P12" s="41">
        <f>GETPIVOTDATA("Personnalisation de la réponse.",'TCD BO par titre'!$A$4,"MOIS",$D$3,"Titre2",$A$12)</f>
        <v>0.91428571428571426</v>
      </c>
      <c r="Q12" s="41">
        <f>GETPIVOTDATA("Entête nominative - formule de politesse et prise de congé adaptées.",'TCD BO par titre'!$A$4,"MOIS",$D$3,"Titre2",$A$12)</f>
        <v>1</v>
      </c>
      <c r="R12" s="41">
        <f>GETPIVOTDATA("Accompagnement client - sens du service.",'TCD BO par titre'!$A$4,"MOIS",$D$3,"Titre2",$A$12)</f>
        <v>1</v>
      </c>
      <c r="S12" s="41">
        <f>GETPIVOTDATA("Présentation et mise en valeur des offres.",'TCD BO par titre'!$A$4,"MOIS",$D$3,"Titre2",$A$12)</f>
        <v>1</v>
      </c>
      <c r="T12" s="41">
        <f>GETPIVOTDATA("Valorisation des gestes co/dédommagement - valorisation de la marque.",'TCD BO par titre'!$A$4,"MOIS",$D$3,"Titre2",$A$12)</f>
        <v>1</v>
      </c>
      <c r="U12" s="61">
        <f>GETPIVOTDATA("Valorisation client.",'TCD BO par titre'!$A$4,"MOIS",$D$3,"Titre2",$A$12)</f>
        <v>1</v>
      </c>
      <c r="V12" s="60">
        <f>GETPIVOTDATA("Pose du contact - PRN.",'TCD BO par titre'!$A$4,"MOIS",$D$3,"Titre2",$A$12)</f>
        <v>0.97368421052631582</v>
      </c>
      <c r="W12" s="61">
        <f>GETPIVOTDATA("Commentaire.",'TCD BO par titre'!$A$4,"MOIS",$D$3,"Titre2",$A$12)</f>
        <v>1</v>
      </c>
      <c r="Y12" s="60">
        <f t="shared" si="0"/>
        <v>0.98550724637681153</v>
      </c>
      <c r="Z12" s="41">
        <f t="shared" si="1"/>
        <v>1</v>
      </c>
      <c r="AA12" s="41">
        <f t="shared" si="2"/>
        <v>1</v>
      </c>
      <c r="AB12" s="41">
        <f t="shared" si="3"/>
        <v>1</v>
      </c>
      <c r="AC12" s="41">
        <f t="shared" si="4"/>
        <v>0.99047619047619051</v>
      </c>
      <c r="AD12" s="61">
        <f t="shared" si="5"/>
        <v>0.98684210526315796</v>
      </c>
    </row>
    <row r="13" spans="1:30" ht="15.75" thickBot="1" x14ac:dyDescent="0.25">
      <c r="A13" s="57" t="s">
        <v>47</v>
      </c>
      <c r="B13" s="72" t="str">
        <f>VLOOKUP(A13,Correspondance!$I$3:$J$6,2,FALSE)</f>
        <v>SEM</v>
      </c>
      <c r="C13" s="62">
        <f>GETPIVOTDATA("Identification (ou création) du dossier.",'TCD BO par titre'!$A$4,"MOIS",$D$3,"Titre2",$A$13)</f>
        <v>1</v>
      </c>
      <c r="D13" s="63">
        <f>GETPIVOTDATA("MAJ des coordonnées postales.",'TCD BO par titre'!$A$4,"MOIS",$D$3,"Titre2",$A$13)</f>
        <v>1</v>
      </c>
      <c r="E13" s="64">
        <f>GETPIVOTDATA("MAJ des moyens de communication (téléphone, adresse électronique).",'TCD BO par titre'!$A$4,"MOIS",$D$3,"Titre2",$A$13)</f>
        <v>0.79166666666666663</v>
      </c>
      <c r="F13" s="62">
        <f>GETPIVOTDATA("Analyse de la demande, des commandes et de l'historique des échanges.",'TCD BO par titre'!$A$4,"MOIS",$D$3,"Titre2",$A$13)</f>
        <v>0.97058823529411764</v>
      </c>
      <c r="G13" s="64" t="str">
        <f>GETPIVOTDATA("MAJ des con issances produit (intranet, etc.).",'TCD BO par titre'!$A$4,"MOIS",$D$3,"Titre2",$A$13)</f>
        <v>NA</v>
      </c>
      <c r="H13" s="62">
        <f>GETPIVOTDATA("Respect des procédures.",'TCD BO par titre'!$A$4,"MOIS",$D$3,"Titre2",$A$13)</f>
        <v>0.94117647058823528</v>
      </c>
      <c r="I13" s="63">
        <f>GETPIVOTDATA("Respect des règles de gestion (cm, anomalie portage, etc.).",'TCD BO par titre'!$A$4,"MOIS",$D$3,"Titre2",$A$13)</f>
        <v>0.90909090909090906</v>
      </c>
      <c r="J13" s="64" t="str">
        <f>GETPIVOTDATA("Appel à l'assistance/cellule prio - Escalade vers le niveau 2.",'TCD BO par titre'!$A$4,"MOIS",$D$3,"Titre2",$A$13)</f>
        <v>NA</v>
      </c>
      <c r="K13" s="62">
        <f>GETPIVOTDATA("Choix du modèle-type.",'TCD BO par titre'!$A$4,"MOIS",$D$3,"Titre2",$A$13)</f>
        <v>0.96875</v>
      </c>
      <c r="L13" s="64">
        <f>GETPIVOTDATA("Réponse correcte et complète - Résolution au premier contact.",'TCD BO par titre'!$A$4,"MOIS",$D$3,"Titre2",$A$13)</f>
        <v>0.82352941176470584</v>
      </c>
      <c r="M13" s="62">
        <f>GETPIVOTDATA("Aucune faute de grammaire ou d'orthographe.",'TCD BO par titre'!$A$4,"MOIS",$D$3,"Titre2",$A$13)</f>
        <v>0.9375</v>
      </c>
      <c r="N13" s="63">
        <f>GETPIVOTDATA("Syntaxe claire et ponctuée.",'TCD BO par titre'!$A$4,"MOIS",$D$3,"Titre2",$A$13)</f>
        <v>0.9375</v>
      </c>
      <c r="O13" s="63">
        <f>GETPIVOTDATA("Adresse mail expéditeur et destinataire.",'TCD BO par titre'!$A$4,"MOIS",$D$3,"Titre2",$A$13)</f>
        <v>1</v>
      </c>
      <c r="P13" s="63">
        <f>GETPIVOTDATA("Personnalisation de la réponse.",'TCD BO par titre'!$A$4,"MOIS",$D$3,"Titre2",$A$13)</f>
        <v>1</v>
      </c>
      <c r="Q13" s="63">
        <f>GETPIVOTDATA("Entête nominative - formule de politesse et prise de congé adaptées.",'TCD BO par titre'!$A$4,"MOIS",$D$3,"Titre2",$A$13)</f>
        <v>0.9375</v>
      </c>
      <c r="R13" s="63">
        <f>GETPIVOTDATA("Accompagnement client - sens du service.",'TCD BO par titre'!$A$4,"MOIS",$D$3,"Titre2",$A$13)</f>
        <v>0.96296296296296291</v>
      </c>
      <c r="S13" s="63">
        <f>GETPIVOTDATA("Présentation et mise en valeur des offres.",'TCD BO par titre'!$A$4,"MOIS",$D$3,"Titre2",$A$13)</f>
        <v>1</v>
      </c>
      <c r="T13" s="63">
        <f>GETPIVOTDATA("Valorisation des gestes co/dédommagement - valorisation de la marque.",'TCD BO par titre'!$A$4,"MOIS",$D$3,"Titre2",$A$13)</f>
        <v>1</v>
      </c>
      <c r="U13" s="64">
        <f>GETPIVOTDATA("Valorisation client.",'TCD BO par titre'!$A$4,"MOIS",$D$3,"Titre2",$A$13)</f>
        <v>1</v>
      </c>
      <c r="V13" s="62">
        <f>GETPIVOTDATA("Pose du contact - PRN.",'TCD BO par titre'!$A$4,"MOIS",$D$3,"Titre2",$A$13)</f>
        <v>0.97058823529411764</v>
      </c>
      <c r="W13" s="64">
        <f>GETPIVOTDATA("Commentaire.",'TCD BO par titre'!$A$4,"MOIS",$D$3,"Titre2",$A$13)</f>
        <v>0.97058823529411764</v>
      </c>
      <c r="Y13" s="62">
        <f t="shared" si="0"/>
        <v>0.93055555555555547</v>
      </c>
      <c r="Z13" s="63">
        <f t="shared" si="1"/>
        <v>0.97058823529411764</v>
      </c>
      <c r="AA13" s="63">
        <f t="shared" si="2"/>
        <v>0.92513368983957212</v>
      </c>
      <c r="AB13" s="63">
        <f t="shared" si="3"/>
        <v>0.89613970588235292</v>
      </c>
      <c r="AC13" s="63">
        <f t="shared" si="4"/>
        <v>0.97505144032921798</v>
      </c>
      <c r="AD13" s="64">
        <f t="shared" si="5"/>
        <v>0.97058823529411764</v>
      </c>
    </row>
    <row r="14" spans="1:30" ht="15" x14ac:dyDescent="0.2">
      <c r="B14" s="66" t="str">
        <f>CONCATENATE(B3," ",J4)</f>
        <v>MOIS : Décembre</v>
      </c>
      <c r="C14" s="76" t="e">
        <f>GETPIVOTDATA("Identification (ou création) du dossier.",'TCD BO'!$A$4,"MOIS",$J$4)</f>
        <v>#REF!</v>
      </c>
      <c r="D14" s="77" t="e">
        <f>GETPIVOTDATA("MAJ des coordonnées postales.",'TCD BO'!$A$4,"MOIS",$J$4)</f>
        <v>#REF!</v>
      </c>
      <c r="E14" s="78" t="e">
        <f>GETPIVOTDATA("MAJ des moyens de communication (téléphone, adresse électronique).",'TCD BO'!$A$4,"MOIS",$J$4)</f>
        <v>#REF!</v>
      </c>
      <c r="F14" s="76" t="e">
        <f>GETPIVOTDATA("Analyse de la demande, des commandes et de l'historique des échanges.",'TCD BO'!$A$4,"MOIS",$J$4)</f>
        <v>#REF!</v>
      </c>
      <c r="G14" s="78" t="e">
        <f>GETPIVOTDATA("MAJ des con issances produit (intranet, etc.).",'TCD BO'!$A$4,"MOIS",$J$4)</f>
        <v>#REF!</v>
      </c>
      <c r="H14" s="76" t="e">
        <f>GETPIVOTDATA("Respect des procédures.",'TCD BO'!$A$4,"MOIS",$J$4)</f>
        <v>#REF!</v>
      </c>
      <c r="I14" s="77" t="e">
        <f>GETPIVOTDATA("Respect des règles de gestion (cm, anomalie portage, etc.).",'TCD BO'!$A$4,"MOIS",$J$4)</f>
        <v>#REF!</v>
      </c>
      <c r="J14" s="78" t="e">
        <f>GETPIVOTDATA("Appel à l'assistance/cellule prio - Escalade vers le niveau 2.",'TCD BO'!$A$4,"MOIS",$J$4)</f>
        <v>#REF!</v>
      </c>
      <c r="K14" s="76" t="e">
        <f>GETPIVOTDATA("Choix du modèle-type.",'TCD BO'!$A$4,"MOIS",$J$4)</f>
        <v>#REF!</v>
      </c>
      <c r="L14" s="78" t="e">
        <f>GETPIVOTDATA("Réponse correcte et complète - Résolution au premier contact.",'TCD BO'!$A$4,"MOIS",$J$4)</f>
        <v>#REF!</v>
      </c>
      <c r="M14" s="76" t="e">
        <f>GETPIVOTDATA("Aucune faute de grammaire ou d'orthographe.",'TCD BO'!$A$4,"MOIS",$J$4)</f>
        <v>#REF!</v>
      </c>
      <c r="N14" s="77" t="e">
        <f>GETPIVOTDATA("Syntaxe claire et ponctuée.",'TCD BO'!$A$4,"MOIS",$J$4)</f>
        <v>#REF!</v>
      </c>
      <c r="O14" s="77" t="e">
        <f>GETPIVOTDATA("Adresse mail expéditeur et destinataire.",'TCD BO'!$A$4,"MOIS",$J$4)</f>
        <v>#REF!</v>
      </c>
      <c r="P14" s="77" t="e">
        <f>GETPIVOTDATA("Personnalisation de la réponse.",'TCD BO'!$A$4,"MOIS",$J$4)</f>
        <v>#REF!</v>
      </c>
      <c r="Q14" s="77" t="e">
        <f>GETPIVOTDATA("Entête nominative - formule de politesse et prise de congé adaptées.",'TCD BO'!$A$4,"MOIS",$J$4)</f>
        <v>#REF!</v>
      </c>
      <c r="R14" s="77" t="e">
        <f>GETPIVOTDATA("Accompagnement client - sens du service.",'TCD BO'!$A$4,"MOIS",$J$4)</f>
        <v>#REF!</v>
      </c>
      <c r="S14" s="77" t="e">
        <f>GETPIVOTDATA("Présentation et mise en valeur des offres.",'TCD BO'!$A$4,"MOIS",$J$4)</f>
        <v>#REF!</v>
      </c>
      <c r="T14" s="77" t="e">
        <f>GETPIVOTDATA("Valorisation des gestes co/dédommagement - valorisation de la marque.",'TCD BO'!$A$4,"MOIS",$J$4)</f>
        <v>#REF!</v>
      </c>
      <c r="U14" s="78" t="e">
        <f>GETPIVOTDATA("Valorisation client.",'TCD BO'!$A$4,"MOIS",$J$4)</f>
        <v>#REF!</v>
      </c>
      <c r="V14" s="76" t="e">
        <f>GETPIVOTDATA("Pose du contact - PRN.",'TCD BO'!$A$4,"MOIS",$J$4)</f>
        <v>#REF!</v>
      </c>
      <c r="W14" s="78" t="e">
        <f>GETPIVOTDATA("Commentaire.",'TCD BO'!$A$4,"MOIS",$J$4)</f>
        <v>#REF!</v>
      </c>
      <c r="Y14" s="76" t="e">
        <f t="shared" si="0"/>
        <v>#REF!</v>
      </c>
      <c r="Z14" s="77" t="e">
        <f t="shared" si="1"/>
        <v>#REF!</v>
      </c>
      <c r="AA14" s="77" t="e">
        <f t="shared" si="2"/>
        <v>#REF!</v>
      </c>
      <c r="AB14" s="77" t="e">
        <f t="shared" si="3"/>
        <v>#REF!</v>
      </c>
      <c r="AC14" s="77" t="e">
        <f t="shared" si="4"/>
        <v>#REF!</v>
      </c>
      <c r="AD14" s="78" t="e">
        <f t="shared" si="5"/>
        <v>#REF!</v>
      </c>
    </row>
    <row r="15" spans="1:30" ht="15" x14ac:dyDescent="0.2">
      <c r="A15" s="57" t="s">
        <v>74</v>
      </c>
      <c r="B15" s="69" t="str">
        <f>VLOOKUP(A15,Correspondance!$I$3:$J$6,2,FALSE)</f>
        <v>Courrier Internationnal</v>
      </c>
      <c r="C15" s="60">
        <f>GETPIVOTDATA("Identification (ou création) du dossier.",'TCD BO par titre'!$A$4,"MOIS",$D$3,"Titre2",$A$10)</f>
        <v>1</v>
      </c>
      <c r="D15" s="41" t="e">
        <f>GETPIVOTDATA("MAJ des coordonnées postales.",'TCD BO par titre'!$A$4,"MOIS",$J$4,"Titre2",$A$10)</f>
        <v>#REF!</v>
      </c>
      <c r="E15" s="61" t="e">
        <f>GETPIVOTDATA("MAJ des moyens de communication (téléphone, adresse électronique).",'TCD BO par titre'!$A$4,"MOIS",$J$4,"Titre2",$A$10)</f>
        <v>#REF!</v>
      </c>
      <c r="F15" s="60" t="e">
        <f>GETPIVOTDATA("Analyse de la demande, des commandes et de l'historique des échanges.",'TCD BO par titre'!$A$4,"MOIS",$J$4,"Titre2",$A$10)</f>
        <v>#REF!</v>
      </c>
      <c r="G15" s="61" t="e">
        <f>GETPIVOTDATA("MAJ des con issances produit (intranet, etc.).",'TCD BO par titre'!$A$4,"MOIS",$J$4,"Titre2",$A$10)</f>
        <v>#REF!</v>
      </c>
      <c r="H15" s="60" t="e">
        <f>GETPIVOTDATA("Respect des procédures.",'TCD BO par titre'!$A$4,"MOIS",$J$4,"Titre2",$A$10)</f>
        <v>#REF!</v>
      </c>
      <c r="I15" s="41" t="e">
        <f>GETPIVOTDATA("Respect des règles de gestion (cm, anomalie portage, etc.).",'TCD BO par titre'!$A$4,"MOIS",$J$4,"Titre2",$A$10)</f>
        <v>#REF!</v>
      </c>
      <c r="J15" s="61" t="e">
        <f>GETPIVOTDATA("Appel à l'assistance/cellule prio - Escalade vers le niveau 2.",'TCD BO par titre'!$A$4,"MOIS",$J$4,"Titre2",$A$10)</f>
        <v>#REF!</v>
      </c>
      <c r="K15" s="60" t="e">
        <f>GETPIVOTDATA("Choix du modèle-type.",'TCD BO par titre'!$A$4,"MOIS",$J$4,"Titre2",$A$10)</f>
        <v>#REF!</v>
      </c>
      <c r="L15" s="61" t="e">
        <f>GETPIVOTDATA("Réponse correcte et complète - Résolution au premier contact.",'TCD BO par titre'!$A$4,"MOIS",$J$4,"Titre2",$A$10)</f>
        <v>#REF!</v>
      </c>
      <c r="M15" s="60" t="e">
        <f>GETPIVOTDATA("Aucune faute de grammaire ou d'orthographe.",'TCD BO par titre'!$A$4,"MOIS",$J$4,"Titre2",$A$10)</f>
        <v>#REF!</v>
      </c>
      <c r="N15" s="41" t="e">
        <f>GETPIVOTDATA("Syntaxe claire et ponctuée.",'TCD BO par titre'!$A$4,"MOIS",$J$4,"Titre2",$A$10)</f>
        <v>#REF!</v>
      </c>
      <c r="O15" s="41" t="e">
        <f>GETPIVOTDATA("Adresse mail expéditeur et destinataire.",'TCD BO par titre'!$A$4,"MOIS",$J$4,"Titre2",$A$10)</f>
        <v>#REF!</v>
      </c>
      <c r="P15" s="41" t="e">
        <f>GETPIVOTDATA("Personnalisation de la réponse.",'TCD BO par titre'!$A$4,"MOIS",$J$4,"Titre2",$A$10)</f>
        <v>#REF!</v>
      </c>
      <c r="Q15" s="41" t="e">
        <f>GETPIVOTDATA("Entête nominative - formule de politesse et prise de congé adaptées.",'TCD BO par titre'!$A$4,"MOIS",$J$4,"Titre2",$A$10)</f>
        <v>#REF!</v>
      </c>
      <c r="R15" s="41" t="e">
        <f>GETPIVOTDATA("Accompagnement client - sens du service.",'TCD BO par titre'!$A$4,"MOIS",$J$4,"Titre2",$A$10)</f>
        <v>#REF!</v>
      </c>
      <c r="S15" s="41" t="e">
        <f>GETPIVOTDATA("Présentation et mise en valeur des offres.",'TCD BO par titre'!$A$4,"MOIS",$J$4,"Titre2",$A$10)</f>
        <v>#REF!</v>
      </c>
      <c r="T15" s="41" t="e">
        <f>GETPIVOTDATA("Valorisation des gestes co/dédommagement - valorisation de la marque.",'TCD BO par titre'!$A$4,"MOIS",$J$4,"Titre2",$A$10)</f>
        <v>#REF!</v>
      </c>
      <c r="U15" s="61" t="e">
        <f>GETPIVOTDATA("Valorisation client.",'TCD BO par titre'!$A$4,"MOIS",$J$4,"Titre2",$A$10)</f>
        <v>#REF!</v>
      </c>
      <c r="V15" s="60" t="e">
        <f>GETPIVOTDATA("Pose du contact - PRN.",'TCD BO par titre'!$A$4,"MOIS",$J$4,"Titre2",$A$10)</f>
        <v>#REF!</v>
      </c>
      <c r="W15" s="61" t="e">
        <f>GETPIVOTDATA("Commentaire.",'TCD BO par titre'!$A$4,"MOIS",$J$4,"Titre2",$A$10)</f>
        <v>#REF!</v>
      </c>
      <c r="Y15" s="60" t="e">
        <f t="shared" si="0"/>
        <v>#REF!</v>
      </c>
      <c r="Z15" s="41" t="e">
        <f t="shared" si="1"/>
        <v>#REF!</v>
      </c>
      <c r="AA15" s="41" t="e">
        <f t="shared" si="2"/>
        <v>#REF!</v>
      </c>
      <c r="AB15" s="41" t="e">
        <f t="shared" si="3"/>
        <v>#REF!</v>
      </c>
      <c r="AC15" s="41" t="e">
        <f t="shared" si="4"/>
        <v>#REF!</v>
      </c>
      <c r="AD15" s="61" t="e">
        <f t="shared" si="5"/>
        <v>#REF!</v>
      </c>
    </row>
    <row r="16" spans="1:30" ht="15" x14ac:dyDescent="0.2">
      <c r="A16" s="57" t="s">
        <v>99</v>
      </c>
      <c r="B16" s="69" t="str">
        <f>VLOOKUP(A16,Correspondance!$I$3:$J$6,2,FALSE)</f>
        <v>Le Monde.FR</v>
      </c>
      <c r="C16" s="60">
        <f>GETPIVOTDATA("Identification (ou création) du dossier.",'TCD BO par titre'!$A$4,"MOIS",$D$3,"Titre2",$A$11)</f>
        <v>1</v>
      </c>
      <c r="D16" s="41" t="e">
        <f>GETPIVOTDATA("MAJ des coordonnées postales.",'TCD BO par titre'!$A$4,"MOIS",$J$4,"Titre2",$A$11)</f>
        <v>#REF!</v>
      </c>
      <c r="E16" s="61" t="e">
        <f>GETPIVOTDATA("MAJ des moyens de communication (téléphone, adresse électronique).",'TCD BO par titre'!$A$4,"MOIS",$J$4,"Titre2",$A$11)</f>
        <v>#REF!</v>
      </c>
      <c r="F16" s="60" t="e">
        <f>GETPIVOTDATA("Analyse de la demande, des commandes et de l'historique des échanges.",'TCD BO par titre'!$A$4,"MOIS",$J$4,"Titre2",$A$11)</f>
        <v>#REF!</v>
      </c>
      <c r="G16" s="61" t="e">
        <f>GETPIVOTDATA("MAJ des con issances produit (intranet, etc.).",'TCD BO par titre'!$A$4,"MOIS",$J$4,"Titre2",$A$11)</f>
        <v>#REF!</v>
      </c>
      <c r="H16" s="60" t="e">
        <f>GETPIVOTDATA("Respect des procédures.",'TCD BO par titre'!$A$4,"MOIS",$J$4,"Titre2",$A$11)</f>
        <v>#REF!</v>
      </c>
      <c r="I16" s="41" t="e">
        <f>GETPIVOTDATA("Respect des règles de gestion (cm, anomalie portage, etc.).",'TCD BO par titre'!$A$4,"MOIS",$J$4,"Titre2",$A$11)</f>
        <v>#REF!</v>
      </c>
      <c r="J16" s="61" t="e">
        <f>GETPIVOTDATA("Appel à l'assistance/cellule prio - Escalade vers le niveau 2.",'TCD BO par titre'!$A$4,"MOIS",$J$4,"Titre2",$A$11)</f>
        <v>#REF!</v>
      </c>
      <c r="K16" s="60" t="e">
        <f>GETPIVOTDATA("Choix du modèle-type.",'TCD BO par titre'!$A$4,"MOIS",$J$4,"Titre2",$A$11)</f>
        <v>#REF!</v>
      </c>
      <c r="L16" s="61" t="e">
        <f>GETPIVOTDATA("Réponse correcte et complète - Résolution au premier contact.",'TCD BO par titre'!$A$4,"MOIS",$J$4,"Titre2",$A$11)</f>
        <v>#REF!</v>
      </c>
      <c r="M16" s="60" t="e">
        <f>GETPIVOTDATA("Aucune faute de grammaire ou d'orthographe.",'TCD BO par titre'!$A$4,"MOIS",$J$4,"Titre2",$A$11)</f>
        <v>#REF!</v>
      </c>
      <c r="N16" s="41" t="e">
        <f>GETPIVOTDATA("Syntaxe claire et ponctuée.",'TCD BO par titre'!$A$4,"MOIS",$J$4,"Titre2",$A$11)</f>
        <v>#REF!</v>
      </c>
      <c r="O16" s="41" t="e">
        <f>GETPIVOTDATA("Adresse mail expéditeur et destinataire.",'TCD BO par titre'!$A$4,"MOIS",$J$4,"Titre2",$A$11)</f>
        <v>#REF!</v>
      </c>
      <c r="P16" s="41" t="e">
        <f>GETPIVOTDATA("Personnalisation de la réponse.",'TCD BO par titre'!$A$4,"MOIS",$J$4,"Titre2",$A$11)</f>
        <v>#REF!</v>
      </c>
      <c r="Q16" s="41" t="e">
        <f>GETPIVOTDATA("Entête nominative - formule de politesse et prise de congé adaptées.",'TCD BO par titre'!$A$4,"MOIS",$J$4,"Titre2",$A$11)</f>
        <v>#REF!</v>
      </c>
      <c r="R16" s="41" t="e">
        <f>GETPIVOTDATA("Accompagnement client - sens du service.",'TCD BO par titre'!$A$4,"MOIS",$J$4,"Titre2",$A$11)</f>
        <v>#REF!</v>
      </c>
      <c r="S16" s="41" t="e">
        <f>GETPIVOTDATA("Présentation et mise en valeur des offres.",'TCD BO par titre'!$A$4,"MOIS",$J$4,"Titre2",$A$11)</f>
        <v>#REF!</v>
      </c>
      <c r="T16" s="41" t="e">
        <f>GETPIVOTDATA("Valorisation des gestes co/dédommagement - valorisation de la marque.",'TCD BO par titre'!$A$4,"MOIS",$J$4,"Titre2",$A$11)</f>
        <v>#REF!</v>
      </c>
      <c r="U16" s="61" t="e">
        <f>GETPIVOTDATA("Valorisation client.",'TCD BO par titre'!$A$4,"MOIS",$J$4,"Titre2",$A$11)</f>
        <v>#REF!</v>
      </c>
      <c r="V16" s="60" t="e">
        <f>GETPIVOTDATA("Pose du contact - PRN.",'TCD BO par titre'!$A$4,"MOIS",$J$4,"Titre2",$A$11)</f>
        <v>#REF!</v>
      </c>
      <c r="W16" s="61" t="e">
        <f>GETPIVOTDATA("Commentaire.",'TCD BO par titre'!$A$4,"MOIS",$J$4,"Titre2",$A$11)</f>
        <v>#REF!</v>
      </c>
      <c r="Y16" s="60" t="e">
        <f t="shared" si="0"/>
        <v>#REF!</v>
      </c>
      <c r="Z16" s="41" t="e">
        <f t="shared" si="1"/>
        <v>#REF!</v>
      </c>
      <c r="AA16" s="41" t="e">
        <f t="shared" si="2"/>
        <v>#REF!</v>
      </c>
      <c r="AB16" s="41" t="e">
        <f t="shared" si="3"/>
        <v>#REF!</v>
      </c>
      <c r="AC16" s="41" t="e">
        <f t="shared" si="4"/>
        <v>#REF!</v>
      </c>
      <c r="AD16" s="61" t="e">
        <f t="shared" si="5"/>
        <v>#REF!</v>
      </c>
    </row>
    <row r="17" spans="1:37" ht="15" x14ac:dyDescent="0.2">
      <c r="A17" s="57" t="s">
        <v>175</v>
      </c>
      <c r="B17" s="69" t="str">
        <f>VLOOKUP(A17,Correspondance!$I$3:$J$6,2,FALSE)</f>
        <v>Le Monde Diplomatique</v>
      </c>
      <c r="C17" s="60">
        <f>GETPIVOTDATA("Identification (ou création) du dossier.",'TCD BO par titre'!$A$4,"MOIS",$D$3,"Titre2",$A$12)</f>
        <v>1</v>
      </c>
      <c r="D17" s="41" t="e">
        <f>GETPIVOTDATA("MAJ des coordonnées postales.",'TCD BO par titre'!$A$4,"MOIS",$J$4,"Titre2",$A$12)</f>
        <v>#REF!</v>
      </c>
      <c r="E17" s="61" t="e">
        <f>GETPIVOTDATA("MAJ des moyens de communication (téléphone, adresse électronique).",'TCD BO par titre'!$A$4,"MOIS",$J$4,"Titre2",$A$12)</f>
        <v>#REF!</v>
      </c>
      <c r="F17" s="60" t="e">
        <f>GETPIVOTDATA("Analyse de la demande, des commandes et de l'historique des échanges.",'TCD BO par titre'!$A$4,"MOIS",$J$4,"Titre2",$A$12)</f>
        <v>#REF!</v>
      </c>
      <c r="G17" s="61" t="e">
        <f>GETPIVOTDATA("MAJ des con issances produit (intranet, etc.).",'TCD BO par titre'!$A$4,"MOIS",$J$4,"Titre2",$A$12)</f>
        <v>#REF!</v>
      </c>
      <c r="H17" s="60" t="e">
        <f>GETPIVOTDATA("Respect des procédures.",'TCD BO par titre'!$A$4,"MOIS",$J$4,"Titre2",$A$12)</f>
        <v>#REF!</v>
      </c>
      <c r="I17" s="41" t="e">
        <f>GETPIVOTDATA("Respect des règles de gestion (cm, anomalie portage, etc.).",'TCD BO par titre'!$A$4,"MOIS",$J$4,"Titre2",$A$12)</f>
        <v>#REF!</v>
      </c>
      <c r="J17" s="61" t="e">
        <f>GETPIVOTDATA("Appel à l'assistance/cellule prio - Escalade vers le niveau 2.",'TCD BO par titre'!$A$4,"MOIS",$J$4,"Titre2",$A$12)</f>
        <v>#REF!</v>
      </c>
      <c r="K17" s="60" t="e">
        <f>GETPIVOTDATA("Choix du modèle-type.",'TCD BO par titre'!$A$4,"MOIS",$J$4,"Titre2",$A$12)</f>
        <v>#REF!</v>
      </c>
      <c r="L17" s="61" t="e">
        <f>GETPIVOTDATA("Réponse correcte et complète - Résolution au premier contact.",'TCD BO par titre'!$A$4,"MOIS",$J$4,"Titre2",$A$12)</f>
        <v>#REF!</v>
      </c>
      <c r="M17" s="60" t="e">
        <f>GETPIVOTDATA("Aucune faute de grammaire ou d'orthographe.",'TCD BO par titre'!$A$4,"MOIS",$J$4,"Titre2",$A$12)</f>
        <v>#REF!</v>
      </c>
      <c r="N17" s="41" t="e">
        <f>GETPIVOTDATA("Syntaxe claire et ponctuée.",'TCD BO par titre'!$A$4,"MOIS",$J$4,"Titre2",$A$12)</f>
        <v>#REF!</v>
      </c>
      <c r="O17" s="41" t="e">
        <f>GETPIVOTDATA("Adresse mail expéditeur et destinataire.",'TCD BO par titre'!$A$4,"MOIS",$J$4,"Titre2",$A$12)</f>
        <v>#REF!</v>
      </c>
      <c r="P17" s="41" t="e">
        <f>GETPIVOTDATA("Personnalisation de la réponse.",'TCD BO par titre'!$A$4,"MOIS",$J$4,"Titre2",$A$12)</f>
        <v>#REF!</v>
      </c>
      <c r="Q17" s="41" t="e">
        <f>GETPIVOTDATA("Entête nominative - formule de politesse et prise de congé adaptées.",'TCD BO par titre'!$A$4,"MOIS",$J$4,"Titre2",$A$12)</f>
        <v>#REF!</v>
      </c>
      <c r="R17" s="41" t="e">
        <f>GETPIVOTDATA("Accompagnement client - sens du service.",'TCD BO par titre'!$A$4,"MOIS",$J$4,"Titre2",$A$12)</f>
        <v>#REF!</v>
      </c>
      <c r="S17" s="41" t="e">
        <f>GETPIVOTDATA("Présentation et mise en valeur des offres.",'TCD BO par titre'!$A$4,"MOIS",$J$4,"Titre2",$A$12)</f>
        <v>#REF!</v>
      </c>
      <c r="T17" s="41" t="e">
        <f>GETPIVOTDATA("Valorisation des gestes co/dédommagement - valorisation de la marque.",'TCD BO par titre'!$A$4,"MOIS",$J$4,"Titre2",$A$12)</f>
        <v>#REF!</v>
      </c>
      <c r="U17" s="61" t="e">
        <f>GETPIVOTDATA("Valorisation client.",'TCD BO par titre'!$A$4,"MOIS",$J$4,"Titre2",$A$12)</f>
        <v>#REF!</v>
      </c>
      <c r="V17" s="60" t="e">
        <f>GETPIVOTDATA("Pose du contact - PRN.",'TCD BO par titre'!$A$4,"MOIS",$J$4,"Titre2",$A$12)</f>
        <v>#REF!</v>
      </c>
      <c r="W17" s="61" t="e">
        <f>GETPIVOTDATA("Commentaire.",'TCD BO par titre'!$A$4,"MOIS",$J$4,"Titre2",$A$12)</f>
        <v>#REF!</v>
      </c>
      <c r="Y17" s="60" t="e">
        <f t="shared" si="0"/>
        <v>#REF!</v>
      </c>
      <c r="Z17" s="41" t="e">
        <f t="shared" si="1"/>
        <v>#REF!</v>
      </c>
      <c r="AA17" s="41" t="e">
        <f t="shared" si="2"/>
        <v>#REF!</v>
      </c>
      <c r="AB17" s="41" t="e">
        <f t="shared" si="3"/>
        <v>#REF!</v>
      </c>
      <c r="AC17" s="41" t="e">
        <f t="shared" si="4"/>
        <v>#REF!</v>
      </c>
      <c r="AD17" s="61" t="e">
        <f t="shared" si="5"/>
        <v>#REF!</v>
      </c>
    </row>
    <row r="18" spans="1:37" ht="15.75" thickBot="1" x14ac:dyDescent="0.25">
      <c r="A18" s="57" t="s">
        <v>47</v>
      </c>
      <c r="B18" s="69" t="str">
        <f>VLOOKUP(A18,Correspondance!$I$3:$J$6,2,FALSE)</f>
        <v>SEM</v>
      </c>
      <c r="C18" s="62">
        <f>GETPIVOTDATA("Identification (ou création) du dossier.",'TCD BO par titre'!$A$4,"MOIS",$D$3,"Titre2",$A$13)</f>
        <v>1</v>
      </c>
      <c r="D18" s="63" t="e">
        <f>GETPIVOTDATA("MAJ des coordonnées postales.",'TCD BO par titre'!$A$4,"MOIS",$J$4,"Titre2",$A$13)</f>
        <v>#REF!</v>
      </c>
      <c r="E18" s="64" t="e">
        <f>GETPIVOTDATA("MAJ des moyens de communication (téléphone, adresse électronique).",'TCD BO par titre'!$A$4,"MOIS",$J$4,"Titre2",$A$13)</f>
        <v>#REF!</v>
      </c>
      <c r="F18" s="62" t="e">
        <f>GETPIVOTDATA("Analyse de la demande, des commandes et de l'historique des échanges.",'TCD BO par titre'!$A$4,"MOIS",$J$4,"Titre2",$A$13)</f>
        <v>#REF!</v>
      </c>
      <c r="G18" s="64" t="e">
        <f>GETPIVOTDATA("MAJ des con issances produit (intranet, etc.).",'TCD BO par titre'!$A$4,"MOIS",$J$4,"Titre2",$A$13)</f>
        <v>#REF!</v>
      </c>
      <c r="H18" s="62" t="e">
        <f>GETPIVOTDATA("Respect des procédures.",'TCD BO par titre'!$A$4,"MOIS",$J$4,"Titre2",$A$13)</f>
        <v>#REF!</v>
      </c>
      <c r="I18" s="63" t="e">
        <f>GETPIVOTDATA("Respect des règles de gestion (cm, anomalie portage, etc.).",'TCD BO par titre'!$A$4,"MOIS",$J$4,"Titre2",$A$13)</f>
        <v>#REF!</v>
      </c>
      <c r="J18" s="64" t="e">
        <f>GETPIVOTDATA("Appel à l'assistance/cellule prio - Escalade vers le niveau 2.",'TCD BO par titre'!$A$4,"MOIS",$J$4,"Titre2",$A$13)</f>
        <v>#REF!</v>
      </c>
      <c r="K18" s="62" t="e">
        <f>GETPIVOTDATA("Choix du modèle-type.",'TCD BO par titre'!$A$4,"MOIS",$J$4,"Titre2",$A$13)</f>
        <v>#REF!</v>
      </c>
      <c r="L18" s="64" t="e">
        <f>GETPIVOTDATA("Réponse correcte et complète - Résolution au premier contact.",'TCD BO par titre'!$A$4,"MOIS",$J$4,"Titre2",$A$13)</f>
        <v>#REF!</v>
      </c>
      <c r="M18" s="62" t="e">
        <f>GETPIVOTDATA("Aucune faute de grammaire ou d'orthographe.",'TCD BO par titre'!$A$4,"MOIS",$J$4,"Titre2",$A$13)</f>
        <v>#REF!</v>
      </c>
      <c r="N18" s="63" t="e">
        <f>GETPIVOTDATA("Syntaxe claire et ponctuée.",'TCD BO par titre'!$A$4,"MOIS",$J$4,"Titre2",$A$13)</f>
        <v>#REF!</v>
      </c>
      <c r="O18" s="63" t="e">
        <f>GETPIVOTDATA("Adresse mail expéditeur et destinataire.",'TCD BO par titre'!$A$4,"MOIS",$J$4,"Titre2",$A$13)</f>
        <v>#REF!</v>
      </c>
      <c r="P18" s="63" t="e">
        <f>GETPIVOTDATA("Personnalisation de la réponse.",'TCD BO par titre'!$A$4,"MOIS",$J$4,"Titre2",$A$13)</f>
        <v>#REF!</v>
      </c>
      <c r="Q18" s="63" t="e">
        <f>GETPIVOTDATA("Entête nominative - formule de politesse et prise de congé adaptées.",'TCD BO par titre'!$A$4,"MOIS",$J$4,"Titre2",$A$13)</f>
        <v>#REF!</v>
      </c>
      <c r="R18" s="63" t="e">
        <f>GETPIVOTDATA("Accompagnement client - sens du service.",'TCD BO par titre'!$A$4,"MOIS",$J$4,"Titre2",$A$13)</f>
        <v>#REF!</v>
      </c>
      <c r="S18" s="63" t="e">
        <f>GETPIVOTDATA("Présentation et mise en valeur des offres.",'TCD BO par titre'!$A$4,"MOIS",$J$4,"Titre2",$A$13)</f>
        <v>#REF!</v>
      </c>
      <c r="T18" s="63" t="e">
        <f>GETPIVOTDATA("Valorisation des gestes co/dédommagement - valorisation de la marque.",'TCD BO par titre'!$A$4,"MOIS",$J$4,"Titre2",$A$13)</f>
        <v>#REF!</v>
      </c>
      <c r="U18" s="64" t="e">
        <f>GETPIVOTDATA("Valorisation client.",'TCD BO par titre'!$A$4,"MOIS",$J$4,"Titre2",$A$13)</f>
        <v>#REF!</v>
      </c>
      <c r="V18" s="62" t="e">
        <f>GETPIVOTDATA("Pose du contact - PRN.",'TCD BO par titre'!$A$4,"MOIS",$J$4,"Titre2",$A$13)</f>
        <v>#REF!</v>
      </c>
      <c r="W18" s="64" t="e">
        <f>GETPIVOTDATA("Commentaire.",'TCD BO par titre'!$A$4,"MOIS",$J$4,"Titre2",$A$13)</f>
        <v>#REF!</v>
      </c>
      <c r="Y18" s="62" t="e">
        <f t="shared" si="0"/>
        <v>#REF!</v>
      </c>
      <c r="Z18" s="63" t="e">
        <f t="shared" si="1"/>
        <v>#REF!</v>
      </c>
      <c r="AA18" s="63" t="e">
        <f t="shared" si="2"/>
        <v>#REF!</v>
      </c>
      <c r="AB18" s="63" t="e">
        <f t="shared" si="3"/>
        <v>#REF!</v>
      </c>
      <c r="AC18" s="63" t="e">
        <f t="shared" si="4"/>
        <v>#REF!</v>
      </c>
      <c r="AD18" s="64" t="e">
        <f t="shared" si="5"/>
        <v>#REF!</v>
      </c>
    </row>
    <row r="19" spans="1:37" ht="15" x14ac:dyDescent="0.2">
      <c r="B19" s="66" t="str">
        <f>CONCATENATE(B3," ",K4)</f>
        <v>MOIS : Novembre</v>
      </c>
      <c r="C19" s="76" t="e">
        <f>GETPIVOTDATA("Identification (ou création) du dossier.",'TCD BO'!$A$4,"MOIS",$K$4)</f>
        <v>#REF!</v>
      </c>
      <c r="D19" s="77" t="e">
        <f>GETPIVOTDATA("MAJ des coordonnées postales.",'TCD BO'!$A$4,"MOIS",$K$4)</f>
        <v>#REF!</v>
      </c>
      <c r="E19" s="78" t="e">
        <f>GETPIVOTDATA("MAJ des moyens de communication (téléphone, adresse électronique).",'TCD BO'!$A$4,"MOIS",$K$4)</f>
        <v>#REF!</v>
      </c>
      <c r="F19" s="76" t="e">
        <f>GETPIVOTDATA("Analyse de la demande, des commandes et de l'historique des échanges.",'TCD BO'!$A$4,"MOIS",$K$4)</f>
        <v>#REF!</v>
      </c>
      <c r="G19" s="78" t="e">
        <f>GETPIVOTDATA("MAJ des con issances produit (intranet, etc.).",'TCD BO'!$A$4,"MOIS",$K$4)</f>
        <v>#REF!</v>
      </c>
      <c r="H19" s="76" t="e">
        <f>GETPIVOTDATA("Respect des procédures.",'TCD BO'!$A$4,"MOIS",$K$4)</f>
        <v>#REF!</v>
      </c>
      <c r="I19" s="77" t="e">
        <f>GETPIVOTDATA("Respect des règles de gestion (cm, anomalie portage, etc.).",'TCD BO'!$A$4,"MOIS",$K$4)</f>
        <v>#REF!</v>
      </c>
      <c r="J19" s="78" t="e">
        <f>GETPIVOTDATA("Appel à l'assistance/cellule prio - Escalade vers le niveau 2.",'TCD BO'!$A$4,"MOIS",$K$4)</f>
        <v>#REF!</v>
      </c>
      <c r="K19" s="76" t="e">
        <f>GETPIVOTDATA("Choix du modèle-type.",'TCD BO'!$A$4,"MOIS",$K$4)</f>
        <v>#REF!</v>
      </c>
      <c r="L19" s="78" t="e">
        <f>GETPIVOTDATA("Réponse correcte et complète - Résolution au premier contact.",'TCD BO'!$A$4,"MOIS",$K$4)</f>
        <v>#REF!</v>
      </c>
      <c r="M19" s="76" t="e">
        <f>GETPIVOTDATA("Aucune faute de grammaire ou d'orthographe.",'TCD BO'!$A$4,"MOIS",$K$4)</f>
        <v>#REF!</v>
      </c>
      <c r="N19" s="77" t="e">
        <f>GETPIVOTDATA("Syntaxe claire et ponctuée.",'TCD BO'!$A$4,"MOIS",$K$4)</f>
        <v>#REF!</v>
      </c>
      <c r="O19" s="77" t="e">
        <f>GETPIVOTDATA("Adresse mail expéditeur et destinataire.",'TCD BO'!$A$4,"MOIS",$K$4)</f>
        <v>#REF!</v>
      </c>
      <c r="P19" s="77" t="e">
        <f>GETPIVOTDATA("Personnalisation de la réponse.",'TCD BO'!$A$4,"MOIS",$K$4)</f>
        <v>#REF!</v>
      </c>
      <c r="Q19" s="77" t="e">
        <f>GETPIVOTDATA("Entête nominative - formule de politesse et prise de congé adaptées.",'TCD BO'!$A$4,"MOIS",$K$4)</f>
        <v>#REF!</v>
      </c>
      <c r="R19" s="77" t="e">
        <f>GETPIVOTDATA("Accompagnement client - sens du service.",'TCD BO'!$A$4,"MOIS",$K$4)</f>
        <v>#REF!</v>
      </c>
      <c r="S19" s="77" t="e">
        <f>GETPIVOTDATA("Présentation et mise en valeur des offres.",'TCD BO'!$A$4,"MOIS",$K$4)</f>
        <v>#REF!</v>
      </c>
      <c r="T19" s="77" t="e">
        <f>GETPIVOTDATA("Valorisation des gestes co/dédommagement - valorisation de la marque.",'TCD BO'!$A$4,"MOIS",$K$4)</f>
        <v>#REF!</v>
      </c>
      <c r="U19" s="78" t="e">
        <f>GETPIVOTDATA("Valorisation client.",'TCD BO'!$A$4,"MOIS",$K$4)</f>
        <v>#REF!</v>
      </c>
      <c r="V19" s="76" t="e">
        <f>GETPIVOTDATA("Pose du contact - PRN.",'TCD BO'!$A$4,"MOIS",$K$4)</f>
        <v>#REF!</v>
      </c>
      <c r="W19" s="78" t="e">
        <f>GETPIVOTDATA("Commentaire.",'TCD BO'!$A$4,"MOIS",$K$4)</f>
        <v>#REF!</v>
      </c>
      <c r="Y19" s="76" t="e">
        <f t="shared" si="0"/>
        <v>#REF!</v>
      </c>
      <c r="Z19" s="77" t="e">
        <f t="shared" si="1"/>
        <v>#REF!</v>
      </c>
      <c r="AA19" s="77" t="e">
        <f t="shared" si="2"/>
        <v>#REF!</v>
      </c>
      <c r="AB19" s="77" t="e">
        <f t="shared" si="3"/>
        <v>#REF!</v>
      </c>
      <c r="AC19" s="77" t="e">
        <f t="shared" si="4"/>
        <v>#REF!</v>
      </c>
      <c r="AD19" s="78" t="e">
        <f t="shared" si="5"/>
        <v>#REF!</v>
      </c>
    </row>
    <row r="20" spans="1:37" ht="15" x14ac:dyDescent="0.2">
      <c r="A20" s="57" t="s">
        <v>74</v>
      </c>
      <c r="B20" s="67" t="str">
        <f>VLOOKUP(A20,Correspondance!$I$3:$J$6,2,FALSE)</f>
        <v>Courrier Internationnal</v>
      </c>
      <c r="C20" s="60">
        <f>GETPIVOTDATA("Identification (ou création) du dossier.",'TCD BO par titre'!$A$4,"MOIS",$D$3,"Titre2",$A$10)</f>
        <v>1</v>
      </c>
      <c r="D20" s="41" t="e">
        <f>GETPIVOTDATA("MAJ des coordonnées postales.",'TCD BO par titre'!$A$4,"MOIS",$K$4,"Titre2",$A$10)</f>
        <v>#REF!</v>
      </c>
      <c r="E20" s="61" t="e">
        <f>GETPIVOTDATA("MAJ des moyens de communication (téléphone, adresse électronique).",'TCD BO par titre'!$A$4,"MOIS",$K$4,"Titre2",$A$10)</f>
        <v>#REF!</v>
      </c>
      <c r="F20" s="60" t="e">
        <f>GETPIVOTDATA("Analyse de la demande, des commandes et de l'historique des échanges.",'TCD BO par titre'!$A$4,"MOIS",$K$4,"Titre2",$A$10)</f>
        <v>#REF!</v>
      </c>
      <c r="G20" s="61" t="e">
        <f>GETPIVOTDATA("MAJ des con issances produit (intranet, etc.).",'TCD BO par titre'!$A$4,"MOIS",$K$4,"Titre2",$A$10)</f>
        <v>#REF!</v>
      </c>
      <c r="H20" s="60" t="e">
        <f>GETPIVOTDATA("Respect des procédures.",'TCD BO par titre'!$A$4,"MOIS",$K$4,"Titre2",$A$10)</f>
        <v>#REF!</v>
      </c>
      <c r="I20" s="41" t="e">
        <f>GETPIVOTDATA("Respect des règles de gestion (cm, anomalie portage, etc.).",'TCD BO par titre'!$A$4,"MOIS",$K$4,"Titre2",$A$10)</f>
        <v>#REF!</v>
      </c>
      <c r="J20" s="61" t="e">
        <f>GETPIVOTDATA("Appel à l'assistance/cellule prio - Escalade vers le niveau 2.",'TCD BO par titre'!$A$4,"MOIS",$K$4,"Titre2",$A$10)</f>
        <v>#REF!</v>
      </c>
      <c r="K20" s="60" t="e">
        <f>GETPIVOTDATA("Choix du modèle-type.",'TCD BO par titre'!$A$4,"MOIS",$K$4,"Titre2",$A$10)</f>
        <v>#REF!</v>
      </c>
      <c r="L20" s="61" t="e">
        <f>GETPIVOTDATA("Réponse correcte et complète - Résolution au premier contact.",'TCD BO par titre'!$A$4,"MOIS",$K$4,"Titre2",$A$10)</f>
        <v>#REF!</v>
      </c>
      <c r="M20" s="60" t="e">
        <f>GETPIVOTDATA("Aucune faute de grammaire ou d'orthographe.",'TCD BO par titre'!$A$4,"MOIS",$K$4,"Titre2",$A$10)</f>
        <v>#REF!</v>
      </c>
      <c r="N20" s="41" t="e">
        <f>GETPIVOTDATA("Syntaxe claire et ponctuée.",'TCD BO par titre'!$A$4,"MOIS",$K$4,"Titre2",$A$10)</f>
        <v>#REF!</v>
      </c>
      <c r="O20" s="41" t="e">
        <f>GETPIVOTDATA("Adresse mail expéditeur et destinataire.",'TCD BO par titre'!$A$4,"MOIS",$K$4,"Titre2",$A$10)</f>
        <v>#REF!</v>
      </c>
      <c r="P20" s="41" t="e">
        <f>GETPIVOTDATA("Personnalisation de la réponse.",'TCD BO par titre'!$A$4,"MOIS",$K$4,"Titre2",$A$10)</f>
        <v>#REF!</v>
      </c>
      <c r="Q20" s="41" t="e">
        <f>GETPIVOTDATA("Entête nominative - formule de politesse et prise de congé adaptées.",'TCD BO par titre'!$A$4,"MOIS",$K$4,"Titre2",$A$10)</f>
        <v>#REF!</v>
      </c>
      <c r="R20" s="41" t="e">
        <f>GETPIVOTDATA("Accompagnement client - sens du service.",'TCD BO par titre'!$A$4,"MOIS",$K$4,"Titre2",$A$10)</f>
        <v>#REF!</v>
      </c>
      <c r="S20" s="41" t="e">
        <f>GETPIVOTDATA("Présentation et mise en valeur des offres.",'TCD BO par titre'!$A$4,"MOIS",$K$4,"Titre2",$A$10)</f>
        <v>#REF!</v>
      </c>
      <c r="T20" s="41" t="e">
        <f>GETPIVOTDATA("Valorisation des gestes co/dédommagement - valorisation de la marque.",'TCD BO par titre'!$A$4,"MOIS",$K$4,"Titre2",$A$10)</f>
        <v>#REF!</v>
      </c>
      <c r="U20" s="61" t="e">
        <f>GETPIVOTDATA("Valorisation client.",'TCD BO par titre'!$A$4,"MOIS",$K$4,"Titre2",$A$10)</f>
        <v>#REF!</v>
      </c>
      <c r="V20" s="60" t="e">
        <f>GETPIVOTDATA("Pose du contact - PRN.",'TCD BO par titre'!$A$4,"MOIS",$K$4,"Titre2",$A$10)</f>
        <v>#REF!</v>
      </c>
      <c r="W20" s="61" t="e">
        <f>GETPIVOTDATA("Commentaire.",'TCD BO par titre'!$A$4,"MOIS",$K$4,"Titre2",$A$10)</f>
        <v>#REF!</v>
      </c>
      <c r="Y20" s="60" t="e">
        <f t="shared" si="0"/>
        <v>#REF!</v>
      </c>
      <c r="Z20" s="41" t="e">
        <f t="shared" si="1"/>
        <v>#REF!</v>
      </c>
      <c r="AA20" s="41" t="e">
        <f t="shared" si="2"/>
        <v>#REF!</v>
      </c>
      <c r="AB20" s="41" t="e">
        <f t="shared" si="3"/>
        <v>#REF!</v>
      </c>
      <c r="AC20" s="41" t="e">
        <f t="shared" si="4"/>
        <v>#REF!</v>
      </c>
      <c r="AD20" s="61" t="e">
        <f t="shared" si="5"/>
        <v>#REF!</v>
      </c>
    </row>
    <row r="21" spans="1:37" ht="15" x14ac:dyDescent="0.2">
      <c r="A21" s="57" t="s">
        <v>99</v>
      </c>
      <c r="B21" s="67" t="str">
        <f>VLOOKUP(A21,Correspondance!$I$3:$J$6,2,FALSE)</f>
        <v>Le Monde.FR</v>
      </c>
      <c r="C21" s="60">
        <f>GETPIVOTDATA("Identification (ou création) du dossier.",'TCD BO par titre'!$A$4,"MOIS",$D$3,"Titre2",$A$11)</f>
        <v>1</v>
      </c>
      <c r="D21" s="41" t="e">
        <f>GETPIVOTDATA("MAJ des coordonnées postales.",'TCD BO par titre'!$A$4,"MOIS",$K$4,"Titre2",$A$11)</f>
        <v>#REF!</v>
      </c>
      <c r="E21" s="61" t="e">
        <f>GETPIVOTDATA("MAJ des moyens de communication (téléphone, adresse électronique).",'TCD BO par titre'!$A$4,"MOIS",$K$4,"Titre2",$A$11)</f>
        <v>#REF!</v>
      </c>
      <c r="F21" s="60" t="e">
        <f>GETPIVOTDATA("Analyse de la demande, des commandes et de l'historique des échanges.",'TCD BO par titre'!$A$4,"MOIS",$K$4,"Titre2",$A$11)</f>
        <v>#REF!</v>
      </c>
      <c r="G21" s="61" t="e">
        <f>GETPIVOTDATA("MAJ des con issances produit (intranet, etc.).",'TCD BO par titre'!$A$4,"MOIS",$K$4,"Titre2",$A$11)</f>
        <v>#REF!</v>
      </c>
      <c r="H21" s="60" t="e">
        <f>GETPIVOTDATA("Respect des procédures.",'TCD BO par titre'!$A$4,"MOIS",$K$4,"Titre2",$A$11)</f>
        <v>#REF!</v>
      </c>
      <c r="I21" s="41" t="e">
        <f>GETPIVOTDATA("Respect des règles de gestion (cm, anomalie portage, etc.).",'TCD BO par titre'!$A$4,"MOIS",$K$4,"Titre2",$A$11)</f>
        <v>#REF!</v>
      </c>
      <c r="J21" s="61" t="e">
        <f>GETPIVOTDATA("Appel à l'assistance/cellule prio - Escalade vers le niveau 2.",'TCD BO par titre'!$A$4,"MOIS",$K$4,"Titre2",$A$11)</f>
        <v>#REF!</v>
      </c>
      <c r="K21" s="60" t="e">
        <f>GETPIVOTDATA("Choix du modèle-type.",'TCD BO par titre'!$A$4,"MOIS",$K$4,"Titre2",$A$11)</f>
        <v>#REF!</v>
      </c>
      <c r="L21" s="61" t="e">
        <f>GETPIVOTDATA("Réponse correcte et complète - Résolution au premier contact.",'TCD BO par titre'!$A$4,"MOIS",$K$4,"Titre2",$A$11)</f>
        <v>#REF!</v>
      </c>
      <c r="M21" s="60" t="e">
        <f>GETPIVOTDATA("Aucune faute de grammaire ou d'orthographe.",'TCD BO par titre'!$A$4,"MOIS",$K$4,"Titre2",$A$11)</f>
        <v>#REF!</v>
      </c>
      <c r="N21" s="41" t="e">
        <f>GETPIVOTDATA("Syntaxe claire et ponctuée.",'TCD BO par titre'!$A$4,"MOIS",$K$4,"Titre2",$A$11)</f>
        <v>#REF!</v>
      </c>
      <c r="O21" s="41" t="e">
        <f>GETPIVOTDATA("Adresse mail expéditeur et destinataire.",'TCD BO par titre'!$A$4,"MOIS",$K$4,"Titre2",$A$11)</f>
        <v>#REF!</v>
      </c>
      <c r="P21" s="41" t="e">
        <f>GETPIVOTDATA("Personnalisation de la réponse.",'TCD BO par titre'!$A$4,"MOIS",$K$4,"Titre2",$A$11)</f>
        <v>#REF!</v>
      </c>
      <c r="Q21" s="41" t="e">
        <f>GETPIVOTDATA("Entête nominative - formule de politesse et prise de congé adaptées.",'TCD BO par titre'!$A$4,"MOIS",$K$4,"Titre2",$A$11)</f>
        <v>#REF!</v>
      </c>
      <c r="R21" s="41" t="e">
        <f>GETPIVOTDATA("Accompagnement client - sens du service.",'TCD BO par titre'!$A$4,"MOIS",$K$4,"Titre2",$A$11)</f>
        <v>#REF!</v>
      </c>
      <c r="S21" s="41" t="e">
        <f>GETPIVOTDATA("Présentation et mise en valeur des offres.",'TCD BO par titre'!$A$4,"MOIS",$K$4,"Titre2",$A$11)</f>
        <v>#REF!</v>
      </c>
      <c r="T21" s="41" t="e">
        <f>GETPIVOTDATA("Valorisation des gestes co/dédommagement - valorisation de la marque.",'TCD BO par titre'!$A$4,"MOIS",$K$4,"Titre2",$A$11)</f>
        <v>#REF!</v>
      </c>
      <c r="U21" s="61" t="e">
        <f>GETPIVOTDATA("Valorisation client.",'TCD BO par titre'!$A$4,"MOIS",$K$4,"Titre2",$A$11)</f>
        <v>#REF!</v>
      </c>
      <c r="V21" s="60" t="e">
        <f>GETPIVOTDATA("Pose du contact - PRN.",'TCD BO par titre'!$A$4,"MOIS",$K$4,"Titre2",$A$11)</f>
        <v>#REF!</v>
      </c>
      <c r="W21" s="61" t="e">
        <f>GETPIVOTDATA("Commentaire.",'TCD BO par titre'!$A$4,"MOIS",$K$4,"Titre2",$A$11)</f>
        <v>#REF!</v>
      </c>
      <c r="Y21" s="60" t="e">
        <f t="shared" si="0"/>
        <v>#REF!</v>
      </c>
      <c r="Z21" s="41" t="e">
        <f t="shared" si="1"/>
        <v>#REF!</v>
      </c>
      <c r="AA21" s="41" t="e">
        <f t="shared" si="2"/>
        <v>#REF!</v>
      </c>
      <c r="AB21" s="41" t="e">
        <f t="shared" si="3"/>
        <v>#REF!</v>
      </c>
      <c r="AC21" s="41" t="e">
        <f t="shared" si="4"/>
        <v>#REF!</v>
      </c>
      <c r="AD21" s="61" t="e">
        <f t="shared" si="5"/>
        <v>#REF!</v>
      </c>
    </row>
    <row r="22" spans="1:37" ht="15" x14ac:dyDescent="0.2">
      <c r="A22" s="57" t="s">
        <v>175</v>
      </c>
      <c r="B22" s="67" t="str">
        <f>VLOOKUP(A22,Correspondance!$I$3:$J$6,2,FALSE)</f>
        <v>Le Monde Diplomatique</v>
      </c>
      <c r="C22" s="60">
        <f>GETPIVOTDATA("Identification (ou création) du dossier.",'TCD BO par titre'!$A$4,"MOIS",$D$3,"Titre2",$A$12)</f>
        <v>1</v>
      </c>
      <c r="D22" s="41" t="e">
        <f>GETPIVOTDATA("MAJ des coordonnées postales.",'TCD BO par titre'!$A$4,"MOIS",$K$4,"Titre2",$A$12)</f>
        <v>#REF!</v>
      </c>
      <c r="E22" s="61" t="e">
        <f>GETPIVOTDATA("MAJ des moyens de communication (téléphone, adresse électronique).",'TCD BO par titre'!$A$4,"MOIS",$K$4,"Titre2",$A$12)</f>
        <v>#REF!</v>
      </c>
      <c r="F22" s="60" t="e">
        <f>GETPIVOTDATA("Analyse de la demande, des commandes et de l'historique des échanges.",'TCD BO par titre'!$A$4,"MOIS",$K$4,"Titre2",$A$12)</f>
        <v>#REF!</v>
      </c>
      <c r="G22" s="61" t="e">
        <f>GETPIVOTDATA("MAJ des con issances produit (intranet, etc.).",'TCD BO par titre'!$A$4,"MOIS",$K$4,"Titre2",$A$12)</f>
        <v>#REF!</v>
      </c>
      <c r="H22" s="60" t="e">
        <f>GETPIVOTDATA("Respect des procédures.",'TCD BO par titre'!$A$4,"MOIS",$K$4,"Titre2",$A$12)</f>
        <v>#REF!</v>
      </c>
      <c r="I22" s="41" t="e">
        <f>GETPIVOTDATA("Respect des règles de gestion (cm, anomalie portage, etc.).",'TCD BO par titre'!$A$4,"MOIS",$K$4,"Titre2",$A$12)</f>
        <v>#REF!</v>
      </c>
      <c r="J22" s="61" t="e">
        <f>GETPIVOTDATA("Appel à l'assistance/cellule prio - Escalade vers le niveau 2.",'TCD BO par titre'!$A$4,"MOIS",$K$4,"Titre2",$A$12)</f>
        <v>#REF!</v>
      </c>
      <c r="K22" s="60" t="e">
        <f>GETPIVOTDATA("Choix du modèle-type.",'TCD BO par titre'!$A$4,"MOIS",$K$4,"Titre2",$A$12)</f>
        <v>#REF!</v>
      </c>
      <c r="L22" s="61" t="e">
        <f>GETPIVOTDATA("Réponse correcte et complète - Résolution au premier contact.",'TCD BO par titre'!$A$4,"MOIS",$K$4,"Titre2",$A$12)</f>
        <v>#REF!</v>
      </c>
      <c r="M22" s="60" t="e">
        <f>GETPIVOTDATA("Aucune faute de grammaire ou d'orthographe.",'TCD BO par titre'!$A$4,"MOIS",$K$4,"Titre2",$A$12)</f>
        <v>#REF!</v>
      </c>
      <c r="N22" s="41" t="e">
        <f>GETPIVOTDATA("Syntaxe claire et ponctuée.",'TCD BO par titre'!$A$4,"MOIS",$K$4,"Titre2",$A$12)</f>
        <v>#REF!</v>
      </c>
      <c r="O22" s="41" t="e">
        <f>GETPIVOTDATA("Adresse mail expéditeur et destinataire.",'TCD BO par titre'!$A$4,"MOIS",$K$4,"Titre2",$A$12)</f>
        <v>#REF!</v>
      </c>
      <c r="P22" s="41" t="e">
        <f>GETPIVOTDATA("Personnalisation de la réponse.",'TCD BO par titre'!$A$4,"MOIS",$K$4,"Titre2",$A$12)</f>
        <v>#REF!</v>
      </c>
      <c r="Q22" s="41" t="e">
        <f>GETPIVOTDATA("Entête nominative - formule de politesse et prise de congé adaptées.",'TCD BO par titre'!$A$4,"MOIS",$K$4,"Titre2",$A$12)</f>
        <v>#REF!</v>
      </c>
      <c r="R22" s="41" t="e">
        <f>GETPIVOTDATA("Accompagnement client - sens du service.",'TCD BO par titre'!$A$4,"MOIS",$K$4,"Titre2",$A$12)</f>
        <v>#REF!</v>
      </c>
      <c r="S22" s="41" t="e">
        <f>GETPIVOTDATA("Présentation et mise en valeur des offres.",'TCD BO par titre'!$A$4,"MOIS",$K$4,"Titre2",$A$12)</f>
        <v>#REF!</v>
      </c>
      <c r="T22" s="41" t="e">
        <f>GETPIVOTDATA("Valorisation des gestes co/dédommagement - valorisation de la marque.",'TCD BO par titre'!$A$4,"MOIS",$K$4,"Titre2",$A$12)</f>
        <v>#REF!</v>
      </c>
      <c r="U22" s="61" t="e">
        <f>GETPIVOTDATA("Valorisation client.",'TCD BO par titre'!$A$4,"MOIS",$K$4,"Titre2",$A$12)</f>
        <v>#REF!</v>
      </c>
      <c r="V22" s="60" t="e">
        <f>GETPIVOTDATA("Pose du contact - PRN.",'TCD BO par titre'!$A$4,"MOIS",$K$4,"Titre2",$A$12)</f>
        <v>#REF!</v>
      </c>
      <c r="W22" s="61" t="e">
        <f>GETPIVOTDATA("Commentaire.",'TCD BO par titre'!$A$4,"MOIS",$K$4,"Titre2",$A$12)</f>
        <v>#REF!</v>
      </c>
      <c r="Y22" s="60" t="e">
        <f t="shared" si="0"/>
        <v>#REF!</v>
      </c>
      <c r="Z22" s="41" t="e">
        <f t="shared" si="1"/>
        <v>#REF!</v>
      </c>
      <c r="AA22" s="41" t="e">
        <f t="shared" si="2"/>
        <v>#REF!</v>
      </c>
      <c r="AB22" s="41" t="e">
        <f t="shared" si="3"/>
        <v>#REF!</v>
      </c>
      <c r="AC22" s="41" t="e">
        <f t="shared" si="4"/>
        <v>#REF!</v>
      </c>
      <c r="AD22" s="61" t="e">
        <f t="shared" si="5"/>
        <v>#REF!</v>
      </c>
    </row>
    <row r="23" spans="1:37" ht="15.75" thickBot="1" x14ac:dyDescent="0.25">
      <c r="A23" s="57" t="s">
        <v>47</v>
      </c>
      <c r="B23" s="68" t="str">
        <f>VLOOKUP(A23,Correspondance!$I$3:$J$6,2,FALSE)</f>
        <v>SEM</v>
      </c>
      <c r="C23" s="62">
        <f>GETPIVOTDATA("Identification (ou création) du dossier.",'TCD BO par titre'!$A$4,"MOIS",$D$3,"Titre2",$A$13)</f>
        <v>1</v>
      </c>
      <c r="D23" s="63" t="e">
        <f>GETPIVOTDATA("MAJ des coordonnées postales.",'TCD BO par titre'!$A$4,"MOIS",$K$4,"Titre2",$A$13)</f>
        <v>#REF!</v>
      </c>
      <c r="E23" s="64" t="e">
        <f>GETPIVOTDATA("MAJ des moyens de communication (téléphone, adresse électronique).",'TCD BO par titre'!$A$4,"MOIS",$K$4,"Titre2",$A$13)</f>
        <v>#REF!</v>
      </c>
      <c r="F23" s="62" t="e">
        <f>GETPIVOTDATA("Analyse de la demande, des commandes et de l'historique des échanges.",'TCD BO par titre'!$A$4,"MOIS",$K$4,"Titre2",$A$13)</f>
        <v>#REF!</v>
      </c>
      <c r="G23" s="64" t="e">
        <f>GETPIVOTDATA("MAJ des con issances produit (intranet, etc.).",'TCD BO par titre'!$A$4,"MOIS",$K$4,"Titre2",$A$13)</f>
        <v>#REF!</v>
      </c>
      <c r="H23" s="62" t="e">
        <f>GETPIVOTDATA("Respect des procédures.",'TCD BO par titre'!$A$4,"MOIS",$K$4,"Titre2",$A$13)</f>
        <v>#REF!</v>
      </c>
      <c r="I23" s="63" t="e">
        <f>GETPIVOTDATA("Respect des règles de gestion (cm, anomalie portage, etc.).",'TCD BO par titre'!$A$4,"MOIS",$K$4,"Titre2",$A$13)</f>
        <v>#REF!</v>
      </c>
      <c r="J23" s="64" t="e">
        <f>GETPIVOTDATA("Appel à l'assistance/cellule prio - Escalade vers le niveau 2.",'TCD BO par titre'!$A$4,"MOIS",$K$4,"Titre2",$A$13)</f>
        <v>#REF!</v>
      </c>
      <c r="K23" s="62" t="e">
        <f>GETPIVOTDATA("Choix du modèle-type.",'TCD BO par titre'!$A$4,"MOIS",$K$4,"Titre2",$A$13)</f>
        <v>#REF!</v>
      </c>
      <c r="L23" s="64" t="e">
        <f>GETPIVOTDATA("Réponse correcte et complète - Résolution au premier contact.",'TCD BO par titre'!$A$4,"MOIS",$K$4,"Titre2",$A$13)</f>
        <v>#REF!</v>
      </c>
      <c r="M23" s="62" t="e">
        <f>GETPIVOTDATA("Aucune faute de grammaire ou d'orthographe.",'TCD BO par titre'!$A$4,"MOIS",$K$4,"Titre2",$A$13)</f>
        <v>#REF!</v>
      </c>
      <c r="N23" s="63" t="e">
        <f>GETPIVOTDATA("Syntaxe claire et ponctuée.",'TCD BO par titre'!$A$4,"MOIS",$K$4,"Titre2",$A$13)</f>
        <v>#REF!</v>
      </c>
      <c r="O23" s="63" t="e">
        <f>GETPIVOTDATA("Adresse mail expéditeur et destinataire.",'TCD BO par titre'!$A$4,"MOIS",$K$4,"Titre2",$A$13)</f>
        <v>#REF!</v>
      </c>
      <c r="P23" s="63" t="e">
        <f>GETPIVOTDATA("Personnalisation de la réponse.",'TCD BO par titre'!$A$4,"MOIS",$K$4,"Titre2",$A$13)</f>
        <v>#REF!</v>
      </c>
      <c r="Q23" s="63" t="e">
        <f>GETPIVOTDATA("Entête nominative - formule de politesse et prise de congé adaptées.",'TCD BO par titre'!$A$4,"MOIS",$K$4,"Titre2",$A$13)</f>
        <v>#REF!</v>
      </c>
      <c r="R23" s="63" t="e">
        <f>GETPIVOTDATA("Accompagnement client - sens du service.",'TCD BO par titre'!$A$4,"MOIS",$K$4,"Titre2",$A$13)</f>
        <v>#REF!</v>
      </c>
      <c r="S23" s="63" t="e">
        <f>GETPIVOTDATA("Présentation et mise en valeur des offres.",'TCD BO par titre'!$A$4,"MOIS",$K$4,"Titre2",$A$13)</f>
        <v>#REF!</v>
      </c>
      <c r="T23" s="63" t="e">
        <f>GETPIVOTDATA("Valorisation des gestes co/dédommagement - valorisation de la marque.",'TCD BO par titre'!$A$4,"MOIS",$K$4,"Titre2",$A$13)</f>
        <v>#REF!</v>
      </c>
      <c r="U23" s="64" t="e">
        <f>GETPIVOTDATA("Valorisation client.",'TCD BO par titre'!$A$4,"MOIS",$K$4,"Titre2",$A$13)</f>
        <v>#REF!</v>
      </c>
      <c r="V23" s="62" t="e">
        <f>GETPIVOTDATA("Pose du contact - PRN.",'TCD BO par titre'!$A$4,"MOIS",$K$4,"Titre2",$A$13)</f>
        <v>#REF!</v>
      </c>
      <c r="W23" s="64" t="e">
        <f>GETPIVOTDATA("Commentaire.",'TCD BO par titre'!$A$4,"MOIS",$K$4,"Titre2",$A$13)</f>
        <v>#REF!</v>
      </c>
      <c r="Y23" s="62" t="e">
        <f t="shared" si="0"/>
        <v>#REF!</v>
      </c>
      <c r="Z23" s="63" t="e">
        <f t="shared" si="1"/>
        <v>#REF!</v>
      </c>
      <c r="AA23" s="63" t="e">
        <f t="shared" si="2"/>
        <v>#REF!</v>
      </c>
      <c r="AB23" s="63" t="e">
        <f t="shared" si="3"/>
        <v>#REF!</v>
      </c>
      <c r="AC23" s="63" t="e">
        <f t="shared" si="4"/>
        <v>#REF!</v>
      </c>
      <c r="AD23" s="64" t="e">
        <f t="shared" si="5"/>
        <v>#REF!</v>
      </c>
    </row>
    <row r="24" spans="1:37" x14ac:dyDescent="0.2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</row>
    <row r="25" spans="1:37" ht="409.5" customHeight="1" x14ac:dyDescent="0.2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</row>
    <row r="27" spans="1:37" ht="36" customHeight="1" x14ac:dyDescent="0.2">
      <c r="B27" s="123" t="str">
        <f>CONCATENATE("Suivi FO de ",K4," à ",D3," - évolution par Item sur 3 mois")</f>
        <v>Suivi FO de Novembre à Janvier - évolution par Item sur 3 mois</v>
      </c>
      <c r="C27" s="123"/>
      <c r="D27" s="123"/>
      <c r="E27" s="123"/>
      <c r="F27" s="123"/>
      <c r="G27" s="123"/>
      <c r="H27" s="123"/>
      <c r="I27" s="123"/>
      <c r="J27" s="123"/>
      <c r="K27" s="123"/>
      <c r="L27" s="123"/>
      <c r="M27" s="123"/>
      <c r="N27" s="123"/>
      <c r="O27" s="123"/>
      <c r="P27" s="123"/>
      <c r="Q27" s="123"/>
      <c r="R27" s="123"/>
      <c r="S27" s="123"/>
      <c r="T27" s="123"/>
      <c r="U27" s="123"/>
      <c r="V27" s="123"/>
      <c r="W27" s="123"/>
      <c r="X27" s="123"/>
      <c r="Y27" s="123"/>
      <c r="Z27" s="123"/>
      <c r="AA27" s="123"/>
      <c r="AB27" s="123"/>
      <c r="AC27" s="123"/>
    </row>
    <row r="29" spans="1:37" ht="13.5" thickBot="1" x14ac:dyDescent="0.25"/>
    <row r="30" spans="1:37" ht="244.5" thickBot="1" x14ac:dyDescent="0.25">
      <c r="B30" s="65"/>
      <c r="C30" s="73" t="s">
        <v>455</v>
      </c>
      <c r="D30" s="74" t="s">
        <v>456</v>
      </c>
      <c r="E30" s="74" t="s">
        <v>457</v>
      </c>
      <c r="F30" s="74" t="s">
        <v>458</v>
      </c>
      <c r="G30" s="75" t="s">
        <v>459</v>
      </c>
      <c r="H30" s="73" t="s">
        <v>460</v>
      </c>
      <c r="I30" s="74" t="s">
        <v>461</v>
      </c>
      <c r="J30" s="74" t="s">
        <v>462</v>
      </c>
      <c r="K30" s="74" t="s">
        <v>463</v>
      </c>
      <c r="L30" s="75" t="s">
        <v>464</v>
      </c>
      <c r="M30" s="100" t="s">
        <v>465</v>
      </c>
      <c r="N30" s="74" t="s">
        <v>466</v>
      </c>
      <c r="O30" s="74" t="s">
        <v>438</v>
      </c>
      <c r="P30" s="74" t="s">
        <v>467</v>
      </c>
      <c r="Q30" s="74" t="s">
        <v>468</v>
      </c>
      <c r="R30" s="74" t="s">
        <v>469</v>
      </c>
      <c r="S30" s="75" t="s">
        <v>470</v>
      </c>
      <c r="T30" s="73" t="s">
        <v>471</v>
      </c>
      <c r="U30" s="74" t="s">
        <v>472</v>
      </c>
      <c r="V30" s="74" t="s">
        <v>473</v>
      </c>
      <c r="W30" s="74" t="s">
        <v>474</v>
      </c>
      <c r="X30" s="93" t="s">
        <v>481</v>
      </c>
      <c r="Y30" s="73" t="s">
        <v>475</v>
      </c>
      <c r="Z30" s="74" t="s">
        <v>476</v>
      </c>
      <c r="AA30" s="75" t="s">
        <v>477</v>
      </c>
      <c r="AB30" s="73" t="s">
        <v>447</v>
      </c>
      <c r="AC30" s="74" t="s">
        <v>478</v>
      </c>
      <c r="AD30" s="75" t="s">
        <v>479</v>
      </c>
      <c r="AF30" s="82" t="s">
        <v>148</v>
      </c>
      <c r="AG30" s="83" t="s">
        <v>149</v>
      </c>
      <c r="AH30" s="83" t="s">
        <v>150</v>
      </c>
      <c r="AI30" s="83" t="s">
        <v>151</v>
      </c>
      <c r="AJ30" s="83" t="s">
        <v>152</v>
      </c>
      <c r="AK30" s="84" t="s">
        <v>153</v>
      </c>
    </row>
    <row r="31" spans="1:37" s="87" customFormat="1" ht="16.5" thickBot="1" x14ac:dyDescent="0.3">
      <c r="A31" s="85"/>
      <c r="B31" s="97" t="str">
        <f>CONCATENATE(B3," ",D3)</f>
        <v>MOIS : Janvier</v>
      </c>
      <c r="C31" s="106">
        <f>GETPIVOTDATA("Phrase d'accueil et présentation complète.",'TCD FO'!$A$3,"MOIS",$D$3)</f>
        <v>1</v>
      </c>
      <c r="D31" s="95">
        <f>GETPIVOTDATA("Identification client.",'TCD FO'!$A$3,"MOIS",$D$3)</f>
        <v>1</v>
      </c>
      <c r="E31" s="95">
        <f>GETPIVOTDATA("Vérification et MAJ de l'adresse électronique.",'TCD FO'!$A$3,"MOIS",$D$3)</f>
        <v>0.83132530120481929</v>
      </c>
      <c r="F31" s="95">
        <f>GETPIVOTDATA("Vérification et MAJ du numéro de téléphone.",'TCD FO'!$A$3,"MOIS",$D$3)</f>
        <v>0.82926829268292679</v>
      </c>
      <c r="G31" s="96">
        <f>GETPIVOTDATA("Vérification et MAJ de l'adresse postale.",'TCD FO'!$A$3,"MOIS",$D$3)</f>
        <v>0.9642857142857143</v>
      </c>
      <c r="H31" s="106">
        <f>GETPIVOTDATA("Directivité - Maîtrise de l'entretien.",'TCD FO'!$A$3,"MOIS",$D$3)</f>
        <v>0.95348837209302328</v>
      </c>
      <c r="I31" s="95">
        <f>GETPIVOTDATA("Ecoute active/implication.",'TCD FO'!$A$3,"MOIS",$D$3)</f>
        <v>0.95348837209302328</v>
      </c>
      <c r="J31" s="95">
        <f>GETPIVOTDATA("Ton, débit, volume, empathie.",'TCD FO'!$A$3,"MOIS",$D$3)</f>
        <v>0.94186046511627908</v>
      </c>
      <c r="K31" s="95">
        <f>GETPIVOTDATA("Vocabulaire, jargon, utilisation du JE et du présent, syntaxe.",'TCD FO'!$A$3,"MOIS",$D$3)</f>
        <v>0.97674418604651159</v>
      </c>
      <c r="L31" s="96">
        <f>GETPIVOTDATA("Amabilité, courtoisie, sourire.",'TCD FO'!$A$3,"MOIS",$D$3)</f>
        <v>0.97674418604651159</v>
      </c>
      <c r="M31" s="106">
        <f>GETPIVOTDATA("Reformulation.",'TCD FO'!$A$3,"MOIS",$D$3)</f>
        <v>0.62790697674418605</v>
      </c>
      <c r="N31" s="95">
        <f>GETPIVOTDATA("Questionnement.",'TCD FO'!$A$3,"MOIS",$D$3)</f>
        <v>0.91860465116279066</v>
      </c>
      <c r="O31" s="95">
        <f>GETPIVOTDATA("Réponse correcte et complète - Résolution au premier contact.",'TCD FO'!$A$3,"MOIS",$D$3)</f>
        <v>0.90697674418604646</v>
      </c>
      <c r="P31" s="95">
        <f>GETPIVOTDATA("Traitement des objections.",'TCD FO'!$A$3,"MOIS",$D$3)</f>
        <v>0.88372093023255816</v>
      </c>
      <c r="Q31" s="95">
        <f>GETPIVOTDATA("Fiabilisation.",'TCD FO'!$A$3,"MOIS",$D$3)</f>
        <v>0.98780487804878048</v>
      </c>
      <c r="R31" s="95">
        <f>GETPIVOTDATA("Mise en attente.",'TCD FO'!$A$3,"MOIS",$D$3)</f>
        <v>0.90909090909090906</v>
      </c>
      <c r="S31" s="96">
        <f>GETPIVOTDATA("Actions nécessaires effectuées - Respect des procédures.",'TCD FO'!$A$3,"MOIS",$D$3)</f>
        <v>0.92771084337349397</v>
      </c>
      <c r="T31" s="106">
        <f>GETPIVOTDATA("Actions nécessaires effectuées - Respect des procédures.",'TCD FO'!$A$3,"MOIS",$D$3)</f>
        <v>0.92771084337349397</v>
      </c>
      <c r="U31" s="95">
        <f>GETPIVOTDATA("Utilisation de l'historique client.",'TCD FO'!$A$3,"MOIS",$D$3)</f>
        <v>0.93827160493827155</v>
      </c>
      <c r="V31" s="95">
        <f>GETPIVOTDATA("Accompagnement et valorisation du client.",'TCD FO'!$A$3,"MOIS",$D$3)</f>
        <v>0.92682926829268297</v>
      </c>
      <c r="W31" s="95">
        <f>GETPIVOTDATA("Valorisation du service et/ou du produit.",'TCD FO'!$A$3,"MOIS",$D$3)</f>
        <v>0.80246913580246915</v>
      </c>
      <c r="X31" s="96" t="e">
        <f>GETPIVOTDATA("MAJ des connaissances produit (intranet, etc.).",'TCD FO'!$A$3,"MOIS",$D$3)</f>
        <v>#REF!</v>
      </c>
      <c r="Y31" s="106">
        <f>GETPIVOTDATA("Verrouillage.",'TCD FO'!$A$3,"MOIS",$D$3)</f>
        <v>0.81927710843373491</v>
      </c>
      <c r="Z31" s="95">
        <f>GETPIVOTDATA("Remerciement.",'TCD FO'!$A$3,"MOIS",$D$3)</f>
        <v>0.97619047619047616</v>
      </c>
      <c r="AA31" s="96">
        <f>GETPIVOTDATA("Souhaite quelque chose d'agréable.",'TCD FO'!$A$3,"MOIS",$D$3)</f>
        <v>0.98809523809523814</v>
      </c>
      <c r="AB31" s="101">
        <f>GETPIVOTDATA("Pose du contact - PRN.",'TCD FO'!$A$3,"MOIS",$D$3)</f>
        <v>1</v>
      </c>
      <c r="AC31" s="95">
        <f>GETPIVOTDATA("Commentaires de contacts.",'TCD FO'!$A$3,"MOIS",$D$3)</f>
        <v>0.95294117647058818</v>
      </c>
      <c r="AD31" s="96">
        <f>GETPIVOTDATA("Communication sortante.",'TCD FO'!$A$3,"MOIS",$D$3)</f>
        <v>0.81818181818181823</v>
      </c>
      <c r="AF31" s="88">
        <f>AVERAGE(C31:G31)</f>
        <v>0.92497586163469203</v>
      </c>
      <c r="AG31" s="86">
        <f>AVERAGE(H31:L31)</f>
        <v>0.96046511627906983</v>
      </c>
      <c r="AH31" s="86">
        <f>AVERAGE(M31:S31)</f>
        <v>0.88025941897696647</v>
      </c>
      <c r="AI31" s="86" t="e">
        <f>AVERAGE(T31:X31)</f>
        <v>#REF!</v>
      </c>
      <c r="AJ31" s="86">
        <f>AVERAGE(Y31:AA31)</f>
        <v>0.92785427423981648</v>
      </c>
      <c r="AK31" s="89">
        <f>AVERAGE(AB31:AD31)</f>
        <v>0.92370766488413547</v>
      </c>
    </row>
    <row r="32" spans="1:37" ht="15" x14ac:dyDescent="0.2">
      <c r="A32" s="57" t="s">
        <v>74</v>
      </c>
      <c r="B32" s="71" t="str">
        <f>VLOOKUP(A32,Correspondance!$I$3:$J$6,2,FALSE)</f>
        <v>Courrier Internationnal</v>
      </c>
      <c r="C32" s="79">
        <f>GETPIVOTDATA("Phrase d'accueil et présentation complète.",'TCD FO par titre'!$A$3,"MOIS",$D$3,"Titre2",$A$32)</f>
        <v>1</v>
      </c>
      <c r="D32" s="80">
        <f>GETPIVOTDATA("Identification client.",'TCD FO par titre'!$A$3,"MOIS",$D$3,"Titre2",$A$32)</f>
        <v>1</v>
      </c>
      <c r="E32" s="80">
        <f>GETPIVOTDATA("Vérification et MAJ de l'adresse électronique.",'TCD FO par titre'!$A$3,"MOIS",$D$3,"Titre2",$A$32)</f>
        <v>0.7857142857142857</v>
      </c>
      <c r="F32" s="80">
        <f>GETPIVOTDATA("Vérification et MAJ du numéro de téléphone.",'TCD FO par titre'!$A$3,"MOIS",$D$3,"Titre2",$A$32)</f>
        <v>0.8571428571428571</v>
      </c>
      <c r="G32" s="81">
        <f>GETPIVOTDATA("Vérification et MAJ de l'adresse postale.",'TCD FO par titre'!$A$3,"MOIS",$D$3,"Titre2",$A$32)</f>
        <v>1</v>
      </c>
      <c r="H32" s="79">
        <f>GETPIVOTDATA("Directivité - Maîtrise de l'entretien.",'TCD FO par titre'!$A$3,"MOIS",$D$3,"Titre2",$A$32)</f>
        <v>1</v>
      </c>
      <c r="I32" s="80">
        <f>GETPIVOTDATA("Ecoute active/implication.",'TCD FO par titre'!$A$3,"MOIS",$D$3,"Titre2",$A$32)</f>
        <v>1</v>
      </c>
      <c r="J32" s="80">
        <f>GETPIVOTDATA("Ton, débit, volume, empathie.",'TCD FO par titre'!$A$3,"MOIS",$D$3,"Titre2",$A$32)</f>
        <v>0.9285714285714286</v>
      </c>
      <c r="K32" s="80">
        <f>GETPIVOTDATA("Vocabulaire, jargon, utilisation du JE et du présent, syntaxe.",'TCD FO par titre'!$A$3,"MOIS",$D$3,"Titre2",$A$32)</f>
        <v>1</v>
      </c>
      <c r="L32" s="81">
        <f>GETPIVOTDATA("Amabilité, courtoisie, sourire.",'TCD FO par titre'!$A$3,"MOIS",$D$3,"Titre2",$A$32)</f>
        <v>1</v>
      </c>
      <c r="M32" s="79">
        <f>GETPIVOTDATA("Reformulation.",'TCD FO par titre'!$A$3,"MOIS",$D$3,"Titre2",$A$32)</f>
        <v>0.9285714285714286</v>
      </c>
      <c r="N32" s="80">
        <f>GETPIVOTDATA("Questionnement.",'TCD FO par titre'!$A$3,"MOIS",$D$3,"Titre2",$A$32)</f>
        <v>1</v>
      </c>
      <c r="O32" s="80">
        <f>GETPIVOTDATA("Réponse correcte et complète - Résolution au premier contact.",'TCD FO par titre'!$A$3,"MOIS",$D$3,"Titre2",$A$32)</f>
        <v>0.7857142857142857</v>
      </c>
      <c r="P32" s="80">
        <f>GETPIVOTDATA("Traitement des objections.",'TCD FO par titre'!$A$3,"MOIS",$D$3,"Titre2",$A$32)</f>
        <v>1</v>
      </c>
      <c r="Q32" s="80">
        <f>GETPIVOTDATA("Fiabilisation.",'TCD FO par titre'!$A$3,"MOIS",$D$3,"Titre2",$A$32)</f>
        <v>1</v>
      </c>
      <c r="R32" s="80">
        <f>GETPIVOTDATA("Mise en attente.",'TCD FO par titre'!$A$3,"MOIS",$D$3,"Titre2",$A$32)</f>
        <v>1</v>
      </c>
      <c r="S32" s="81">
        <f>GETPIVOTDATA("Actions nécessaires effectuées - Respect des procédures.",'TCD FO par titre'!$A$3,"MOIS",$D$3,"Titre2",$A$32)</f>
        <v>1</v>
      </c>
      <c r="T32" s="79">
        <f>GETPIVOTDATA("Actions nécessaires effectuées - Respect des procédures.",'TCD FO par titre'!$A$3,"MOIS",$D$3,"Titre2",$A$32)</f>
        <v>1</v>
      </c>
      <c r="U32" s="80">
        <f>GETPIVOTDATA("Utilisation de l'historique client.",'TCD FO par titre'!$A$3,"MOIS",$D$3,"Titre2",$A$32)</f>
        <v>1</v>
      </c>
      <c r="V32" s="80">
        <f>GETPIVOTDATA("Accompagnement et valorisation du client.",'TCD FO par titre'!$A$3,"MOIS",$D$3,"Titre2",$A$32)</f>
        <v>0.8571428571428571</v>
      </c>
      <c r="W32" s="80">
        <f>GETPIVOTDATA("Valorisation du service et/ou du produit.",'TCD FO par titre'!$A$3,"MOIS",$D$3,"Titre2",$A$32)</f>
        <v>0.7857142857142857</v>
      </c>
      <c r="X32" s="81" t="e">
        <f>GETPIVOTDATA("MAJ des connaissances produit (intranet, etc.).",'TCD FO par titre'!$A$3,"MOIS",$D$3,"Titre2",$A$32)</f>
        <v>#REF!</v>
      </c>
      <c r="Y32" s="79">
        <f>GETPIVOTDATA("Verrouillage.",'TCD FO par titre'!$A$3,"MOIS",$D$3,"Titre2",$A$32)</f>
        <v>1</v>
      </c>
      <c r="Z32" s="80">
        <f>GETPIVOTDATA("Remerciement.",'TCD FO par titre'!$A$3,"MOIS",$D$3,"Titre2",$A$32)</f>
        <v>1</v>
      </c>
      <c r="AA32" s="81">
        <f>GETPIVOTDATA("Souhaite quelque chose d'agréable.",'TCD FO par titre'!$A$3,"MOIS",$D$3,"Titre2",$A$32)</f>
        <v>1</v>
      </c>
      <c r="AB32" s="102">
        <f>GETPIVOTDATA("Pose du contact - PRN.",'TCD FO par titre'!$A$3,"MOIS",$D$3,"Titre2",$A$32)</f>
        <v>1</v>
      </c>
      <c r="AC32" s="80">
        <f>GETPIVOTDATA("Commentaires de contacts.",'TCD FO par titre'!$A$3,"MOIS",$D$3,"Titre2",$A$32)</f>
        <v>1</v>
      </c>
      <c r="AD32" s="81">
        <f>GETPIVOTDATA("Communication sortante.",'TCD FO par titre'!$A$3,"MOIS",$D$3,"Titre2",$A$32)</f>
        <v>1</v>
      </c>
      <c r="AF32" s="60">
        <f t="shared" ref="AF32:AF45" si="6">AVERAGE(C32:G32)</f>
        <v>0.92857142857142849</v>
      </c>
      <c r="AG32" s="41">
        <f t="shared" ref="AG32:AG45" si="7">AVERAGE(H32:L32)</f>
        <v>0.98571428571428577</v>
      </c>
      <c r="AH32" s="41">
        <f t="shared" ref="AH32:AH45" si="8">AVERAGE(M32:S32)</f>
        <v>0.95918367346938782</v>
      </c>
      <c r="AI32" s="41" t="e">
        <f t="shared" ref="AI32:AI45" si="9">AVERAGE(T32:X32)</f>
        <v>#REF!</v>
      </c>
      <c r="AJ32" s="41">
        <f t="shared" ref="AJ32:AJ45" si="10">AVERAGE(Y32:AA32)</f>
        <v>1</v>
      </c>
      <c r="AK32" s="61">
        <f t="shared" ref="AK32:AK45" si="11">AVERAGE(AB32:AD32)</f>
        <v>1</v>
      </c>
    </row>
    <row r="33" spans="1:37" ht="15" x14ac:dyDescent="0.2">
      <c r="A33" s="57" t="s">
        <v>99</v>
      </c>
      <c r="B33" s="98" t="str">
        <f>VLOOKUP(A33,Correspondance!$I$3:$J$6,2,FALSE)</f>
        <v>Le Monde.FR</v>
      </c>
      <c r="C33" s="60">
        <f>GETPIVOTDATA("Phrase d'accueil et présentation complète.",'TCD FO par titre'!$A$3,"MOIS",$D$3,"Titre2",$A$33)</f>
        <v>1</v>
      </c>
      <c r="D33" s="41">
        <f>GETPIVOTDATA("Identification client.",'TCD FO par titre'!$A$3,"MOIS",$D$3,"Titre2",$A$33)</f>
        <v>1</v>
      </c>
      <c r="E33" s="41">
        <f>GETPIVOTDATA("Vérification et MAJ de l'adresse électronique.",'TCD FO par titre'!$A$3,"MOIS",$D$3,"Titre2",$A$33)</f>
        <v>1</v>
      </c>
      <c r="F33" s="41">
        <f>GETPIVOTDATA("Vérification et MAJ du numéro de téléphone.",'TCD FO par titre'!$A$3,"MOIS",$D$3,"Titre2",$A$33)</f>
        <v>0.66666666666666663</v>
      </c>
      <c r="G33" s="61">
        <f>GETPIVOTDATA("Vérification et MAJ de l'adresse postale.",'TCD FO par titre'!$A$3,"MOIS",$D$3,"Titre2",$A$33)</f>
        <v>1</v>
      </c>
      <c r="H33" s="60">
        <f>GETPIVOTDATA("Directivité - Maîtrise de l'entretien.",'TCD FO par titre'!$A$3,"MOIS",$D$3,"Titre2",$A$33)</f>
        <v>1</v>
      </c>
      <c r="I33" s="41">
        <f>GETPIVOTDATA("Ecoute active/implication.",'TCD FO par titre'!$A$3,"MOIS",$D$3,"Titre2",$A$33)</f>
        <v>1</v>
      </c>
      <c r="J33" s="41">
        <f>GETPIVOTDATA("Ton, débit, volume, empathie.",'TCD FO par titre'!$A$3,"MOIS",$D$3,"Titre2",$A$33)</f>
        <v>1</v>
      </c>
      <c r="K33" s="41">
        <f>GETPIVOTDATA("Vocabulaire, jargon, utilisation du JE et du présent, syntaxe.",'TCD FO par titre'!$A$3,"MOIS",$D$3,"Titre2",$A$33)</f>
        <v>1</v>
      </c>
      <c r="L33" s="61">
        <f>GETPIVOTDATA("Amabilité, courtoisie, sourire.",'TCD FO par titre'!$A$3,"MOIS",$D$3,"Titre2",$A$33)</f>
        <v>1</v>
      </c>
      <c r="M33" s="60">
        <f>GETPIVOTDATA("Reformulation.",'TCD FO par titre'!$A$3,"MOIS",$D$3,"Titre2",$A$33)</f>
        <v>0</v>
      </c>
      <c r="N33" s="41">
        <f>GETPIVOTDATA("Questionnement.",'TCD FO par titre'!$A$3,"MOIS",$D$3,"Titre2",$A$33)</f>
        <v>0.66666666666666663</v>
      </c>
      <c r="O33" s="41">
        <f>GETPIVOTDATA("Réponse correcte et complète - Résolution au premier contact.",'TCD FO par titre'!$A$3,"MOIS",$D$3,"Titre2",$A$33)</f>
        <v>1</v>
      </c>
      <c r="P33" s="41">
        <f>GETPIVOTDATA("Traitement des objections.",'TCD FO par titre'!$A$3,"MOIS",$D$3,"Titre2",$A$33)</f>
        <v>1</v>
      </c>
      <c r="Q33" s="41">
        <f>GETPIVOTDATA("Fiabilisation.",'TCD FO par titre'!$A$3,"MOIS",$D$3,"Titre2",$A$33)</f>
        <v>1</v>
      </c>
      <c r="R33" s="41" t="str">
        <f>GETPIVOTDATA("Mise en attente.",'TCD FO par titre'!$A$3,"MOIS",$D$3,"Titre2",$A$33)</f>
        <v>NA</v>
      </c>
      <c r="S33" s="61">
        <f>GETPIVOTDATA("Actions nécessaires effectuées - Respect des procédures.",'TCD FO par titre'!$A$3,"MOIS",$D$3,"Titre2",$A$33)</f>
        <v>1</v>
      </c>
      <c r="T33" s="60">
        <f>GETPIVOTDATA("Actions nécessaires effectuées - Respect des procédures.",'TCD FO par titre'!$A$3,"MOIS",$D$3,"Titre2",$A$33)</f>
        <v>1</v>
      </c>
      <c r="U33" s="41">
        <f>GETPIVOTDATA("Utilisation de l'historique client.",'TCD FO par titre'!$A$3,"MOIS",$D$3,"Titre2",$A$33)</f>
        <v>1</v>
      </c>
      <c r="V33" s="41">
        <f>GETPIVOTDATA("Accompagnement et valorisation du client.",'TCD FO par titre'!$A$3,"MOIS",$D$3,"Titre2",$A$33)</f>
        <v>1</v>
      </c>
      <c r="W33" s="41">
        <f>GETPIVOTDATA("Valorisation du service et/ou du produit.",'TCD FO par titre'!$A$3,"MOIS",$D$3,"Titre2",$A$33)</f>
        <v>0.66666666666666663</v>
      </c>
      <c r="X33" s="61" t="e">
        <f>GETPIVOTDATA("MAJ des connaissances produit (intranet, etc.).",'TCD FO par titre'!$A$3,"MOIS",$D$3,"Titre2",$A$33)</f>
        <v>#REF!</v>
      </c>
      <c r="Y33" s="60">
        <f>GETPIVOTDATA("Verrouillage.",'TCD FO par titre'!$A$3,"MOIS",$D$3,"Titre2",$A$33)</f>
        <v>0.33333333333333331</v>
      </c>
      <c r="Z33" s="41">
        <f>GETPIVOTDATA("Remerciement.",'TCD FO par titre'!$A$3,"MOIS",$D$3,"Titre2",$A$33)</f>
        <v>0.66666666666666663</v>
      </c>
      <c r="AA33" s="61">
        <f>GETPIVOTDATA("Souhaite quelque chose d'agréable.",'TCD FO par titre'!$A$3,"MOIS",$D$3,"Titre2",$A$33)</f>
        <v>1</v>
      </c>
      <c r="AB33" s="103">
        <f>GETPIVOTDATA("Pose du contact - PRN.",'TCD FO par titre'!$A$3,"MOIS",$D$3,"Titre2",$A$33)</f>
        <v>1</v>
      </c>
      <c r="AC33" s="41">
        <f>GETPIVOTDATA("Commentaires de contacts.",'TCD FO par titre'!$A$3,"MOIS",$D$3,"Titre2",$A$33)</f>
        <v>1</v>
      </c>
      <c r="AD33" s="61">
        <f>GETPIVOTDATA("Communication sortante.",'TCD FO par titre'!$A$3,"MOIS",$D$3,"Titre2",$A$33)</f>
        <v>1</v>
      </c>
      <c r="AF33" s="60">
        <f t="shared" si="6"/>
        <v>0.93333333333333324</v>
      </c>
      <c r="AG33" s="41">
        <f t="shared" si="7"/>
        <v>1</v>
      </c>
      <c r="AH33" s="41">
        <f t="shared" si="8"/>
        <v>0.77777777777777768</v>
      </c>
      <c r="AI33" s="41" t="e">
        <f t="shared" si="9"/>
        <v>#REF!</v>
      </c>
      <c r="AJ33" s="41">
        <f t="shared" si="10"/>
        <v>0.66666666666666663</v>
      </c>
      <c r="AK33" s="61">
        <f t="shared" si="11"/>
        <v>1</v>
      </c>
    </row>
    <row r="34" spans="1:37" ht="15" x14ac:dyDescent="0.2">
      <c r="A34" s="57" t="s">
        <v>175</v>
      </c>
      <c r="B34" s="98" t="str">
        <f>VLOOKUP(A34,Correspondance!$I$3:$J$6,2,FALSE)</f>
        <v>Le Monde Diplomatique</v>
      </c>
      <c r="C34" s="60">
        <f>GETPIVOTDATA("Phrase d'accueil et présentation complète.",'TCD FO par titre'!$A$3,"MOIS",$D$3,"Titre2",$A$34)</f>
        <v>1</v>
      </c>
      <c r="D34" s="41">
        <f>GETPIVOTDATA("Identification client.",'TCD FO par titre'!$A$3,"MOIS",$D$3,"Titre2",$A$34)</f>
        <v>1</v>
      </c>
      <c r="E34" s="41">
        <f>GETPIVOTDATA("Vérification et MAJ de l'adresse électronique.",'TCD FO par titre'!$A$3,"MOIS",$D$3,"Titre2",$A$34)</f>
        <v>0.83333333333333337</v>
      </c>
      <c r="F34" s="41">
        <f>GETPIVOTDATA("Vérification et MAJ du numéro de téléphone.",'TCD FO par titre'!$A$3,"MOIS",$D$3,"Titre2",$A$34)</f>
        <v>0.83333333333333337</v>
      </c>
      <c r="G34" s="61">
        <f>GETPIVOTDATA("Vérification et MAJ de l'adresse postale.",'TCD FO par titre'!$A$3,"MOIS",$D$3,"Titre2",$A$34)</f>
        <v>0.83333333333333337</v>
      </c>
      <c r="H34" s="60">
        <f>GETPIVOTDATA("Directivité - Maîtrise de l'entretien.",'TCD FO par titre'!$A$3,"MOIS",$D$3,"Titre2",$A$34)</f>
        <v>1</v>
      </c>
      <c r="I34" s="41">
        <f>GETPIVOTDATA("Ecoute active/implication.",'TCD FO par titre'!$A$3,"MOIS",$D$3,"Titre2",$A$34)</f>
        <v>1</v>
      </c>
      <c r="J34" s="41">
        <f>GETPIVOTDATA("Ton, débit, volume, empathie.",'TCD FO par titre'!$A$3,"MOIS",$D$3,"Titre2",$A$34)</f>
        <v>1</v>
      </c>
      <c r="K34" s="41">
        <f>GETPIVOTDATA("Vocabulaire, jargon, utilisation du JE et du présent, syntaxe.",'TCD FO par titre'!$A$3,"MOIS",$D$3,"Titre2",$A$34)</f>
        <v>1</v>
      </c>
      <c r="L34" s="61">
        <f>GETPIVOTDATA("Amabilité, courtoisie, sourire.",'TCD FO par titre'!$A$3,"MOIS",$D$3,"Titre2",$A$34)</f>
        <v>1</v>
      </c>
      <c r="M34" s="60">
        <f>GETPIVOTDATA("Reformulation.",'TCD FO par titre'!$A$3,"MOIS",$D$3,"Titre2",$A$34)</f>
        <v>1</v>
      </c>
      <c r="N34" s="41">
        <f>GETPIVOTDATA("Questionnement.",'TCD FO par titre'!$A$3,"MOIS",$D$3,"Titre2",$A$34)</f>
        <v>1</v>
      </c>
      <c r="O34" s="41">
        <f>GETPIVOTDATA("Réponse correcte et complète - Résolution au premier contact.",'TCD FO par titre'!$A$3,"MOIS",$D$3,"Titre2",$A$34)</f>
        <v>1</v>
      </c>
      <c r="P34" s="41">
        <f>GETPIVOTDATA("Traitement des objections.",'TCD FO par titre'!$A$3,"MOIS",$D$3,"Titre2",$A$34)</f>
        <v>1</v>
      </c>
      <c r="Q34" s="41">
        <f>GETPIVOTDATA("Fiabilisation.",'TCD FO par titre'!$A$3,"MOIS",$D$3,"Titre2",$A$34)</f>
        <v>1</v>
      </c>
      <c r="R34" s="41">
        <f>GETPIVOTDATA("Mise en attente.",'TCD FO par titre'!$A$3,"MOIS",$D$3,"Titre2",$A$34)</f>
        <v>1</v>
      </c>
      <c r="S34" s="61">
        <f>GETPIVOTDATA("Actions nécessaires effectuées - Respect des procédures.",'TCD FO par titre'!$A$3,"MOIS",$D$3,"Titre2",$A$34)</f>
        <v>1</v>
      </c>
      <c r="T34" s="60">
        <f>GETPIVOTDATA("Actions nécessaires effectuées - Respect des procédures.",'TCD FO par titre'!$A$3,"MOIS",$D$3,"Titre2",$A$34)</f>
        <v>1</v>
      </c>
      <c r="U34" s="41">
        <f>GETPIVOTDATA("Utilisation de l'historique client.",'TCD FO par titre'!$A$3,"MOIS",$D$3,"Titre2",$A$34)</f>
        <v>1</v>
      </c>
      <c r="V34" s="41">
        <f>GETPIVOTDATA("Accompagnement et valorisation du client.",'TCD FO par titre'!$A$3,"MOIS",$D$3,"Titre2",$A$34)</f>
        <v>1</v>
      </c>
      <c r="W34" s="41">
        <f>GETPIVOTDATA("Valorisation du service et/ou du produit.",'TCD FO par titre'!$A$3,"MOIS",$D$3,"Titre2",$A$34)</f>
        <v>1</v>
      </c>
      <c r="X34" s="61" t="e">
        <f>GETPIVOTDATA("MAJ des connaissances produit (intranet, etc.).",'TCD FO par titre'!$A$3,"MOIS",$D$3,"Titre2",$A$34)</f>
        <v>#REF!</v>
      </c>
      <c r="Y34" s="60">
        <f>GETPIVOTDATA("Verrouillage.",'TCD FO par titre'!$A$3,"MOIS",$D$3,"Titre2",$A$34)</f>
        <v>1</v>
      </c>
      <c r="Z34" s="41">
        <f>GETPIVOTDATA("Remerciement.",'TCD FO par titre'!$A$3,"MOIS",$D$3,"Titre2",$A$34)</f>
        <v>1</v>
      </c>
      <c r="AA34" s="61">
        <f>GETPIVOTDATA("Souhaite quelque chose d'agréable.",'TCD FO par titre'!$A$3,"MOIS",$D$3,"Titre2",$A$34)</f>
        <v>1</v>
      </c>
      <c r="AB34" s="103">
        <f>GETPIVOTDATA("Pose du contact - PRN.",'TCD FO par titre'!$A$3,"MOIS",$D$3,"Titre2",$A$34)</f>
        <v>1</v>
      </c>
      <c r="AC34" s="41">
        <f>GETPIVOTDATA("Commentaires de contacts.",'TCD FO par titre'!$A$3,"MOIS",$D$3,"Titre2",$A$34)</f>
        <v>1</v>
      </c>
      <c r="AD34" s="61">
        <f>GETPIVOTDATA("Communication sortante.",'TCD FO par titre'!$A$3,"MOIS",$D$3,"Titre2",$A$34)</f>
        <v>1</v>
      </c>
      <c r="AF34" s="60">
        <f t="shared" si="6"/>
        <v>0.9</v>
      </c>
      <c r="AG34" s="41">
        <f t="shared" si="7"/>
        <v>1</v>
      </c>
      <c r="AH34" s="41">
        <f t="shared" si="8"/>
        <v>1</v>
      </c>
      <c r="AI34" s="41" t="e">
        <f t="shared" si="9"/>
        <v>#REF!</v>
      </c>
      <c r="AJ34" s="41">
        <f t="shared" si="10"/>
        <v>1</v>
      </c>
      <c r="AK34" s="61">
        <f t="shared" si="11"/>
        <v>1</v>
      </c>
    </row>
    <row r="35" spans="1:37" ht="15.75" thickBot="1" x14ac:dyDescent="0.25">
      <c r="A35" s="57" t="s">
        <v>47</v>
      </c>
      <c r="B35" s="99" t="str">
        <f>VLOOKUP(A35,Correspondance!$I$3:$J$6,2,FALSE)</f>
        <v>SEM</v>
      </c>
      <c r="C35" s="62">
        <f>GETPIVOTDATA("Phrase d'accueil et présentation complète.",'TCD FO par titre'!$A$3,"MOIS",$D$3,"Titre2",$A$35)</f>
        <v>1</v>
      </c>
      <c r="D35" s="63">
        <f>GETPIVOTDATA("Identification client.",'TCD FO par titre'!$A$3,"MOIS",$D$3,"Titre2",$A$35)</f>
        <v>1</v>
      </c>
      <c r="E35" s="63">
        <f>GETPIVOTDATA("Vérification et MAJ de l'adresse électronique.",'TCD FO par titre'!$A$3,"MOIS",$D$3,"Titre2",$A$35)</f>
        <v>0.83333333333333337</v>
      </c>
      <c r="F35" s="63">
        <f>GETPIVOTDATA("Vérification et MAJ du numéro de téléphone.",'TCD FO par titre'!$A$3,"MOIS",$D$3,"Titre2",$A$35)</f>
        <v>0.83050847457627119</v>
      </c>
      <c r="G35" s="64">
        <f>GETPIVOTDATA("Vérification et MAJ de l'adresse postale.",'TCD FO par titre'!$A$3,"MOIS",$D$3,"Titre2",$A$35)</f>
        <v>0.96721311475409832</v>
      </c>
      <c r="H35" s="62">
        <f>GETPIVOTDATA("Directivité - Maîtrise de l'entretien.",'TCD FO par titre'!$A$3,"MOIS",$D$3,"Titre2",$A$35)</f>
        <v>0.93650793650793651</v>
      </c>
      <c r="I35" s="63">
        <f>GETPIVOTDATA("Ecoute active/implication.",'TCD FO par titre'!$A$3,"MOIS",$D$3,"Titre2",$A$35)</f>
        <v>0.93650793650793651</v>
      </c>
      <c r="J35" s="63">
        <f>GETPIVOTDATA("Ton, débit, volume, empathie.",'TCD FO par titre'!$A$3,"MOIS",$D$3,"Titre2",$A$35)</f>
        <v>0.93650793650793651</v>
      </c>
      <c r="K35" s="63">
        <f>GETPIVOTDATA("Vocabulaire, jargon, utilisation du JE et du présent, syntaxe.",'TCD FO par titre'!$A$3,"MOIS",$D$3,"Titre2",$A$35)</f>
        <v>0.96825396825396826</v>
      </c>
      <c r="L35" s="64">
        <f>GETPIVOTDATA("Amabilité, courtoisie, sourire.",'TCD FO par titre'!$A$3,"MOIS",$D$3,"Titre2",$A$35)</f>
        <v>0.96825396825396826</v>
      </c>
      <c r="M35" s="62">
        <f>GETPIVOTDATA("Reformulation.",'TCD FO par titre'!$A$3,"MOIS",$D$3,"Titre2",$A$35)</f>
        <v>0.55555555555555558</v>
      </c>
      <c r="N35" s="63">
        <f>GETPIVOTDATA("Questionnement.",'TCD FO par titre'!$A$3,"MOIS",$D$3,"Titre2",$A$35)</f>
        <v>0.90476190476190477</v>
      </c>
      <c r="O35" s="63">
        <f>GETPIVOTDATA("Réponse correcte et complète - Résolution au premier contact.",'TCD FO par titre'!$A$3,"MOIS",$D$3,"Titre2",$A$35)</f>
        <v>0.92063492063492058</v>
      </c>
      <c r="P35" s="63">
        <f>GETPIVOTDATA("Traitement des objections.",'TCD FO par titre'!$A$3,"MOIS",$D$3,"Titre2",$A$35)</f>
        <v>0.82758620689655171</v>
      </c>
      <c r="Q35" s="63">
        <f>GETPIVOTDATA("Fiabilisation.",'TCD FO par titre'!$A$3,"MOIS",$D$3,"Titre2",$A$35)</f>
        <v>0.98305084745762716</v>
      </c>
      <c r="R35" s="63">
        <f>GETPIVOTDATA("Mise en attente.",'TCD FO par titre'!$A$3,"MOIS",$D$3,"Titre2",$A$35)</f>
        <v>0.875</v>
      </c>
      <c r="S35" s="64">
        <f>GETPIVOTDATA("Actions nécessaires effectuées - Respect des procédures.",'TCD FO par titre'!$A$3,"MOIS",$D$3,"Titre2",$A$35)</f>
        <v>0.9</v>
      </c>
      <c r="T35" s="62">
        <f>GETPIVOTDATA("Actions nécessaires effectuées - Respect des procédures.",'TCD FO par titre'!$A$3,"MOIS",$D$3,"Titre2",$A$35)</f>
        <v>0.9</v>
      </c>
      <c r="U35" s="63">
        <f>GETPIVOTDATA("Utilisation de l'historique client.",'TCD FO par titre'!$A$3,"MOIS",$D$3,"Titre2",$A$35)</f>
        <v>0.91379310344827591</v>
      </c>
      <c r="V35" s="63">
        <f>GETPIVOTDATA("Accompagnement et valorisation du client.",'TCD FO par titre'!$A$3,"MOIS",$D$3,"Titre2",$A$35)</f>
        <v>0.93220338983050843</v>
      </c>
      <c r="W35" s="63">
        <f>GETPIVOTDATA("Valorisation du service et/ou du produit.",'TCD FO par titre'!$A$3,"MOIS",$D$3,"Titre2",$A$35)</f>
        <v>0.7931034482758621</v>
      </c>
      <c r="X35" s="64" t="e">
        <f>GETPIVOTDATA("MAJ des connaissances produit (intranet, etc.).",'TCD FO par titre'!$A$3,"MOIS",$D$3,"Titre2",$A$35)</f>
        <v>#REF!</v>
      </c>
      <c r="Y35" s="62">
        <f>GETPIVOTDATA("Verrouillage.",'TCD FO par titre'!$A$3,"MOIS",$D$3,"Titre2",$A$35)</f>
        <v>0.78333333333333333</v>
      </c>
      <c r="Z35" s="63">
        <f>GETPIVOTDATA("Remerciement.",'TCD FO par titre'!$A$3,"MOIS",$D$3,"Titre2",$A$35)</f>
        <v>0.98360655737704916</v>
      </c>
      <c r="AA35" s="64">
        <f>GETPIVOTDATA("Souhaite quelque chose d'agréable.",'TCD FO par titre'!$A$3,"MOIS",$D$3,"Titre2",$A$35)</f>
        <v>0.98360655737704916</v>
      </c>
      <c r="AB35" s="104">
        <f>GETPIVOTDATA("Pose du contact - PRN.",'TCD FO par titre'!$A$3,"MOIS",$D$3,"Titre2",$A$35)</f>
        <v>1</v>
      </c>
      <c r="AC35" s="63">
        <f>GETPIVOTDATA("Commentaires de contacts.",'TCD FO par titre'!$A$3,"MOIS",$D$3,"Titre2",$A$35)</f>
        <v>0.93650793650793651</v>
      </c>
      <c r="AD35" s="64">
        <f>GETPIVOTDATA("Communication sortante.",'TCD FO par titre'!$A$3,"MOIS",$D$3,"Titre2",$A$35)</f>
        <v>0.7142857142857143</v>
      </c>
      <c r="AF35" s="62">
        <f t="shared" si="6"/>
        <v>0.92621098453274053</v>
      </c>
      <c r="AG35" s="63">
        <f t="shared" si="7"/>
        <v>0.94920634920634916</v>
      </c>
      <c r="AH35" s="63">
        <f t="shared" si="8"/>
        <v>0.85236991932950856</v>
      </c>
      <c r="AI35" s="63" t="e">
        <f t="shared" si="9"/>
        <v>#REF!</v>
      </c>
      <c r="AJ35" s="63">
        <f t="shared" si="10"/>
        <v>0.91684881602914403</v>
      </c>
      <c r="AK35" s="64">
        <f t="shared" si="11"/>
        <v>0.8835978835978836</v>
      </c>
    </row>
    <row r="36" spans="1:37" s="87" customFormat="1" ht="16.5" thickBot="1" x14ac:dyDescent="0.3">
      <c r="A36" s="85"/>
      <c r="B36" s="97" t="str">
        <f>CONCATENATE(B3," ",J4)</f>
        <v>MOIS : Décembre</v>
      </c>
      <c r="C36" s="106" t="e">
        <f>GETPIVOTDATA("Phrase d'accueil et présentation complète.",'TCD FO'!$A$3,"MOIS",$J$4)</f>
        <v>#REF!</v>
      </c>
      <c r="D36" s="95" t="e">
        <f>GETPIVOTDATA("Identification client.",'TCD FO'!$A$3,"MOIS",$J$4)</f>
        <v>#REF!</v>
      </c>
      <c r="E36" s="95" t="e">
        <f>GETPIVOTDATA("Vérification et MAJ de l'adresse électronique.",'TCD FO'!$A$3,"MOIS",$J$4)</f>
        <v>#REF!</v>
      </c>
      <c r="F36" s="95" t="e">
        <f>GETPIVOTDATA("Vérification et MAJ du numéro de téléphone.",'TCD FO'!$A$3,"MOIS",$J$4)</f>
        <v>#REF!</v>
      </c>
      <c r="G36" s="96" t="e">
        <f>GETPIVOTDATA("Vérification et MAJ de l'adresse postale.",'TCD FO'!$A$3,"MOIS",$J$4)</f>
        <v>#REF!</v>
      </c>
      <c r="H36" s="106" t="e">
        <f>GETPIVOTDATA("Directivité - Maîtrise de l'entretien.",'TCD FO'!$A$3,"MOIS",$J$4)</f>
        <v>#REF!</v>
      </c>
      <c r="I36" s="95" t="e">
        <f>GETPIVOTDATA("Ecoute active/implication.",'TCD FO'!$A$3,"MOIS",$J$4)</f>
        <v>#REF!</v>
      </c>
      <c r="J36" s="95" t="e">
        <f>GETPIVOTDATA("Ton, débit, volume, empathie.",'TCD FO'!$A$3,"MOIS",$J$4)</f>
        <v>#REF!</v>
      </c>
      <c r="K36" s="95" t="e">
        <f>GETPIVOTDATA("Vocabulaire, jargon, utilisation du JE et du présent, syntaxe.",'TCD FO'!$A$3,"MOIS",$J$4)</f>
        <v>#REF!</v>
      </c>
      <c r="L36" s="96" t="e">
        <f>GETPIVOTDATA("Amabilité, courtoisie, sourire.",'TCD FO'!$A$3,"MOIS",$J$4)</f>
        <v>#REF!</v>
      </c>
      <c r="M36" s="106" t="e">
        <f>GETPIVOTDATA("Reformulation.",'TCD FO'!$A$3,"MOIS",$J$4)</f>
        <v>#REF!</v>
      </c>
      <c r="N36" s="95" t="e">
        <f>GETPIVOTDATA("Questionnement.",'TCD FO'!$A$3,"MOIS",$J$4)</f>
        <v>#REF!</v>
      </c>
      <c r="O36" s="95" t="e">
        <f>GETPIVOTDATA("Réponse correcte et complète - Résolution au premier contact.",'TCD FO'!$A$3,"MOIS",$J$4)</f>
        <v>#REF!</v>
      </c>
      <c r="P36" s="95" t="e">
        <f>GETPIVOTDATA("Traitement des objections.",'TCD FO'!$A$3,"MOIS",$J$4)</f>
        <v>#REF!</v>
      </c>
      <c r="Q36" s="95" t="e">
        <f>GETPIVOTDATA("Fiabilisation.",'TCD FO'!$A$3,"MOIS",$J$4)</f>
        <v>#REF!</v>
      </c>
      <c r="R36" s="95" t="e">
        <f>GETPIVOTDATA("Mise en attente.",'TCD FO'!$A$3,"MOIS",$J$4)</f>
        <v>#REF!</v>
      </c>
      <c r="S36" s="96" t="e">
        <f>GETPIVOTDATA("Actions nécessaires effectuées - Respect des procédures.",'TCD FO'!$A$3,"MOIS",$J$4)</f>
        <v>#REF!</v>
      </c>
      <c r="T36" s="106" t="e">
        <f>GETPIVOTDATA("Actions nécessaires effectuées - Respect des procédures.",'TCD FO'!$A$3,"MOIS",$J$4)</f>
        <v>#REF!</v>
      </c>
      <c r="U36" s="95" t="e">
        <f>GETPIVOTDATA("Utilisation de l'historique client.",'TCD FO'!$A$3,"MOIS",$J$4)</f>
        <v>#REF!</v>
      </c>
      <c r="V36" s="95" t="e">
        <f>GETPIVOTDATA("Accompagnement et valorisation du client.",'TCD FO'!$A$3,"MOIS",$J$4)</f>
        <v>#REF!</v>
      </c>
      <c r="W36" s="95" t="e">
        <f>GETPIVOTDATA("Valorisation du service et/ou du produit.",'TCD FO'!$A$3,"MOIS",$J$4)</f>
        <v>#REF!</v>
      </c>
      <c r="X36" s="96" t="e">
        <f>GETPIVOTDATA("MAJ des connaissances produit (intranet, etc.).",'TCD FO'!$A$3,"MOIS",$J$4)</f>
        <v>#REF!</v>
      </c>
      <c r="Y36" s="106" t="e">
        <f>GETPIVOTDATA("Verrouillage.",'TCD FO'!$A$3,"MOIS",$J$4)</f>
        <v>#REF!</v>
      </c>
      <c r="Z36" s="95" t="e">
        <f>GETPIVOTDATA("Remerciement.",'TCD FO'!$A$3,"MOIS",$J$4)</f>
        <v>#REF!</v>
      </c>
      <c r="AA36" s="96" t="e">
        <f>GETPIVOTDATA("Souhaite quelque chose d'agréable.",'TCD FO'!$A$3,"MOIS",$J$4)</f>
        <v>#REF!</v>
      </c>
      <c r="AB36" s="101" t="e">
        <f>GETPIVOTDATA("Pose du contact - PRN.",'TCD FO'!$A$3,"MOIS",$J$4)</f>
        <v>#REF!</v>
      </c>
      <c r="AC36" s="95" t="e">
        <f>GETPIVOTDATA("Commentaires de contacts.",'TCD FO'!$A$3,"MOIS",$J$4)</f>
        <v>#REF!</v>
      </c>
      <c r="AD36" s="96" t="e">
        <f>GETPIVOTDATA("Communication sortante.",'TCD FO'!$A$3,"MOIS",$J$4)</f>
        <v>#REF!</v>
      </c>
      <c r="AF36" s="90" t="e">
        <f t="shared" si="6"/>
        <v>#REF!</v>
      </c>
      <c r="AG36" s="91" t="e">
        <f t="shared" si="7"/>
        <v>#REF!</v>
      </c>
      <c r="AH36" s="91" t="e">
        <f t="shared" si="8"/>
        <v>#REF!</v>
      </c>
      <c r="AI36" s="91" t="e">
        <f t="shared" si="9"/>
        <v>#REF!</v>
      </c>
      <c r="AJ36" s="91" t="e">
        <f t="shared" si="10"/>
        <v>#REF!</v>
      </c>
      <c r="AK36" s="92" t="e">
        <f t="shared" si="11"/>
        <v>#REF!</v>
      </c>
    </row>
    <row r="37" spans="1:37" ht="15" x14ac:dyDescent="0.2">
      <c r="A37" s="57" t="s">
        <v>74</v>
      </c>
      <c r="B37" s="70" t="str">
        <f>VLOOKUP(A37,Correspondance!$I$3:$J$6,2,FALSE)</f>
        <v>Courrier Internationnal</v>
      </c>
      <c r="C37" s="76" t="e">
        <f>GETPIVOTDATA("Phrase d'accueil et présentation complète.",'TCD FO par titre'!$A$3,"MOIS",$J$4,"Titre2",$A$32)</f>
        <v>#REF!</v>
      </c>
      <c r="D37" s="77" t="e">
        <f>GETPIVOTDATA("Identification client.",'TCD FO par titre'!$A$3,"MOIS",$J$4,"Titre2",$A$32)</f>
        <v>#REF!</v>
      </c>
      <c r="E37" s="77" t="e">
        <f>GETPIVOTDATA("Vérification et MAJ de l'adresse électronique.",'TCD FO par titre'!$A$3,"MOIS",$J$4,"Titre2",$A$32)</f>
        <v>#REF!</v>
      </c>
      <c r="F37" s="77" t="e">
        <f>GETPIVOTDATA("Vérification et MAJ du numéro de téléphone.",'TCD FO par titre'!$A$3,"MOIS",$J$4,"Titre2",$A$32)</f>
        <v>#REF!</v>
      </c>
      <c r="G37" s="78" t="e">
        <f>GETPIVOTDATA("Vérification et MAJ de l'adresse postale.",'TCD FO par titre'!$A$3,"MOIS",$J$4,"Titre2",$A$32)</f>
        <v>#REF!</v>
      </c>
      <c r="H37" s="76" t="e">
        <f>GETPIVOTDATA("Directivité - Maîtrise de l'entretien.",'TCD FO par titre'!$A$3,"MOIS",$J$4,"Titre2",$A$32)</f>
        <v>#REF!</v>
      </c>
      <c r="I37" s="77" t="e">
        <f>GETPIVOTDATA("Ecoute active/implication.",'TCD FO par titre'!$A$3,"MOIS",$J$4,"Titre2",$A$32)</f>
        <v>#REF!</v>
      </c>
      <c r="J37" s="77" t="e">
        <f>GETPIVOTDATA("Ton, débit, volume, empathie.",'TCD FO par titre'!$A$3,"MOIS",$J$4,"Titre2",$A$32)</f>
        <v>#REF!</v>
      </c>
      <c r="K37" s="77" t="e">
        <f>GETPIVOTDATA("Vocabulaire, jargon, utilisation du JE et du présent, syntaxe.",'TCD FO par titre'!$A$3,"MOIS",$J$4,"Titre2",$A$32)</f>
        <v>#REF!</v>
      </c>
      <c r="L37" s="78" t="e">
        <f>GETPIVOTDATA("Amabilité, courtoisie, sourire.",'TCD FO par titre'!$A$3,"MOIS",$J$4,"Titre2",$A$32)</f>
        <v>#REF!</v>
      </c>
      <c r="M37" s="76" t="e">
        <f>GETPIVOTDATA("Reformulation.",'TCD FO par titre'!$A$3,"MOIS",$J$4,"Titre2",$A$32)</f>
        <v>#REF!</v>
      </c>
      <c r="N37" s="77" t="e">
        <f>GETPIVOTDATA("Questionnement.",'TCD FO par titre'!$A$3,"MOIS",$J$4,"Titre2",$A$32)</f>
        <v>#REF!</v>
      </c>
      <c r="O37" s="77" t="e">
        <f>GETPIVOTDATA("Réponse correcte et complète - Résolution au premier contact.",'TCD FO par titre'!$A$3,"MOIS",$J$4,"Titre2",$A$32)</f>
        <v>#REF!</v>
      </c>
      <c r="P37" s="77" t="e">
        <f>GETPIVOTDATA("Traitement des objections.",'TCD FO par titre'!$A$3,"MOIS",$J$4,"Titre2",$A$32)</f>
        <v>#REF!</v>
      </c>
      <c r="Q37" s="77" t="e">
        <f>GETPIVOTDATA("Fiabilisation.",'TCD FO par titre'!$A$3,"MOIS",$J$4,"Titre2",$A$32)</f>
        <v>#REF!</v>
      </c>
      <c r="R37" s="77" t="e">
        <f>GETPIVOTDATA("Mise en attente.",'TCD FO par titre'!$A$3,"MOIS",$J$4,"Titre2",$A$32)</f>
        <v>#REF!</v>
      </c>
      <c r="S37" s="78" t="e">
        <f>GETPIVOTDATA("Actions nécessaires effectuées - Respect des procédures.",'TCD FO par titre'!$A$3,"MOIS",$J$4,"Titre2",$A$32)</f>
        <v>#REF!</v>
      </c>
      <c r="T37" s="76" t="e">
        <f>GETPIVOTDATA("Actions nécessaires effectuées - Respect des procédures.",'TCD FO par titre'!$A$3,"MOIS",$J$4,"Titre2",$A$32)</f>
        <v>#REF!</v>
      </c>
      <c r="U37" s="77" t="e">
        <f>GETPIVOTDATA("Utilisation de l'historique client.",'TCD FO par titre'!$A$3,"MOIS",$J$4,"Titre2",$A$32)</f>
        <v>#REF!</v>
      </c>
      <c r="V37" s="77" t="e">
        <f>GETPIVOTDATA("Accompagnement et valorisation du client.",'TCD FO par titre'!$A$3,"MOIS",$J$4,"Titre2",$A$32)</f>
        <v>#REF!</v>
      </c>
      <c r="W37" s="77" t="e">
        <f>GETPIVOTDATA("Valorisation du service et/ou du produit.",'TCD FO par titre'!$A$3,"MOIS",$J$4,"Titre2",$A$32)</f>
        <v>#REF!</v>
      </c>
      <c r="X37" s="78" t="e">
        <f>GETPIVOTDATA("MAJ des connaissances produit (intranet, etc.).",'TCD FO par titre'!$A$3,"MOIS",$J$4,"Titre2",$A$32)</f>
        <v>#REF!</v>
      </c>
      <c r="Y37" s="76" t="e">
        <f>GETPIVOTDATA("Verrouillage.",'TCD FO par titre'!$A$3,"MOIS",$J$4,"Titre2",$A$32)</f>
        <v>#REF!</v>
      </c>
      <c r="Z37" s="77" t="e">
        <f>GETPIVOTDATA("Remerciement.",'TCD FO par titre'!$A$3,"MOIS",$J$4,"Titre2",$A$32)</f>
        <v>#REF!</v>
      </c>
      <c r="AA37" s="78" t="e">
        <f>GETPIVOTDATA("Souhaite quelque chose d'agréable.",'TCD FO par titre'!$A$3,"MOIS",$J$4,"Titre2",$A$32)</f>
        <v>#REF!</v>
      </c>
      <c r="AB37" s="105" t="e">
        <f>GETPIVOTDATA("Pose du contact - PRN.",'TCD FO par titre'!$A$3,"MOIS",$J$4,"Titre2",$A$32)</f>
        <v>#REF!</v>
      </c>
      <c r="AC37" s="77" t="e">
        <f>GETPIVOTDATA("Commentaires de contacts.",'TCD FO par titre'!$A$3,"MOIS",$J$4,"Titre2",$A$32)</f>
        <v>#REF!</v>
      </c>
      <c r="AD37" s="78" t="e">
        <f>GETPIVOTDATA("Communication sortante.",'TCD FO par titre'!$A$3,"MOIS",$J$4,"Titre2",$A$32)</f>
        <v>#REF!</v>
      </c>
      <c r="AF37" s="60" t="e">
        <f t="shared" si="6"/>
        <v>#REF!</v>
      </c>
      <c r="AG37" s="41" t="e">
        <f t="shared" si="7"/>
        <v>#REF!</v>
      </c>
      <c r="AH37" s="41" t="e">
        <f t="shared" si="8"/>
        <v>#REF!</v>
      </c>
      <c r="AI37" s="41" t="e">
        <f t="shared" si="9"/>
        <v>#REF!</v>
      </c>
      <c r="AJ37" s="41" t="e">
        <f t="shared" si="10"/>
        <v>#REF!</v>
      </c>
      <c r="AK37" s="61" t="e">
        <f t="shared" si="11"/>
        <v>#REF!</v>
      </c>
    </row>
    <row r="38" spans="1:37" ht="15" x14ac:dyDescent="0.2">
      <c r="A38" s="57" t="s">
        <v>99</v>
      </c>
      <c r="B38" s="98" t="str">
        <f>VLOOKUP(A38,Correspondance!$I$3:$J$6,2,FALSE)</f>
        <v>Le Monde.FR</v>
      </c>
      <c r="C38" s="60" t="e">
        <f>GETPIVOTDATA("Phrase d'accueil et présentation complète.",'TCD FO par titre'!$A$3,"MOIS",$J$4,"Titre2",$A$33)</f>
        <v>#REF!</v>
      </c>
      <c r="D38" s="41" t="e">
        <f>GETPIVOTDATA("Identification client.",'TCD FO par titre'!$A$3,"MOIS",$J$4,"Titre2",$A$33)</f>
        <v>#REF!</v>
      </c>
      <c r="E38" s="41" t="e">
        <f>GETPIVOTDATA("Vérification et MAJ de l'adresse électronique.",'TCD FO par titre'!$A$3,"MOIS",$J$4,"Titre2",$A$33)</f>
        <v>#REF!</v>
      </c>
      <c r="F38" s="41" t="e">
        <f>GETPIVOTDATA("Vérification et MAJ du numéro de téléphone.",'TCD FO par titre'!$A$3,"MOIS",$J$4,"Titre2",$A$33)</f>
        <v>#REF!</v>
      </c>
      <c r="G38" s="61" t="e">
        <f>GETPIVOTDATA("Vérification et MAJ de l'adresse postale.",'TCD FO par titre'!$A$3,"MOIS",$J$4,"Titre2",$A$33)</f>
        <v>#REF!</v>
      </c>
      <c r="H38" s="60" t="e">
        <f>GETPIVOTDATA("Directivité - Maîtrise de l'entretien.",'TCD FO par titre'!$A$3,"MOIS",$J$4,"Titre2",$A$33)</f>
        <v>#REF!</v>
      </c>
      <c r="I38" s="41" t="e">
        <f>GETPIVOTDATA("Ecoute active/implication.",'TCD FO par titre'!$A$3,"MOIS",$J$4,"Titre2",$A$33)</f>
        <v>#REF!</v>
      </c>
      <c r="J38" s="41" t="e">
        <f>GETPIVOTDATA("Ton, débit, volume, empathie.",'TCD FO par titre'!$A$3,"MOIS",$J$4,"Titre2",$A$33)</f>
        <v>#REF!</v>
      </c>
      <c r="K38" s="41" t="e">
        <f>GETPIVOTDATA("Vocabulaire, jargon, utilisation du JE et du présent, syntaxe.",'TCD FO par titre'!$A$3,"MOIS",$J$4,"Titre2",$A$33)</f>
        <v>#REF!</v>
      </c>
      <c r="L38" s="61" t="e">
        <f>GETPIVOTDATA("Amabilité, courtoisie, sourire.",'TCD FO par titre'!$A$3,"MOIS",$J$4,"Titre2",$A$33)</f>
        <v>#REF!</v>
      </c>
      <c r="M38" s="60" t="e">
        <f>GETPIVOTDATA("Reformulation.",'TCD FO par titre'!$A$3,"MOIS",$J$4,"Titre2",$A$33)</f>
        <v>#REF!</v>
      </c>
      <c r="N38" s="41" t="e">
        <f>GETPIVOTDATA("Questionnement.",'TCD FO par titre'!$A$3,"MOIS",$J$4,"Titre2",$A$33)</f>
        <v>#REF!</v>
      </c>
      <c r="O38" s="41" t="e">
        <f>GETPIVOTDATA("Réponse correcte et complète - Résolution au premier contact.",'TCD FO par titre'!$A$3,"MOIS",$J$4,"Titre2",$A$33)</f>
        <v>#REF!</v>
      </c>
      <c r="P38" s="41" t="e">
        <f>GETPIVOTDATA("Traitement des objections.",'TCD FO par titre'!$A$3,"MOIS",$J$4,"Titre2",$A$33)</f>
        <v>#REF!</v>
      </c>
      <c r="Q38" s="41" t="e">
        <f>GETPIVOTDATA("Fiabilisation.",'TCD FO par titre'!$A$3,"MOIS",$J$4,"Titre2",$A$33)</f>
        <v>#REF!</v>
      </c>
      <c r="R38" s="41" t="e">
        <f>GETPIVOTDATA("Mise en attente.",'TCD FO par titre'!$A$3,"MOIS",$J$4,"Titre2",$A$33)</f>
        <v>#REF!</v>
      </c>
      <c r="S38" s="61" t="e">
        <f>GETPIVOTDATA("Actions nécessaires effectuées - Respect des procédures.",'TCD FO par titre'!$A$3,"MOIS",$J$4,"Titre2",$A$33)</f>
        <v>#REF!</v>
      </c>
      <c r="T38" s="60" t="e">
        <f>GETPIVOTDATA("Actions nécessaires effectuées - Respect des procédures.",'TCD FO par titre'!$A$3,"MOIS",$J$4,"Titre2",$A$33)</f>
        <v>#REF!</v>
      </c>
      <c r="U38" s="41" t="e">
        <f>GETPIVOTDATA("Utilisation de l'historique client.",'TCD FO par titre'!$A$3,"MOIS",$J$4,"Titre2",$A$33)</f>
        <v>#REF!</v>
      </c>
      <c r="V38" s="41" t="e">
        <f>GETPIVOTDATA("Accompagnement et valorisation du client.",'TCD FO par titre'!$A$3,"MOIS",$J$4,"Titre2",$A$33)</f>
        <v>#REF!</v>
      </c>
      <c r="W38" s="41" t="e">
        <f>GETPIVOTDATA("Valorisation du service et/ou du produit.",'TCD FO par titre'!$A$3,"MOIS",$J$4,"Titre2",$A$33)</f>
        <v>#REF!</v>
      </c>
      <c r="X38" s="61" t="e">
        <f>GETPIVOTDATA("MAJ des connaissances produit (intranet, etc.).",'TCD FO par titre'!$A$3,"MOIS",$J$4,"Titre2",$A$33)</f>
        <v>#REF!</v>
      </c>
      <c r="Y38" s="60" t="e">
        <f>GETPIVOTDATA("Verrouillage.",'TCD FO par titre'!$A$3,"MOIS",$J$4,"Titre2",$A$33)</f>
        <v>#REF!</v>
      </c>
      <c r="Z38" s="41" t="e">
        <f>GETPIVOTDATA("Remerciement.",'TCD FO par titre'!$A$3,"MOIS",$J$4,"Titre2",$A$33)</f>
        <v>#REF!</v>
      </c>
      <c r="AA38" s="61" t="e">
        <f>GETPIVOTDATA("Souhaite quelque chose d'agréable.",'TCD FO par titre'!$A$3,"MOIS",$J$4,"Titre2",$A$33)</f>
        <v>#REF!</v>
      </c>
      <c r="AB38" s="103" t="e">
        <f>GETPIVOTDATA("Pose du contact - PRN.",'TCD FO par titre'!$A$3,"MOIS",$J$4,"Titre2",$A$33)</f>
        <v>#REF!</v>
      </c>
      <c r="AC38" s="41" t="e">
        <f>GETPIVOTDATA("Commentaires de contacts.",'TCD FO par titre'!$A$3,"MOIS",$J$4,"Titre2",$A$33)</f>
        <v>#REF!</v>
      </c>
      <c r="AD38" s="61" t="e">
        <f>GETPIVOTDATA("Communication sortante.",'TCD FO par titre'!$A$3,"MOIS",$J$4,"Titre2",$A$33)</f>
        <v>#REF!</v>
      </c>
      <c r="AF38" s="60" t="e">
        <f t="shared" si="6"/>
        <v>#REF!</v>
      </c>
      <c r="AG38" s="41" t="e">
        <f t="shared" si="7"/>
        <v>#REF!</v>
      </c>
      <c r="AH38" s="41" t="e">
        <f t="shared" si="8"/>
        <v>#REF!</v>
      </c>
      <c r="AI38" s="41" t="e">
        <f t="shared" si="9"/>
        <v>#REF!</v>
      </c>
      <c r="AJ38" s="41" t="e">
        <f t="shared" si="10"/>
        <v>#REF!</v>
      </c>
      <c r="AK38" s="61" t="e">
        <f t="shared" si="11"/>
        <v>#REF!</v>
      </c>
    </row>
    <row r="39" spans="1:37" ht="15" x14ac:dyDescent="0.2">
      <c r="A39" s="57" t="s">
        <v>175</v>
      </c>
      <c r="B39" s="98" t="str">
        <f>VLOOKUP(A39,Correspondance!$I$3:$J$6,2,FALSE)</f>
        <v>Le Monde Diplomatique</v>
      </c>
      <c r="C39" s="60" t="e">
        <f>GETPIVOTDATA("Phrase d'accueil et présentation complète.",'TCD FO par titre'!$A$3,"MOIS",$J$4,"Titre2",$A$34)</f>
        <v>#REF!</v>
      </c>
      <c r="D39" s="41" t="e">
        <f>GETPIVOTDATA("Identification client.",'TCD FO par titre'!$A$3,"MOIS",$J$4,"Titre2",$A$34)</f>
        <v>#REF!</v>
      </c>
      <c r="E39" s="41" t="e">
        <f>GETPIVOTDATA("Vérification et MAJ de l'adresse électronique.",'TCD FO par titre'!$A$3,"MOIS",$J$4,"Titre2",$A$34)</f>
        <v>#REF!</v>
      </c>
      <c r="F39" s="41" t="e">
        <f>GETPIVOTDATA("Vérification et MAJ du numéro de téléphone.",'TCD FO par titre'!$A$3,"MOIS",$J$4,"Titre2",$A$34)</f>
        <v>#REF!</v>
      </c>
      <c r="G39" s="61" t="e">
        <f>GETPIVOTDATA("Vérification et MAJ de l'adresse postale.",'TCD FO par titre'!$A$3,"MOIS",$J$4,"Titre2",$A$34)</f>
        <v>#REF!</v>
      </c>
      <c r="H39" s="60" t="e">
        <f>GETPIVOTDATA("Directivité - Maîtrise de l'entretien.",'TCD FO par titre'!$A$3,"MOIS",$J$4,"Titre2",$A$34)</f>
        <v>#REF!</v>
      </c>
      <c r="I39" s="41" t="e">
        <f>GETPIVOTDATA("Ecoute active/implication.",'TCD FO par titre'!$A$3,"MOIS",$J$4,"Titre2",$A$34)</f>
        <v>#REF!</v>
      </c>
      <c r="J39" s="41" t="e">
        <f>GETPIVOTDATA("Ton, débit, volume, empathie.",'TCD FO par titre'!$A$3,"MOIS",$J$4,"Titre2",$A$34)</f>
        <v>#REF!</v>
      </c>
      <c r="K39" s="41" t="e">
        <f>GETPIVOTDATA("Vocabulaire, jargon, utilisation du JE et du présent, syntaxe.",'TCD FO par titre'!$A$3,"MOIS",$J$4,"Titre2",$A$34)</f>
        <v>#REF!</v>
      </c>
      <c r="L39" s="61" t="e">
        <f>GETPIVOTDATA("Amabilité, courtoisie, sourire.",'TCD FO par titre'!$A$3,"MOIS",$J$4,"Titre2",$A$34)</f>
        <v>#REF!</v>
      </c>
      <c r="M39" s="60" t="e">
        <f>GETPIVOTDATA("Reformulation.",'TCD FO par titre'!$A$3,"MOIS",$J$4,"Titre2",$A$34)</f>
        <v>#REF!</v>
      </c>
      <c r="N39" s="41" t="e">
        <f>GETPIVOTDATA("Questionnement.",'TCD FO par titre'!$A$3,"MOIS",$J$4,"Titre2",$A$34)</f>
        <v>#REF!</v>
      </c>
      <c r="O39" s="41" t="e">
        <f>GETPIVOTDATA("Réponse correcte et complète - Résolution au premier contact.",'TCD FO par titre'!$A$3,"MOIS",$J$4,"Titre2",$A$34)</f>
        <v>#REF!</v>
      </c>
      <c r="P39" s="41" t="e">
        <f>GETPIVOTDATA("Traitement des objections.",'TCD FO par titre'!$A$3,"MOIS",$J$4,"Titre2",$A$34)</f>
        <v>#REF!</v>
      </c>
      <c r="Q39" s="41" t="e">
        <f>GETPIVOTDATA("Fiabilisation.",'TCD FO par titre'!$A$3,"MOIS",$J$4,"Titre2",$A$34)</f>
        <v>#REF!</v>
      </c>
      <c r="R39" s="41" t="e">
        <f>GETPIVOTDATA("Mise en attente.",'TCD FO par titre'!$A$3,"MOIS",$J$4,"Titre2",$A$34)</f>
        <v>#REF!</v>
      </c>
      <c r="S39" s="61" t="e">
        <f>GETPIVOTDATA("Actions nécessaires effectuées - Respect des procédures.",'TCD FO par titre'!$A$3,"MOIS",$J$4,"Titre2",$A$34)</f>
        <v>#REF!</v>
      </c>
      <c r="T39" s="60" t="e">
        <f>GETPIVOTDATA("Actions nécessaires effectuées - Respect des procédures.",'TCD FO par titre'!$A$3,"MOIS",$J$4,"Titre2",$A$34)</f>
        <v>#REF!</v>
      </c>
      <c r="U39" s="41" t="e">
        <f>GETPIVOTDATA("Utilisation de l'historique client.",'TCD FO par titre'!$A$3,"MOIS",$J$4,"Titre2",$A$34)</f>
        <v>#REF!</v>
      </c>
      <c r="V39" s="41" t="e">
        <f>GETPIVOTDATA("Accompagnement et valorisation du client.",'TCD FO par titre'!$A$3,"MOIS",$J$4,"Titre2",$A$34)</f>
        <v>#REF!</v>
      </c>
      <c r="W39" s="41" t="e">
        <f>GETPIVOTDATA("Valorisation du service et/ou du produit.",'TCD FO par titre'!$A$3,"MOIS",$J$4,"Titre2",$A$34)</f>
        <v>#REF!</v>
      </c>
      <c r="X39" s="61" t="e">
        <f>GETPIVOTDATA("MAJ des connaissances produit (intranet, etc.).",'TCD FO par titre'!$A$3,"MOIS",$J$4,"Titre2",$A$34)</f>
        <v>#REF!</v>
      </c>
      <c r="Y39" s="60" t="e">
        <f>GETPIVOTDATA("Verrouillage.",'TCD FO par titre'!$A$3,"MOIS",$J$4,"Titre2",$A$34)</f>
        <v>#REF!</v>
      </c>
      <c r="Z39" s="41" t="e">
        <f>GETPIVOTDATA("Remerciement.",'TCD FO par titre'!$A$3,"MOIS",$J$4,"Titre2",$A$34)</f>
        <v>#REF!</v>
      </c>
      <c r="AA39" s="61" t="e">
        <f>GETPIVOTDATA("Souhaite quelque chose d'agréable.",'TCD FO par titre'!$A$3,"MOIS",$J$4,"Titre2",$A$34)</f>
        <v>#REF!</v>
      </c>
      <c r="AB39" s="103" t="e">
        <f>GETPIVOTDATA("Pose du contact - PRN.",'TCD FO par titre'!$A$3,"MOIS",$J$4,"Titre2",$A$34)</f>
        <v>#REF!</v>
      </c>
      <c r="AC39" s="41" t="e">
        <f>GETPIVOTDATA("Commentaires de contacts.",'TCD FO par titre'!$A$3,"MOIS",$J$4,"Titre2",$A$34)</f>
        <v>#REF!</v>
      </c>
      <c r="AD39" s="61" t="e">
        <f>GETPIVOTDATA("Communication sortante.",'TCD FO par titre'!$A$3,"MOIS",$J$4,"Titre2",$A$34)</f>
        <v>#REF!</v>
      </c>
      <c r="AF39" s="60" t="e">
        <f t="shared" si="6"/>
        <v>#REF!</v>
      </c>
      <c r="AG39" s="41" t="e">
        <f t="shared" si="7"/>
        <v>#REF!</v>
      </c>
      <c r="AH39" s="41" t="e">
        <f t="shared" si="8"/>
        <v>#REF!</v>
      </c>
      <c r="AI39" s="41" t="e">
        <f t="shared" si="9"/>
        <v>#REF!</v>
      </c>
      <c r="AJ39" s="41" t="e">
        <f t="shared" si="10"/>
        <v>#REF!</v>
      </c>
      <c r="AK39" s="61" t="e">
        <f t="shared" si="11"/>
        <v>#REF!</v>
      </c>
    </row>
    <row r="40" spans="1:37" ht="15.75" thickBot="1" x14ac:dyDescent="0.25">
      <c r="A40" s="57" t="s">
        <v>47</v>
      </c>
      <c r="B40" s="99" t="str">
        <f>VLOOKUP(A40,Correspondance!$I$3:$J$6,2,FALSE)</f>
        <v>SEM</v>
      </c>
      <c r="C40" s="62" t="e">
        <f>GETPIVOTDATA("Phrase d'accueil et présentation complète.",'TCD FO par titre'!$A$3,"MOIS",$J$4,"Titre2",$A$35)</f>
        <v>#REF!</v>
      </c>
      <c r="D40" s="63" t="e">
        <f>GETPIVOTDATA("Identification client.",'TCD FO par titre'!$A$3,"MOIS",$J$4,"Titre2",$A$35)</f>
        <v>#REF!</v>
      </c>
      <c r="E40" s="63" t="e">
        <f>GETPIVOTDATA("Vérification et MAJ de l'adresse électronique.",'TCD FO par titre'!$A$3,"MOIS",$J$4,"Titre2",$A$35)</f>
        <v>#REF!</v>
      </c>
      <c r="F40" s="63" t="e">
        <f>GETPIVOTDATA("Vérification et MAJ du numéro de téléphone.",'TCD FO par titre'!$A$3,"MOIS",$J$4,"Titre2",$A$35)</f>
        <v>#REF!</v>
      </c>
      <c r="G40" s="64" t="e">
        <f>GETPIVOTDATA("Vérification et MAJ de l'adresse postale.",'TCD FO par titre'!$A$3,"MOIS",$J$4,"Titre2",$A$35)</f>
        <v>#REF!</v>
      </c>
      <c r="H40" s="62" t="e">
        <f>GETPIVOTDATA("Directivité - Maîtrise de l'entretien.",'TCD FO par titre'!$A$3,"MOIS",$J$4,"Titre2",$A$35)</f>
        <v>#REF!</v>
      </c>
      <c r="I40" s="63" t="e">
        <f>GETPIVOTDATA("Ecoute active/implication.",'TCD FO par titre'!$A$3,"MOIS",$J$4,"Titre2",$A$35)</f>
        <v>#REF!</v>
      </c>
      <c r="J40" s="63" t="e">
        <f>GETPIVOTDATA("Ton, débit, volume, empathie.",'TCD FO par titre'!$A$3,"MOIS",$J$4,"Titre2",$A$35)</f>
        <v>#REF!</v>
      </c>
      <c r="K40" s="63" t="e">
        <f>GETPIVOTDATA("Vocabulaire, jargon, utilisation du JE et du présent, syntaxe.",'TCD FO par titre'!$A$3,"MOIS",$J$4,"Titre2",$A$35)</f>
        <v>#REF!</v>
      </c>
      <c r="L40" s="64" t="e">
        <f>GETPIVOTDATA("Amabilité, courtoisie, sourire.",'TCD FO par titre'!$A$3,"MOIS",$J$4,"Titre2",$A$35)</f>
        <v>#REF!</v>
      </c>
      <c r="M40" s="62" t="e">
        <f>GETPIVOTDATA("Reformulation.",'TCD FO par titre'!$A$3,"MOIS",$J$4,"Titre2",$A$35)</f>
        <v>#REF!</v>
      </c>
      <c r="N40" s="63" t="e">
        <f>GETPIVOTDATA("Questionnement.",'TCD FO par titre'!$A$3,"MOIS",$J$4,"Titre2",$A$35)</f>
        <v>#REF!</v>
      </c>
      <c r="O40" s="63" t="e">
        <f>GETPIVOTDATA("Réponse correcte et complète - Résolution au premier contact.",'TCD FO par titre'!$A$3,"MOIS",$J$4,"Titre2",$A$35)</f>
        <v>#REF!</v>
      </c>
      <c r="P40" s="63" t="e">
        <f>GETPIVOTDATA("Traitement des objections.",'TCD FO par titre'!$A$3,"MOIS",$J$4,"Titre2",$A$35)</f>
        <v>#REF!</v>
      </c>
      <c r="Q40" s="63" t="e">
        <f>GETPIVOTDATA("Fiabilisation.",'TCD FO par titre'!$A$3,"MOIS",$J$4,"Titre2",$A$35)</f>
        <v>#REF!</v>
      </c>
      <c r="R40" s="63" t="e">
        <f>GETPIVOTDATA("Mise en attente.",'TCD FO par titre'!$A$3,"MOIS",$J$4,"Titre2",$A$35)</f>
        <v>#REF!</v>
      </c>
      <c r="S40" s="64" t="e">
        <f>GETPIVOTDATA("Actions nécessaires effectuées - Respect des procédures.",'TCD FO par titre'!$A$3,"MOIS",$J$4,"Titre2",$A$35)</f>
        <v>#REF!</v>
      </c>
      <c r="T40" s="62" t="e">
        <f>GETPIVOTDATA("Actions nécessaires effectuées - Respect des procédures.",'TCD FO par titre'!$A$3,"MOIS",$J$4,"Titre2",$A$35)</f>
        <v>#REF!</v>
      </c>
      <c r="U40" s="63" t="e">
        <f>GETPIVOTDATA("Utilisation de l'historique client.",'TCD FO par titre'!$A$3,"MOIS",$J$4,"Titre2",$A$35)</f>
        <v>#REF!</v>
      </c>
      <c r="V40" s="63" t="e">
        <f>GETPIVOTDATA("Accompagnement et valorisation du client.",'TCD FO par titre'!$A$3,"MOIS",$J$4,"Titre2",$A$35)</f>
        <v>#REF!</v>
      </c>
      <c r="W40" s="63" t="e">
        <f>GETPIVOTDATA("Valorisation du service et/ou du produit.",'TCD FO par titre'!$A$3,"MOIS",$J$4,"Titre2",$A$35)</f>
        <v>#REF!</v>
      </c>
      <c r="X40" s="64" t="e">
        <f>GETPIVOTDATA("MAJ des connaissances produit (intranet, etc.).",'TCD FO par titre'!$A$3,"MOIS",$J$4,"Titre2",$A$35)</f>
        <v>#REF!</v>
      </c>
      <c r="Y40" s="62" t="e">
        <f>GETPIVOTDATA("Verrouillage.",'TCD FO par titre'!$A$3,"MOIS",$J$4,"Titre2",$A$35)</f>
        <v>#REF!</v>
      </c>
      <c r="Z40" s="63" t="e">
        <f>GETPIVOTDATA("Remerciement.",'TCD FO par titre'!$A$3,"MOIS",$J$4,"Titre2",$A$35)</f>
        <v>#REF!</v>
      </c>
      <c r="AA40" s="64" t="e">
        <f>GETPIVOTDATA("Souhaite quelque chose d'agréable.",'TCD FO par titre'!$A$3,"MOIS",$J$4,"Titre2",$A$35)</f>
        <v>#REF!</v>
      </c>
      <c r="AB40" s="104" t="e">
        <f>GETPIVOTDATA("Pose du contact - PRN.",'TCD FO par titre'!$A$3,"MOIS",$J$4,"Titre2",$A$35)</f>
        <v>#REF!</v>
      </c>
      <c r="AC40" s="63" t="e">
        <f>GETPIVOTDATA("Commentaires de contacts.",'TCD FO par titre'!$A$3,"MOIS",$J$4,"Titre2",$A$35)</f>
        <v>#REF!</v>
      </c>
      <c r="AD40" s="64" t="e">
        <f>GETPIVOTDATA("Communication sortante.",'TCD FO par titre'!$A$3,"MOIS",$J$4,"Titre2",$A$35)</f>
        <v>#REF!</v>
      </c>
      <c r="AF40" s="62" t="e">
        <f t="shared" si="6"/>
        <v>#REF!</v>
      </c>
      <c r="AG40" s="63" t="e">
        <f t="shared" si="7"/>
        <v>#REF!</v>
      </c>
      <c r="AH40" s="63" t="e">
        <f t="shared" si="8"/>
        <v>#REF!</v>
      </c>
      <c r="AI40" s="63" t="e">
        <f t="shared" si="9"/>
        <v>#REF!</v>
      </c>
      <c r="AJ40" s="63" t="e">
        <f t="shared" si="10"/>
        <v>#REF!</v>
      </c>
      <c r="AK40" s="64" t="e">
        <f t="shared" si="11"/>
        <v>#REF!</v>
      </c>
    </row>
    <row r="41" spans="1:37" s="87" customFormat="1" ht="16.5" thickBot="1" x14ac:dyDescent="0.3">
      <c r="A41" s="85"/>
      <c r="B41" s="97" t="str">
        <f>CONCATENATE(B3," ",K4)</f>
        <v>MOIS : Novembre</v>
      </c>
      <c r="C41" s="106" t="e">
        <f>GETPIVOTDATA("Phrase d'accueil et présentation complète.",'TCD FO'!$A$3,"MOIS",$K$4)</f>
        <v>#REF!</v>
      </c>
      <c r="D41" s="95" t="e">
        <f>GETPIVOTDATA("Identification client.",'TCD FO'!$A$3,"MOIS",$K$4)</f>
        <v>#REF!</v>
      </c>
      <c r="E41" s="95" t="e">
        <f>GETPIVOTDATA("Vérification et MAJ de l'adresse électronique.",'TCD FO'!$A$3,"MOIS",$K$4)</f>
        <v>#REF!</v>
      </c>
      <c r="F41" s="95" t="e">
        <f>GETPIVOTDATA("Vérification et MAJ du numéro de téléphone.",'TCD FO'!$A$3,"MOIS",$K$4)</f>
        <v>#REF!</v>
      </c>
      <c r="G41" s="96" t="e">
        <f>GETPIVOTDATA("Vérification et MAJ de l'adresse postale.",'TCD FO'!$A$3,"MOIS",$K$4)</f>
        <v>#REF!</v>
      </c>
      <c r="H41" s="106" t="e">
        <f>GETPIVOTDATA("Directivité - Maîtrise de l'entretien.",'TCD FO'!$A$3,"MOIS",$K$4)</f>
        <v>#REF!</v>
      </c>
      <c r="I41" s="95" t="e">
        <f>GETPIVOTDATA("Ecoute active/implication.",'TCD FO'!$A$3,"MOIS",$K$4)</f>
        <v>#REF!</v>
      </c>
      <c r="J41" s="95" t="e">
        <f>GETPIVOTDATA("Ton, débit, volume, empathie.",'TCD FO'!$A$3,"MOIS",$K$4)</f>
        <v>#REF!</v>
      </c>
      <c r="K41" s="95" t="e">
        <f>GETPIVOTDATA("Vocabulaire, jargon, utilisation du JE et du présent, syntaxe.",'TCD FO'!$A$3,"MOIS",$K$4)</f>
        <v>#REF!</v>
      </c>
      <c r="L41" s="96" t="e">
        <f>GETPIVOTDATA("Amabilité, courtoisie, sourire.",'TCD FO'!$A$3,"MOIS",$K$4)</f>
        <v>#REF!</v>
      </c>
      <c r="M41" s="106" t="e">
        <f>GETPIVOTDATA("Reformulation.",'TCD FO'!$A$3,"MOIS",$K$4)</f>
        <v>#REF!</v>
      </c>
      <c r="N41" s="95" t="e">
        <f>GETPIVOTDATA("Questionnement.",'TCD FO'!$A$3,"MOIS",$K$4)</f>
        <v>#REF!</v>
      </c>
      <c r="O41" s="95" t="e">
        <f>GETPIVOTDATA("Réponse correcte et complète - Résolution au premier contact.",'TCD FO'!$A$3,"MOIS",$K$4)</f>
        <v>#REF!</v>
      </c>
      <c r="P41" s="95" t="e">
        <f>GETPIVOTDATA("Traitement des objections.",'TCD FO'!$A$3,"MOIS",$K$4)</f>
        <v>#REF!</v>
      </c>
      <c r="Q41" s="95" t="e">
        <f>GETPIVOTDATA("Fiabilisation.",'TCD FO'!$A$3,"MOIS",$K$4)</f>
        <v>#REF!</v>
      </c>
      <c r="R41" s="95" t="e">
        <f>GETPIVOTDATA("Mise en attente.",'TCD FO'!$A$3,"MOIS",$K$4)</f>
        <v>#REF!</v>
      </c>
      <c r="S41" s="96" t="e">
        <f>GETPIVOTDATA("Actions nécessaires effectuées - Respect des procédures.",'TCD FO'!$A$3,"MOIS",$K$4)</f>
        <v>#REF!</v>
      </c>
      <c r="T41" s="106" t="e">
        <f>GETPIVOTDATA("Actions nécessaires effectuées - Respect des procédures.",'TCD FO'!$A$3,"MOIS",$K$4)</f>
        <v>#REF!</v>
      </c>
      <c r="U41" s="95" t="e">
        <f>GETPIVOTDATA("Utilisation de l'historique client.",'TCD FO'!$A$3,"MOIS",$K$4)</f>
        <v>#REF!</v>
      </c>
      <c r="V41" s="95" t="e">
        <f>GETPIVOTDATA("Accompagnement et valorisation du client.",'TCD FO'!$A$3,"MOIS",$K$4)</f>
        <v>#REF!</v>
      </c>
      <c r="W41" s="95" t="e">
        <f>GETPIVOTDATA("Valorisation du service et/ou du produit.",'TCD FO'!$A$3,"MOIS",$K$4)</f>
        <v>#REF!</v>
      </c>
      <c r="X41" s="96" t="e">
        <f>GETPIVOTDATA("MAJ des connaissances produit (intranet, etc.).",'TCD FO'!$A$3,"MOIS",$K$4)</f>
        <v>#REF!</v>
      </c>
      <c r="Y41" s="106" t="e">
        <f>GETPIVOTDATA("Verrouillage.",'TCD FO'!$A$3,"MOIS",$K$4)</f>
        <v>#REF!</v>
      </c>
      <c r="Z41" s="95" t="e">
        <f>GETPIVOTDATA("Remerciement.",'TCD FO'!$A$3,"MOIS",$K$4)</f>
        <v>#REF!</v>
      </c>
      <c r="AA41" s="96" t="e">
        <f>GETPIVOTDATA("Souhaite quelque chose d'agréable.",'TCD FO'!$A$3,"MOIS",$K$4)</f>
        <v>#REF!</v>
      </c>
      <c r="AB41" s="101" t="e">
        <f>GETPIVOTDATA("Pose du contact - PRN.",'TCD FO'!$A$3,"MOIS",$K$4)</f>
        <v>#REF!</v>
      </c>
      <c r="AC41" s="95" t="e">
        <f>GETPIVOTDATA("Commentaires de contacts.",'TCD FO'!$A$3,"MOIS",$K$4)</f>
        <v>#REF!</v>
      </c>
      <c r="AD41" s="96" t="e">
        <f>GETPIVOTDATA("Communication sortante.",'TCD FO'!$A$3,"MOIS",$K$4)</f>
        <v>#REF!</v>
      </c>
      <c r="AF41" s="90" t="e">
        <f t="shared" si="6"/>
        <v>#REF!</v>
      </c>
      <c r="AG41" s="91" t="e">
        <f t="shared" si="7"/>
        <v>#REF!</v>
      </c>
      <c r="AH41" s="91" t="e">
        <f t="shared" si="8"/>
        <v>#REF!</v>
      </c>
      <c r="AI41" s="91" t="e">
        <f t="shared" si="9"/>
        <v>#REF!</v>
      </c>
      <c r="AJ41" s="91" t="e">
        <f t="shared" si="10"/>
        <v>#REF!</v>
      </c>
      <c r="AK41" s="92" t="e">
        <f t="shared" si="11"/>
        <v>#REF!</v>
      </c>
    </row>
    <row r="42" spans="1:37" ht="15" x14ac:dyDescent="0.2">
      <c r="A42" s="57" t="s">
        <v>74</v>
      </c>
      <c r="B42" s="70" t="str">
        <f>VLOOKUP(A42,Correspondance!$I$3:$J$6,2,FALSE)</f>
        <v>Courrier Internationnal</v>
      </c>
      <c r="C42" s="76" t="e">
        <f>GETPIVOTDATA("Phrase d'accueil et présentation complète.",'TCD FO par titre'!$A$3,"MOIS",$K$4,"Titre2",$A$32)</f>
        <v>#REF!</v>
      </c>
      <c r="D42" s="77" t="e">
        <f>GETPIVOTDATA("Identification client.",'TCD FO par titre'!$A$3,"MOIS",$K$4,"Titre2",$A$32)</f>
        <v>#REF!</v>
      </c>
      <c r="E42" s="77" t="e">
        <f>GETPIVOTDATA("Vérification et MAJ de l'adresse électronique.",'TCD FO par titre'!$A$3,"MOIS",$K$4,"Titre2",$A$32)</f>
        <v>#REF!</v>
      </c>
      <c r="F42" s="77" t="e">
        <f>GETPIVOTDATA("Vérification et MAJ du numéro de téléphone.",'TCD FO par titre'!$A$3,"MOIS",$K$4,"Titre2",$A$32)</f>
        <v>#REF!</v>
      </c>
      <c r="G42" s="78" t="e">
        <f>GETPIVOTDATA("Vérification et MAJ de l'adresse postale.",'TCD FO par titre'!$A$3,"MOIS",$K$4,"Titre2",$A$32)</f>
        <v>#REF!</v>
      </c>
      <c r="H42" s="76" t="e">
        <f>GETPIVOTDATA("Directivité - Maîtrise de l'entretien.",'TCD FO par titre'!$A$3,"MOIS",$K$4,"Titre2",$A$32)</f>
        <v>#REF!</v>
      </c>
      <c r="I42" s="77" t="e">
        <f>GETPIVOTDATA("Ecoute active/implication.",'TCD FO par titre'!$A$3,"MOIS",$K$4,"Titre2",$A$32)</f>
        <v>#REF!</v>
      </c>
      <c r="J42" s="77" t="e">
        <f>GETPIVOTDATA("Ton, débit, volume, empathie.",'TCD FO par titre'!$A$3,"MOIS",$K$4,"Titre2",$A$32)</f>
        <v>#REF!</v>
      </c>
      <c r="K42" s="77" t="e">
        <f>GETPIVOTDATA("Vocabulaire, jargon, utilisation du JE et du présent, syntaxe.",'TCD FO par titre'!$A$3,"MOIS",$K$4,"Titre2",$A$32)</f>
        <v>#REF!</v>
      </c>
      <c r="L42" s="78" t="e">
        <f>GETPIVOTDATA("Amabilité, courtoisie, sourire.",'TCD FO par titre'!$A$3,"MOIS",$K$4,"Titre2",$A$32)</f>
        <v>#REF!</v>
      </c>
      <c r="M42" s="76" t="e">
        <f>GETPIVOTDATA("Reformulation.",'TCD FO par titre'!$A$3,"MOIS",$K$4,"Titre2",$A$32)</f>
        <v>#REF!</v>
      </c>
      <c r="N42" s="77" t="e">
        <f>GETPIVOTDATA("Questionnement.",'TCD FO par titre'!$A$3,"MOIS",$K$4,"Titre2",$A$32)</f>
        <v>#REF!</v>
      </c>
      <c r="O42" s="77" t="e">
        <f>GETPIVOTDATA("Réponse correcte et complète - Résolution au premier contact.",'TCD FO par titre'!$A$3,"MOIS",$K$4,"Titre2",$A$32)</f>
        <v>#REF!</v>
      </c>
      <c r="P42" s="77" t="e">
        <f>GETPIVOTDATA("Traitement des objections.",'TCD FO par titre'!$A$3,"MOIS",$K$4,"Titre2",$A$32)</f>
        <v>#REF!</v>
      </c>
      <c r="Q42" s="77" t="e">
        <f>GETPIVOTDATA("Fiabilisation.",'TCD FO par titre'!$A$3,"MOIS",$K$4,"Titre2",$A$32)</f>
        <v>#REF!</v>
      </c>
      <c r="R42" s="77" t="e">
        <f>GETPIVOTDATA("Mise en attente.",'TCD FO par titre'!$A$3,"MOIS",$K$4,"Titre2",$A$32)</f>
        <v>#REF!</v>
      </c>
      <c r="S42" s="78" t="e">
        <f>GETPIVOTDATA("Actions nécessaires effectuées - Respect des procédures.",'TCD FO par titre'!$A$3,"MOIS",$K$4,"Titre2",$A$32)</f>
        <v>#REF!</v>
      </c>
      <c r="T42" s="76" t="e">
        <f>GETPIVOTDATA("Actions nécessaires effectuées - Respect des procédures.",'TCD FO par titre'!$A$3,"MOIS",$K$4,"Titre2",$A$32)</f>
        <v>#REF!</v>
      </c>
      <c r="U42" s="77" t="e">
        <f>GETPIVOTDATA("Utilisation de l'historique client.",'TCD FO par titre'!$A$3,"MOIS",$K$4,"Titre2",$A$32)</f>
        <v>#REF!</v>
      </c>
      <c r="V42" s="77" t="e">
        <f>GETPIVOTDATA("Accompagnement et valorisation du client.",'TCD FO par titre'!$A$3,"MOIS",$K$4,"Titre2",$A$32)</f>
        <v>#REF!</v>
      </c>
      <c r="W42" s="77" t="e">
        <f>GETPIVOTDATA("Valorisation du service et/ou du produit.",'TCD FO par titre'!$A$3,"MOIS",$K$4,"Titre2",$A$32)</f>
        <v>#REF!</v>
      </c>
      <c r="X42" s="78" t="e">
        <f>GETPIVOTDATA("MAJ des connaissances produit (intranet, etc.).",'TCD FO par titre'!$A$3,"MOIS",$K$4,"Titre2",$A$32)</f>
        <v>#REF!</v>
      </c>
      <c r="Y42" s="76" t="e">
        <f>GETPIVOTDATA("Verrouillage.",'TCD FO par titre'!$A$3,"MOIS",$K$4,"Titre2",$A$32)</f>
        <v>#REF!</v>
      </c>
      <c r="Z42" s="77" t="e">
        <f>GETPIVOTDATA("Remerciement.",'TCD FO par titre'!$A$3,"MOIS",$K$4,"Titre2",$A$32)</f>
        <v>#REF!</v>
      </c>
      <c r="AA42" s="78" t="e">
        <f>GETPIVOTDATA("Souhaite quelque chose d'agréable.",'TCD FO par titre'!$A$3,"MOIS",$K$4,"Titre2",$A$32)</f>
        <v>#REF!</v>
      </c>
      <c r="AB42" s="105" t="e">
        <f>GETPIVOTDATA("Pose du contact - PRN.",'TCD FO par titre'!$A$3,"MOIS",$K$4,"Titre2",$A$32)</f>
        <v>#REF!</v>
      </c>
      <c r="AC42" s="77" t="e">
        <f>GETPIVOTDATA("Commentaires de contacts.",'TCD FO par titre'!$A$3,"MOIS",$K$4,"Titre2",$A$32)</f>
        <v>#REF!</v>
      </c>
      <c r="AD42" s="78" t="e">
        <f>GETPIVOTDATA("Communication sortante.",'TCD FO par titre'!$A$3,"MOIS",$K$4,"Titre2",$A$32)</f>
        <v>#REF!</v>
      </c>
      <c r="AF42" s="60" t="e">
        <f t="shared" si="6"/>
        <v>#REF!</v>
      </c>
      <c r="AG42" s="41" t="e">
        <f t="shared" si="7"/>
        <v>#REF!</v>
      </c>
      <c r="AH42" s="41" t="e">
        <f t="shared" si="8"/>
        <v>#REF!</v>
      </c>
      <c r="AI42" s="41" t="e">
        <f t="shared" si="9"/>
        <v>#REF!</v>
      </c>
      <c r="AJ42" s="41" t="e">
        <f t="shared" si="10"/>
        <v>#REF!</v>
      </c>
      <c r="AK42" s="61" t="e">
        <f t="shared" si="11"/>
        <v>#REF!</v>
      </c>
    </row>
    <row r="43" spans="1:37" ht="15" x14ac:dyDescent="0.2">
      <c r="A43" s="57" t="s">
        <v>99</v>
      </c>
      <c r="B43" s="98" t="str">
        <f>VLOOKUP(A43,Correspondance!$I$3:$J$6,2,FALSE)</f>
        <v>Le Monde.FR</v>
      </c>
      <c r="C43" s="60" t="e">
        <f>GETPIVOTDATA("Phrase d'accueil et présentation complète.",'TCD FO par titre'!$A$3,"MOIS",$K$4,"Titre2",$A$33)</f>
        <v>#REF!</v>
      </c>
      <c r="D43" s="41" t="e">
        <f>GETPIVOTDATA("Identification client.",'TCD FO par titre'!$A$3,"MOIS",$K$4,"Titre2",$A$33)</f>
        <v>#REF!</v>
      </c>
      <c r="E43" s="41" t="e">
        <f>GETPIVOTDATA("Vérification et MAJ de l'adresse électronique.",'TCD FO par titre'!$A$3,"MOIS",$K$4,"Titre2",$A$33)</f>
        <v>#REF!</v>
      </c>
      <c r="F43" s="41" t="e">
        <f>GETPIVOTDATA("Vérification et MAJ du numéro de téléphone.",'TCD FO par titre'!$A$3,"MOIS",$K$4,"Titre2",$A$33)</f>
        <v>#REF!</v>
      </c>
      <c r="G43" s="61" t="e">
        <f>GETPIVOTDATA("Vérification et MAJ de l'adresse postale.",'TCD FO par titre'!$A$3,"MOIS",$K$4,"Titre2",$A$33)</f>
        <v>#REF!</v>
      </c>
      <c r="H43" s="60" t="e">
        <f>GETPIVOTDATA("Directivité - Maîtrise de l'entretien.",'TCD FO par titre'!$A$3,"MOIS",$K$4,"Titre2",$A$33)</f>
        <v>#REF!</v>
      </c>
      <c r="I43" s="41" t="e">
        <f>GETPIVOTDATA("Ecoute active/implication.",'TCD FO par titre'!$A$3,"MOIS",$K$4,"Titre2",$A$33)</f>
        <v>#REF!</v>
      </c>
      <c r="J43" s="41" t="e">
        <f>GETPIVOTDATA("Ton, débit, volume, empathie.",'TCD FO par titre'!$A$3,"MOIS",$K$4,"Titre2",$A$33)</f>
        <v>#REF!</v>
      </c>
      <c r="K43" s="41" t="e">
        <f>GETPIVOTDATA("Vocabulaire, jargon, utilisation du JE et du présent, syntaxe.",'TCD FO par titre'!$A$3,"MOIS",$K$4,"Titre2",$A$33)</f>
        <v>#REF!</v>
      </c>
      <c r="L43" s="61" t="e">
        <f>GETPIVOTDATA("Amabilité, courtoisie, sourire.",'TCD FO par titre'!$A$3,"MOIS",$K$4,"Titre2",$A$33)</f>
        <v>#REF!</v>
      </c>
      <c r="M43" s="60" t="e">
        <f>GETPIVOTDATA("Reformulation.",'TCD FO par titre'!$A$3,"MOIS",$K$4,"Titre2",$A$33)</f>
        <v>#REF!</v>
      </c>
      <c r="N43" s="41" t="e">
        <f>GETPIVOTDATA("Questionnement.",'TCD FO par titre'!$A$3,"MOIS",$K$4,"Titre2",$A$33)</f>
        <v>#REF!</v>
      </c>
      <c r="O43" s="41" t="e">
        <f>GETPIVOTDATA("Réponse correcte et complète - Résolution au premier contact.",'TCD FO par titre'!$A$3,"MOIS",$K$4,"Titre2",$A$33)</f>
        <v>#REF!</v>
      </c>
      <c r="P43" s="41" t="e">
        <f>GETPIVOTDATA("Traitement des objections.",'TCD FO par titre'!$A$3,"MOIS",$K$4,"Titre2",$A$33)</f>
        <v>#REF!</v>
      </c>
      <c r="Q43" s="41" t="e">
        <f>GETPIVOTDATA("Fiabilisation.",'TCD FO par titre'!$A$3,"MOIS",$K$4,"Titre2",$A$33)</f>
        <v>#REF!</v>
      </c>
      <c r="R43" s="41" t="e">
        <f>GETPIVOTDATA("Mise en attente.",'TCD FO par titre'!$A$3,"MOIS",$K$4,"Titre2",$A$33)</f>
        <v>#REF!</v>
      </c>
      <c r="S43" s="61" t="e">
        <f>GETPIVOTDATA("Actions nécessaires effectuées - Respect des procédures.",'TCD FO par titre'!$A$3,"MOIS",$K$4,"Titre2",$A$33)</f>
        <v>#REF!</v>
      </c>
      <c r="T43" s="60" t="e">
        <f>GETPIVOTDATA("Actions nécessaires effectuées - Respect des procédures.",'TCD FO par titre'!$A$3,"MOIS",$K$4,"Titre2",$A$33)</f>
        <v>#REF!</v>
      </c>
      <c r="U43" s="41" t="e">
        <f>GETPIVOTDATA("Utilisation de l'historique client.",'TCD FO par titre'!$A$3,"MOIS",$K$4,"Titre2",$A$33)</f>
        <v>#REF!</v>
      </c>
      <c r="V43" s="41" t="e">
        <f>GETPIVOTDATA("Accompagnement et valorisation du client.",'TCD FO par titre'!$A$3,"MOIS",$K$4,"Titre2",$A$33)</f>
        <v>#REF!</v>
      </c>
      <c r="W43" s="41" t="e">
        <f>GETPIVOTDATA("Valorisation du service et/ou du produit.",'TCD FO par titre'!$A$3,"MOIS",$K$4,"Titre2",$A$33)</f>
        <v>#REF!</v>
      </c>
      <c r="X43" s="61" t="e">
        <f>GETPIVOTDATA("MAJ des connaissances produit (intranet, etc.).",'TCD FO par titre'!$A$3,"MOIS",$K$4,"Titre2",$A$33)</f>
        <v>#REF!</v>
      </c>
      <c r="Y43" s="60" t="e">
        <f>GETPIVOTDATA("Verrouillage.",'TCD FO par titre'!$A$3,"MOIS",$K$4,"Titre2",$A$33)</f>
        <v>#REF!</v>
      </c>
      <c r="Z43" s="41" t="e">
        <f>GETPIVOTDATA("Remerciement.",'TCD FO par titre'!$A$3,"MOIS",$K$4,"Titre2",$A$33)</f>
        <v>#REF!</v>
      </c>
      <c r="AA43" s="61" t="e">
        <f>GETPIVOTDATA("Souhaite quelque chose d'agréable.",'TCD FO par titre'!$A$3,"MOIS",$K$4,"Titre2",$A$33)</f>
        <v>#REF!</v>
      </c>
      <c r="AB43" s="103" t="e">
        <f>GETPIVOTDATA("Pose du contact - PRN.",'TCD FO par titre'!$A$3,"MOIS",$K$4,"Titre2",$A$33)</f>
        <v>#REF!</v>
      </c>
      <c r="AC43" s="41" t="e">
        <f>GETPIVOTDATA("Commentaires de contacts.",'TCD FO par titre'!$A$3,"MOIS",$K$4,"Titre2",$A$33)</f>
        <v>#REF!</v>
      </c>
      <c r="AD43" s="61" t="e">
        <f>GETPIVOTDATA("Communication sortante.",'TCD FO par titre'!$A$3,"MOIS",$K$4,"Titre2",$A$33)</f>
        <v>#REF!</v>
      </c>
      <c r="AF43" s="60" t="e">
        <f t="shared" si="6"/>
        <v>#REF!</v>
      </c>
      <c r="AG43" s="41" t="e">
        <f t="shared" si="7"/>
        <v>#REF!</v>
      </c>
      <c r="AH43" s="41" t="e">
        <f t="shared" si="8"/>
        <v>#REF!</v>
      </c>
      <c r="AI43" s="41" t="e">
        <f t="shared" si="9"/>
        <v>#REF!</v>
      </c>
      <c r="AJ43" s="41" t="e">
        <f t="shared" si="10"/>
        <v>#REF!</v>
      </c>
      <c r="AK43" s="61" t="e">
        <f t="shared" si="11"/>
        <v>#REF!</v>
      </c>
    </row>
    <row r="44" spans="1:37" ht="15" x14ac:dyDescent="0.2">
      <c r="A44" s="57" t="s">
        <v>175</v>
      </c>
      <c r="B44" s="98" t="str">
        <f>VLOOKUP(A44,Correspondance!$I$3:$J$6,2,FALSE)</f>
        <v>Le Monde Diplomatique</v>
      </c>
      <c r="C44" s="60" t="e">
        <f>GETPIVOTDATA("Phrase d'accueil et présentation complète.",'TCD FO par titre'!$A$3,"MOIS",$K$4,"Titre2",$A$34)</f>
        <v>#REF!</v>
      </c>
      <c r="D44" s="41" t="e">
        <f>GETPIVOTDATA("Identification client.",'TCD FO par titre'!$A$3,"MOIS",$K$4,"Titre2",$A$34)</f>
        <v>#REF!</v>
      </c>
      <c r="E44" s="41" t="e">
        <f>GETPIVOTDATA("Vérification et MAJ de l'adresse électronique.",'TCD FO par titre'!$A$3,"MOIS",$K$4,"Titre2",$A$34)</f>
        <v>#REF!</v>
      </c>
      <c r="F44" s="41" t="e">
        <f>GETPIVOTDATA("Vérification et MAJ du numéro de téléphone.",'TCD FO par titre'!$A$3,"MOIS",$K$4,"Titre2",$A$34)</f>
        <v>#REF!</v>
      </c>
      <c r="G44" s="61" t="e">
        <f>GETPIVOTDATA("Vérification et MAJ de l'adresse postale.",'TCD FO par titre'!$A$3,"MOIS",$K$4,"Titre2",$A$34)</f>
        <v>#REF!</v>
      </c>
      <c r="H44" s="60" t="e">
        <f>GETPIVOTDATA("Directivité - Maîtrise de l'entretien.",'TCD FO par titre'!$A$3,"MOIS",$K$4,"Titre2",$A$34)</f>
        <v>#REF!</v>
      </c>
      <c r="I44" s="41" t="e">
        <f>GETPIVOTDATA("Ecoute active/implication.",'TCD FO par titre'!$A$3,"MOIS",$K$4,"Titre2",$A$34)</f>
        <v>#REF!</v>
      </c>
      <c r="J44" s="41" t="e">
        <f>GETPIVOTDATA("Ton, débit, volume, empathie.",'TCD FO par titre'!$A$3,"MOIS",$K$4,"Titre2",$A$34)</f>
        <v>#REF!</v>
      </c>
      <c r="K44" s="41" t="e">
        <f>GETPIVOTDATA("Vocabulaire, jargon, utilisation du JE et du présent, syntaxe.",'TCD FO par titre'!$A$3,"MOIS",$K$4,"Titre2",$A$34)</f>
        <v>#REF!</v>
      </c>
      <c r="L44" s="61" t="e">
        <f>GETPIVOTDATA("Amabilité, courtoisie, sourire.",'TCD FO par titre'!$A$3,"MOIS",$K$4,"Titre2",$A$34)</f>
        <v>#REF!</v>
      </c>
      <c r="M44" s="60" t="e">
        <f>GETPIVOTDATA("Reformulation.",'TCD FO par titre'!$A$3,"MOIS",$K$4,"Titre2",$A$34)</f>
        <v>#REF!</v>
      </c>
      <c r="N44" s="41" t="e">
        <f>GETPIVOTDATA("Questionnement.",'TCD FO par titre'!$A$3,"MOIS",$K$4,"Titre2",$A$34)</f>
        <v>#REF!</v>
      </c>
      <c r="O44" s="41" t="e">
        <f>GETPIVOTDATA("Réponse correcte et complète - Résolution au premier contact.",'TCD FO par titre'!$A$3,"MOIS",$K$4,"Titre2",$A$34)</f>
        <v>#REF!</v>
      </c>
      <c r="P44" s="41" t="e">
        <f>GETPIVOTDATA("Traitement des objections.",'TCD FO par titre'!$A$3,"MOIS",$K$4,"Titre2",$A$34)</f>
        <v>#REF!</v>
      </c>
      <c r="Q44" s="41" t="e">
        <f>GETPIVOTDATA("Fiabilisation.",'TCD FO par titre'!$A$3,"MOIS",$K$4,"Titre2",$A$34)</f>
        <v>#REF!</v>
      </c>
      <c r="R44" s="41" t="e">
        <f>GETPIVOTDATA("Mise en attente.",'TCD FO par titre'!$A$3,"MOIS",$K$4,"Titre2",$A$34)</f>
        <v>#REF!</v>
      </c>
      <c r="S44" s="61" t="e">
        <f>GETPIVOTDATA("Actions nécessaires effectuées - Respect des procédures.",'TCD FO par titre'!$A$3,"MOIS",$K$4,"Titre2",$A$34)</f>
        <v>#REF!</v>
      </c>
      <c r="T44" s="60" t="e">
        <f>GETPIVOTDATA("Actions nécessaires effectuées - Respect des procédures.",'TCD FO par titre'!$A$3,"MOIS",$K$4,"Titre2",$A$34)</f>
        <v>#REF!</v>
      </c>
      <c r="U44" s="41" t="e">
        <f>GETPIVOTDATA("Utilisation de l'historique client.",'TCD FO par titre'!$A$3,"MOIS",$K$4,"Titre2",$A$34)</f>
        <v>#REF!</v>
      </c>
      <c r="V44" s="41" t="e">
        <f>GETPIVOTDATA("Accompagnement et valorisation du client.",'TCD FO par titre'!$A$3,"MOIS",$K$4,"Titre2",$A$34)</f>
        <v>#REF!</v>
      </c>
      <c r="W44" s="41" t="e">
        <f>GETPIVOTDATA("Valorisation du service et/ou du produit.",'TCD FO par titre'!$A$3,"MOIS",$K$4,"Titre2",$A$34)</f>
        <v>#REF!</v>
      </c>
      <c r="X44" s="61" t="e">
        <f>GETPIVOTDATA("MAJ des connaissances produit (intranet, etc.).",'TCD FO par titre'!$A$3,"MOIS",$K$4,"Titre2",$A$34)</f>
        <v>#REF!</v>
      </c>
      <c r="Y44" s="60" t="e">
        <f>GETPIVOTDATA("Verrouillage.",'TCD FO par titre'!$A$3,"MOIS",$K$4,"Titre2",$A$34)</f>
        <v>#REF!</v>
      </c>
      <c r="Z44" s="41" t="e">
        <f>GETPIVOTDATA("Remerciement.",'TCD FO par titre'!$A$3,"MOIS",$K$4,"Titre2",$A$34)</f>
        <v>#REF!</v>
      </c>
      <c r="AA44" s="61" t="e">
        <f>GETPIVOTDATA("Souhaite quelque chose d'agréable.",'TCD FO par titre'!$A$3,"MOIS",$K$4,"Titre2",$A$34)</f>
        <v>#REF!</v>
      </c>
      <c r="AB44" s="103" t="e">
        <f>GETPIVOTDATA("Pose du contact - PRN.",'TCD FO par titre'!$A$3,"MOIS",$K$4,"Titre2",$A$34)</f>
        <v>#REF!</v>
      </c>
      <c r="AC44" s="41" t="e">
        <f>GETPIVOTDATA("Commentaires de contacts.",'TCD FO par titre'!$A$3,"MOIS",$K$4,"Titre2",$A$34)</f>
        <v>#REF!</v>
      </c>
      <c r="AD44" s="61" t="e">
        <f>GETPIVOTDATA("Communication sortante.",'TCD FO par titre'!$A$3,"MOIS",$K$4,"Titre2",$A$34)</f>
        <v>#REF!</v>
      </c>
      <c r="AF44" s="60" t="e">
        <f t="shared" si="6"/>
        <v>#REF!</v>
      </c>
      <c r="AG44" s="41" t="e">
        <f t="shared" si="7"/>
        <v>#REF!</v>
      </c>
      <c r="AH44" s="41" t="e">
        <f t="shared" si="8"/>
        <v>#REF!</v>
      </c>
      <c r="AI44" s="41" t="e">
        <f t="shared" si="9"/>
        <v>#REF!</v>
      </c>
      <c r="AJ44" s="41" t="e">
        <f t="shared" si="10"/>
        <v>#REF!</v>
      </c>
      <c r="AK44" s="61" t="e">
        <f t="shared" si="11"/>
        <v>#REF!</v>
      </c>
    </row>
    <row r="45" spans="1:37" ht="15.75" thickBot="1" x14ac:dyDescent="0.25">
      <c r="A45" s="57" t="s">
        <v>47</v>
      </c>
      <c r="B45" s="99" t="str">
        <f>VLOOKUP(A45,Correspondance!$I$3:$J$6,2,FALSE)</f>
        <v>SEM</v>
      </c>
      <c r="C45" s="62" t="e">
        <f>GETPIVOTDATA("Phrase d'accueil et présentation complète.",'TCD FO par titre'!$A$3,"MOIS",$K$4,"Titre2",$A$35)</f>
        <v>#REF!</v>
      </c>
      <c r="D45" s="63" t="e">
        <f>GETPIVOTDATA("Identification client.",'TCD FO par titre'!$A$3,"MOIS",$K$4,"Titre2",$A$35)</f>
        <v>#REF!</v>
      </c>
      <c r="E45" s="63" t="e">
        <f>GETPIVOTDATA("Vérification et MAJ de l'adresse électronique.",'TCD FO par titre'!$A$3,"MOIS",$K$4,"Titre2",$A$35)</f>
        <v>#REF!</v>
      </c>
      <c r="F45" s="63" t="e">
        <f>GETPIVOTDATA("Vérification et MAJ du numéro de téléphone.",'TCD FO par titre'!$A$3,"MOIS",$K$4,"Titre2",$A$35)</f>
        <v>#REF!</v>
      </c>
      <c r="G45" s="64" t="e">
        <f>GETPIVOTDATA("Vérification et MAJ de l'adresse postale.",'TCD FO par titre'!$A$3,"MOIS",$K$4,"Titre2",$A$35)</f>
        <v>#REF!</v>
      </c>
      <c r="H45" s="62" t="e">
        <f>GETPIVOTDATA("Directivité - Maîtrise de l'entretien.",'TCD FO par titre'!$A$3,"MOIS",$K$4,"Titre2",$A$35)</f>
        <v>#REF!</v>
      </c>
      <c r="I45" s="63" t="e">
        <f>GETPIVOTDATA("Ecoute active/implication.",'TCD FO par titre'!$A$3,"MOIS",$K$4,"Titre2",$A$35)</f>
        <v>#REF!</v>
      </c>
      <c r="J45" s="63" t="e">
        <f>GETPIVOTDATA("Ton, débit, volume, empathie.",'TCD FO par titre'!$A$3,"MOIS",$K$4,"Titre2",$A$35)</f>
        <v>#REF!</v>
      </c>
      <c r="K45" s="63" t="e">
        <f>GETPIVOTDATA("Vocabulaire, jargon, utilisation du JE et du présent, syntaxe.",'TCD FO par titre'!$A$3,"MOIS",$K$4,"Titre2",$A$35)</f>
        <v>#REF!</v>
      </c>
      <c r="L45" s="64" t="e">
        <f>GETPIVOTDATA("Amabilité, courtoisie, sourire.",'TCD FO par titre'!$A$3,"MOIS",$K$4,"Titre2",$A$35)</f>
        <v>#REF!</v>
      </c>
      <c r="M45" s="62" t="e">
        <f>GETPIVOTDATA("Reformulation.",'TCD FO par titre'!$A$3,"MOIS",$K$4,"Titre2",$A$35)</f>
        <v>#REF!</v>
      </c>
      <c r="N45" s="63" t="e">
        <f>GETPIVOTDATA("Questionnement.",'TCD FO par titre'!$A$3,"MOIS",$K$4,"Titre2",$A$35)</f>
        <v>#REF!</v>
      </c>
      <c r="O45" s="63" t="e">
        <f>GETPIVOTDATA("Réponse correcte et complète - Résolution au premier contact.",'TCD FO par titre'!$A$3,"MOIS",$K$4,"Titre2",$A$35)</f>
        <v>#REF!</v>
      </c>
      <c r="P45" s="63" t="e">
        <f>GETPIVOTDATA("Traitement des objections.",'TCD FO par titre'!$A$3,"MOIS",$K$4,"Titre2",$A$35)</f>
        <v>#REF!</v>
      </c>
      <c r="Q45" s="63" t="e">
        <f>GETPIVOTDATA("Fiabilisation.",'TCD FO par titre'!$A$3,"MOIS",$K$4,"Titre2",$A$35)</f>
        <v>#REF!</v>
      </c>
      <c r="R45" s="63" t="e">
        <f>GETPIVOTDATA("Mise en attente.",'TCD FO par titre'!$A$3,"MOIS",$K$4,"Titre2",$A$35)</f>
        <v>#REF!</v>
      </c>
      <c r="S45" s="64" t="e">
        <f>GETPIVOTDATA("Actions nécessaires effectuées - Respect des procédures.",'TCD FO par titre'!$A$3,"MOIS",$K$4,"Titre2",$A$35)</f>
        <v>#REF!</v>
      </c>
      <c r="T45" s="62" t="e">
        <f>GETPIVOTDATA("Actions nécessaires effectuées - Respect des procédures.",'TCD FO par titre'!$A$3,"MOIS",$K$4,"Titre2",$A$35)</f>
        <v>#REF!</v>
      </c>
      <c r="U45" s="63" t="e">
        <f>GETPIVOTDATA("Utilisation de l'historique client.",'TCD FO par titre'!$A$3,"MOIS",$K$4,"Titre2",$A$35)</f>
        <v>#REF!</v>
      </c>
      <c r="V45" s="63" t="e">
        <f>GETPIVOTDATA("Accompagnement et valorisation du client.",'TCD FO par titre'!$A$3,"MOIS",$K$4,"Titre2",$A$35)</f>
        <v>#REF!</v>
      </c>
      <c r="W45" s="63" t="e">
        <f>GETPIVOTDATA("Valorisation du service et/ou du produit.",'TCD FO par titre'!$A$3,"MOIS",$K$4,"Titre2",$A$35)</f>
        <v>#REF!</v>
      </c>
      <c r="X45" s="64" t="e">
        <f>GETPIVOTDATA("MAJ des connaissances produit (intranet, etc.).",'TCD FO par titre'!$A$3,"MOIS",$K$4,"Titre2",$A$35)</f>
        <v>#REF!</v>
      </c>
      <c r="Y45" s="62" t="e">
        <f>GETPIVOTDATA("Verrouillage.",'TCD FO par titre'!$A$3,"MOIS",$K$4,"Titre2",$A$35)</f>
        <v>#REF!</v>
      </c>
      <c r="Z45" s="63" t="e">
        <f>GETPIVOTDATA("Remerciement.",'TCD FO par titre'!$A$3,"MOIS",$K$4,"Titre2",$A$35)</f>
        <v>#REF!</v>
      </c>
      <c r="AA45" s="64" t="e">
        <f>GETPIVOTDATA("Souhaite quelque chose d'agréable.",'TCD FO par titre'!$A$3,"MOIS",$K$4,"Titre2",$A$35)</f>
        <v>#REF!</v>
      </c>
      <c r="AB45" s="104" t="e">
        <f>GETPIVOTDATA("Pose du contact - PRN.",'TCD FO par titre'!$A$3,"MOIS",$K$4,"Titre2",$A$35)</f>
        <v>#REF!</v>
      </c>
      <c r="AC45" s="63" t="e">
        <f>GETPIVOTDATA("Commentaires de contacts.",'TCD FO par titre'!$A$3,"MOIS",$K$4,"Titre2",$A$35)</f>
        <v>#REF!</v>
      </c>
      <c r="AD45" s="64" t="e">
        <f>GETPIVOTDATA("Communication sortante.",'TCD FO par titre'!$A$3,"MOIS",$K$4,"Titre2",$A$35)</f>
        <v>#REF!</v>
      </c>
      <c r="AF45" s="62" t="e">
        <f t="shared" si="6"/>
        <v>#REF!</v>
      </c>
      <c r="AG45" s="63" t="e">
        <f t="shared" si="7"/>
        <v>#REF!</v>
      </c>
      <c r="AH45" s="63" t="e">
        <f t="shared" si="8"/>
        <v>#REF!</v>
      </c>
      <c r="AI45" s="63" t="e">
        <f t="shared" si="9"/>
        <v>#REF!</v>
      </c>
      <c r="AJ45" s="63" t="e">
        <f t="shared" si="10"/>
        <v>#REF!</v>
      </c>
      <c r="AK45" s="64" t="e">
        <f t="shared" si="11"/>
        <v>#REF!</v>
      </c>
    </row>
    <row r="46" spans="1:37" ht="23.25" customHeight="1" x14ac:dyDescent="0.2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</row>
    <row r="47" spans="1:37" ht="409.5" customHeight="1" x14ac:dyDescent="0.2">
      <c r="C47" s="94"/>
    </row>
    <row r="48" spans="1:37" x14ac:dyDescent="0.2">
      <c r="C48" s="94"/>
    </row>
  </sheetData>
  <mergeCells count="5">
    <mergeCell ref="B27:AC27"/>
    <mergeCell ref="B1:AD1"/>
    <mergeCell ref="B3:C3"/>
    <mergeCell ref="D3:G3"/>
    <mergeCell ref="B6:AC6"/>
  </mergeCells>
  <conditionalFormatting sqref="C9:W19 C31:AD45">
    <cfRule type="cellIs" dxfId="170" priority="13" operator="lessThan">
      <formula>0.9</formula>
    </cfRule>
    <cfRule type="cellIs" dxfId="169" priority="14" operator="equal">
      <formula>1</formula>
    </cfRule>
  </conditionalFormatting>
  <conditionalFormatting sqref="C20:W23">
    <cfRule type="cellIs" dxfId="168" priority="5" operator="lessThan">
      <formula>0.9</formula>
    </cfRule>
    <cfRule type="cellIs" dxfId="167" priority="6" operator="equal">
      <formula>1</formula>
    </cfRule>
  </conditionalFormatting>
  <conditionalFormatting sqref="Y9:AD23">
    <cfRule type="cellIs" dxfId="166" priority="3" operator="lessThan">
      <formula>0.9</formula>
    </cfRule>
    <cfRule type="cellIs" dxfId="165" priority="4" operator="equal">
      <formula>1</formula>
    </cfRule>
  </conditionalFormatting>
  <conditionalFormatting sqref="AF31:AK45">
    <cfRule type="cellIs" dxfId="164" priority="1" operator="lessThan">
      <formula>0.9</formula>
    </cfRule>
    <cfRule type="cellIs" dxfId="163" priority="2" operator="equal">
      <formula>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E55"/>
  <sheetViews>
    <sheetView tabSelected="1" topLeftCell="A25" zoomScale="70" zoomScaleNormal="70" workbookViewId="0">
      <selection activeCell="R18" sqref="R18"/>
    </sheetView>
  </sheetViews>
  <sheetFormatPr baseColWidth="10" defaultRowHeight="12.75" x14ac:dyDescent="0.2"/>
  <cols>
    <col min="1" max="1" width="1.7109375" customWidth="1"/>
    <col min="2" max="2" width="53.42578125" bestFit="1" customWidth="1"/>
    <col min="4" max="4" width="13.7109375" customWidth="1"/>
  </cols>
  <sheetData>
    <row r="1" spans="1:30" ht="45.75" customHeight="1" x14ac:dyDescent="0.6">
      <c r="B1" s="124" t="s">
        <v>558</v>
      </c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</row>
    <row r="3" spans="1:30" ht="27" x14ac:dyDescent="0.2">
      <c r="B3" s="125" t="s">
        <v>428</v>
      </c>
      <c r="C3" s="125"/>
      <c r="D3" s="125" t="s">
        <v>412</v>
      </c>
      <c r="E3" s="125"/>
      <c r="F3" s="125"/>
      <c r="G3" s="125"/>
    </row>
    <row r="4" spans="1:30" ht="27" x14ac:dyDescent="0.2">
      <c r="B4" s="55"/>
      <c r="C4" s="55"/>
      <c r="D4" s="55"/>
      <c r="E4" s="55"/>
      <c r="F4" s="55"/>
      <c r="G4" s="55"/>
    </row>
    <row r="5" spans="1:30" ht="27" x14ac:dyDescent="0.2">
      <c r="B5" s="55"/>
      <c r="C5" s="55"/>
      <c r="D5" s="55"/>
      <c r="E5" s="55"/>
      <c r="F5" s="55"/>
      <c r="G5" s="55"/>
    </row>
    <row r="6" spans="1:30" ht="27" x14ac:dyDescent="0.2">
      <c r="B6" s="123" t="str">
        <f>CONCATENATE("Suivi BO de ",D3," - version COPIL ")</f>
        <v xml:space="preserve">Suivi BO de Mars - version COPIL 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</row>
    <row r="7" spans="1:30" ht="25.5" customHeight="1" x14ac:dyDescent="0.2"/>
    <row r="8" spans="1:30" ht="313.5" customHeight="1" x14ac:dyDescent="0.2">
      <c r="B8" s="36"/>
      <c r="C8" s="44" t="s">
        <v>430</v>
      </c>
      <c r="D8" s="43" t="s">
        <v>431</v>
      </c>
      <c r="E8" s="43" t="s">
        <v>432</v>
      </c>
      <c r="F8" s="43" t="s">
        <v>433</v>
      </c>
      <c r="G8" s="43" t="s">
        <v>451</v>
      </c>
      <c r="H8" s="43" t="s">
        <v>434</v>
      </c>
      <c r="I8" s="43" t="s">
        <v>435</v>
      </c>
      <c r="J8" s="43" t="s">
        <v>436</v>
      </c>
      <c r="K8" s="43" t="s">
        <v>437</v>
      </c>
      <c r="L8" s="43" t="s">
        <v>438</v>
      </c>
      <c r="M8" s="43" t="s">
        <v>439</v>
      </c>
      <c r="N8" s="43" t="s">
        <v>440</v>
      </c>
      <c r="O8" s="43" t="s">
        <v>441</v>
      </c>
      <c r="P8" s="43" t="s">
        <v>442</v>
      </c>
      <c r="Q8" s="43" t="s">
        <v>449</v>
      </c>
      <c r="R8" s="43" t="s">
        <v>443</v>
      </c>
      <c r="S8" s="43" t="s">
        <v>444</v>
      </c>
      <c r="T8" s="43" t="s">
        <v>445</v>
      </c>
      <c r="U8" s="43" t="s">
        <v>446</v>
      </c>
      <c r="V8" s="43" t="s">
        <v>447</v>
      </c>
      <c r="W8" s="43" t="s">
        <v>448</v>
      </c>
    </row>
    <row r="9" spans="1:30" ht="15" x14ac:dyDescent="0.2">
      <c r="A9" s="57"/>
      <c r="B9" s="40" t="str">
        <f>CONCATENATE(B3," ",D3)</f>
        <v>MOIS : Mars</v>
      </c>
      <c r="C9" s="41">
        <f>GETPIVOTDATA("Identification (ou création) du dossier.",'TCD BO'!$A$4,"MOIS",$D$3)</f>
        <v>0.99038461538461542</v>
      </c>
      <c r="D9" s="41">
        <f>GETPIVOTDATA("MAJ des coordonnées postales.",'TCD BO'!$A$4,"MOIS",$D$3)</f>
        <v>0.9859154929577465</v>
      </c>
      <c r="E9" s="41">
        <f>GETPIVOTDATA("MAJ des moyens de communication (téléphone, adresse électronique).",'TCD BO'!$A$4,"MOIS",$D$3)</f>
        <v>0.88732394366197187</v>
      </c>
      <c r="F9" s="41">
        <f>GETPIVOTDATA("Analyse de la demande, des commandes et de l'historique des échanges.",'TCD BO'!$A$4,"MOIS",$D$3)</f>
        <v>0.96153846153846156</v>
      </c>
      <c r="G9" s="41">
        <f>GETPIVOTDATA("MAJ des con issances produit (intranet, etc.).",'TCD BO'!$A$4,"MOIS",$D$3)</f>
        <v>1</v>
      </c>
      <c r="H9" s="41">
        <f>GETPIVOTDATA("Respect des procédures.",'TCD BO'!$A$4,"MOIS",$D$3)</f>
        <v>1</v>
      </c>
      <c r="I9" s="41">
        <f>GETPIVOTDATA("Respect des règles de gestion (cm, anomalie portage, etc.).",'TCD BO'!$A$4,"MOIS",$D$3)</f>
        <v>0.99</v>
      </c>
      <c r="J9" s="41">
        <f>GETPIVOTDATA("Appel à l'assistance/cellule prio - Escalade vers le niveau 2.",'TCD BO'!$A$4,"MOIS",$D$3)</f>
        <v>0.83333333333333337</v>
      </c>
      <c r="K9" s="41">
        <f>GETPIVOTDATA("Choix du modèle-type.",'TCD BO'!$A$4,"MOIS",$D$3)</f>
        <v>0.97115384615384615</v>
      </c>
      <c r="L9" s="41">
        <f>GETPIVOTDATA("Réponse correcte et complète - Résolution au premier contact.",'TCD BO'!$A$4,"MOIS",$D$3)</f>
        <v>0.83333333333333337</v>
      </c>
      <c r="M9" s="41">
        <f>GETPIVOTDATA("Aucune faute de grammaire ou d'orthographe.",'TCD BO'!$A$4,"MOIS",$D$3)</f>
        <v>0.99019607843137258</v>
      </c>
      <c r="N9" s="41">
        <f>GETPIVOTDATA("Syntaxe claire et ponctuée.",'TCD BO'!$A$4,"MOIS",$D$3)</f>
        <v>0.97058823529411764</v>
      </c>
      <c r="O9" s="41">
        <f>GETPIVOTDATA("Adresse mail expéditeur et destinataire.",'TCD BO'!$A$4,"MOIS",$D$3)</f>
        <v>1</v>
      </c>
      <c r="P9" s="41">
        <f>GETPIVOTDATA("Personnalisation de la réponse.",'TCD BO'!$A$4,"MOIS",$D$3)</f>
        <v>0.94</v>
      </c>
      <c r="Q9" s="41">
        <f>GETPIVOTDATA("Entête nominative - formule de politesse et prise de congé adaptées.",'TCD BO'!$A$4,"MOIS",$D$3)</f>
        <v>0.99</v>
      </c>
      <c r="R9" s="41">
        <f>GETPIVOTDATA("Accompagnement client - sens du service.",'TCD BO'!$A$4,"MOIS",$D$3)</f>
        <v>1</v>
      </c>
      <c r="S9" s="41">
        <f>GETPIVOTDATA("Présentation et mise en valeur des offres.",'TCD BO'!$A$4,"MOIS",$D$3)</f>
        <v>1</v>
      </c>
      <c r="T9" s="41">
        <f>GETPIVOTDATA("Valorisation des gestes co/dédommagement - valorisation de la marque.",'TCD BO'!$A$4,"MOIS",$D$3)</f>
        <v>0.95081967213114749</v>
      </c>
      <c r="U9" s="41">
        <f>GETPIVOTDATA("Valorisation client.",'TCD BO'!$A$4,"MOIS",$D$3)</f>
        <v>1</v>
      </c>
      <c r="V9" s="41">
        <f>GETPIVOTDATA("Pose du contact - PRN.",'TCD BO'!$A$4,"MOIS",$D$3)</f>
        <v>0.97115384615384615</v>
      </c>
      <c r="W9" s="41">
        <f>GETPIVOTDATA("Commentaire.",'TCD BO'!$A$4,"MOIS",$D$3)</f>
        <v>0.98076923076923073</v>
      </c>
    </row>
    <row r="10" spans="1:30" ht="15" x14ac:dyDescent="0.2">
      <c r="A10" s="57" t="s">
        <v>74</v>
      </c>
      <c r="B10" s="40" t="str">
        <f>VLOOKUP(A10,Correspondance!$I$3:$J$6,2,FALSE)</f>
        <v>Courrier Internationnal</v>
      </c>
      <c r="C10" s="41">
        <f>GETPIVOTDATA("Identification (ou création) du dossier.",'TCD BO par titre'!$A$4,"MOIS",$D$3,"Titre2",$A$10)</f>
        <v>1</v>
      </c>
      <c r="D10" s="41">
        <f>GETPIVOTDATA("MAJ des coordonnées postales.",'TCD BO par titre'!$A$4,"MOIS",$D$3,"Titre2",$A$10)</f>
        <v>1</v>
      </c>
      <c r="E10" s="41">
        <f>GETPIVOTDATA("MAJ des moyens de communication (téléphone, adresse électronique).",'TCD BO par titre'!$A$4,"MOIS",$D$3,"Titre2",$A$10)</f>
        <v>0.7142857142857143</v>
      </c>
      <c r="F10" s="41">
        <f>GETPIVOTDATA("Analyse de la demande, des commandes et de l'historique des échanges.",'TCD BO par titre'!$A$4,"MOIS",$D$3,"Titre2",$A$10)</f>
        <v>0.95454545454545459</v>
      </c>
      <c r="G10" s="41" t="str">
        <f>GETPIVOTDATA("MAJ des con issances produit (intranet, etc.).",'TCD BO par titre'!$A$4,"MOIS",$D$3,"Titre2",$A$10)</f>
        <v>NA</v>
      </c>
      <c r="H10" s="41">
        <f>GETPIVOTDATA("Respect des procédures.",'TCD BO par titre'!$A$4,"MOIS",$D$3,"Titre2",$A$10)</f>
        <v>1</v>
      </c>
      <c r="I10" s="41">
        <f>GETPIVOTDATA("Respect des règles de gestion (cm, anomalie portage, etc.).",'TCD BO par titre'!$A$4,"MOIS",$D$3,"Titre2",$A$10)</f>
        <v>1</v>
      </c>
      <c r="J10" s="41">
        <f>GETPIVOTDATA("Appel à l'assistance/cellule prio - Escalade vers le niveau 2.",'TCD BO par titre'!$A$4,"MOIS",$D$3,"Titre2",$A$10)</f>
        <v>0</v>
      </c>
      <c r="K10" s="41">
        <f>GETPIVOTDATA("Choix du modèle-type.",'TCD BO par titre'!$A$4,"MOIS",$D$3,"Titre2",$A$10)</f>
        <v>0.95454545454545459</v>
      </c>
      <c r="L10" s="41">
        <f>GETPIVOTDATA("Réponse correcte et complète - Résolution au premier contact.",'TCD BO par titre'!$A$4,"MOIS",$D$3,"Titre2",$A$10)</f>
        <v>0.77272727272727271</v>
      </c>
      <c r="M10" s="41">
        <f>GETPIVOTDATA("Aucune faute de grammaire ou d'orthographe.",'TCD BO par titre'!$A$4,"MOIS",$D$3,"Titre2",$A$10)</f>
        <v>1</v>
      </c>
      <c r="N10" s="41">
        <f>GETPIVOTDATA("Syntaxe claire et ponctuée.",'TCD BO par titre'!$A$4,"MOIS",$D$3,"Titre2",$A$10)</f>
        <v>1</v>
      </c>
      <c r="O10" s="41">
        <f>GETPIVOTDATA("Adresse mail expéditeur et destinataire.",'TCD BO par titre'!$A$4,"MOIS",$D$3,"Titre2",$A$10)</f>
        <v>1</v>
      </c>
      <c r="P10" s="41">
        <f>GETPIVOTDATA("Personnalisation de la réponse.",'TCD BO par titre'!$A$4,"MOIS",$D$3,"Titre2",$A$10)</f>
        <v>0.90476190476190477</v>
      </c>
      <c r="Q10" s="41">
        <f>GETPIVOTDATA("Entête nominative - formule de politesse et prise de congé adaptées.",'TCD BO par titre'!$A$4,"MOIS",$D$3,"Titre2",$A$10)</f>
        <v>1</v>
      </c>
      <c r="R10" s="41">
        <f>GETPIVOTDATA("Accompagnement client - sens du service.",'TCD BO par titre'!$A$4,"MOIS",$D$3,"Titre2",$A$10)</f>
        <v>1</v>
      </c>
      <c r="S10" s="41">
        <f>GETPIVOTDATA("Présentation et mise en valeur des offres.",'TCD BO par titre'!$A$4,"MOIS",$D$3,"Titre2",$A$10)</f>
        <v>1</v>
      </c>
      <c r="T10" s="41">
        <f>GETPIVOTDATA("Valorisation des gestes co/dédommagement - valorisation de la marque.",'TCD BO par titre'!$A$4,"MOIS",$D$3,"Titre2",$A$10)</f>
        <v>0.9285714285714286</v>
      </c>
      <c r="U10" s="41">
        <f>GETPIVOTDATA("Valorisation client.",'TCD BO par titre'!$A$4,"MOIS",$D$3,"Titre2",$A$10)</f>
        <v>1</v>
      </c>
      <c r="V10" s="41">
        <f>GETPIVOTDATA("Pose du contact - PRN.",'TCD BO par titre'!$A$4,"MOIS",$D$3,"Titre2",$A$10)</f>
        <v>0.95454545454545459</v>
      </c>
      <c r="W10" s="41">
        <f>GETPIVOTDATA("Commentaire.",'TCD BO par titre'!$A$4,"MOIS",$D$3,"Titre2",$A$10)</f>
        <v>1</v>
      </c>
    </row>
    <row r="11" spans="1:30" ht="15" x14ac:dyDescent="0.2">
      <c r="A11" s="57" t="s">
        <v>99</v>
      </c>
      <c r="B11" s="40" t="str">
        <f>VLOOKUP(A11,Correspondance!$I$3:$J$6,2,FALSE)</f>
        <v>Le Monde.FR</v>
      </c>
      <c r="C11" s="41">
        <f>GETPIVOTDATA("Identification (ou création) du dossier.",'TCD BO par titre'!$A$4,"MOIS",$D$3,"Titre2",$A$11)</f>
        <v>1</v>
      </c>
      <c r="D11" s="41">
        <f>GETPIVOTDATA("MAJ des coordonnées postales.",'TCD BO par titre'!$A$4,"MOIS",$D$3,"Titre2",$A$11)</f>
        <v>1</v>
      </c>
      <c r="E11" s="41">
        <f>GETPIVOTDATA("MAJ des moyens de communication (téléphone, adresse électronique).",'TCD BO par titre'!$A$4,"MOIS",$D$3,"Titre2",$A$11)</f>
        <v>1</v>
      </c>
      <c r="F11" s="41">
        <f>GETPIVOTDATA("Analyse de la demande, des commandes et de l'historique des échanges.",'TCD BO par titre'!$A$4,"MOIS",$D$3,"Titre2",$A$11)</f>
        <v>0.96551724137931039</v>
      </c>
      <c r="G11" s="41">
        <f>GETPIVOTDATA("MAJ des con issances produit (intranet, etc.).",'TCD BO par titre'!$A$4,"MOIS",$D$3,"Titre2",$A$11)</f>
        <v>1</v>
      </c>
      <c r="H11" s="41">
        <f>GETPIVOTDATA("Respect des procédures.",'TCD BO par titre'!$A$4,"MOIS",$D$3,"Titre2",$A$11)</f>
        <v>1</v>
      </c>
      <c r="I11" s="41">
        <f>GETPIVOTDATA("Respect des règles de gestion (cm, anomalie portage, etc.).",'TCD BO par titre'!$A$4,"MOIS",$D$3,"Titre2",$A$11)</f>
        <v>1</v>
      </c>
      <c r="J11" s="41">
        <f>GETPIVOTDATA("Appel à l'assistance/cellule prio - Escalade vers le niveau 2.",'TCD BO par titre'!$A$4,"MOIS",$D$3,"Titre2",$A$11)</f>
        <v>1</v>
      </c>
      <c r="K11" s="41">
        <f>GETPIVOTDATA("Choix du modèle-type.",'TCD BO par titre'!$A$4,"MOIS",$D$3,"Titre2",$A$11)</f>
        <v>1</v>
      </c>
      <c r="L11" s="41">
        <f>GETPIVOTDATA("Réponse correcte et complète - Résolution au premier contact.",'TCD BO par titre'!$A$4,"MOIS",$D$3,"Titre2",$A$11)</f>
        <v>0.89655172413793105</v>
      </c>
      <c r="M11" s="41">
        <f>GETPIVOTDATA("Aucune faute de grammaire ou d'orthographe.",'TCD BO par titre'!$A$4,"MOIS",$D$3,"Titre2",$A$11)</f>
        <v>0.96551724137931039</v>
      </c>
      <c r="N11" s="41">
        <f>GETPIVOTDATA("Syntaxe claire et ponctuée.",'TCD BO par titre'!$A$4,"MOIS",$D$3,"Titre2",$A$11)</f>
        <v>0.96551724137931039</v>
      </c>
      <c r="O11" s="41">
        <f>GETPIVOTDATA("Adresse mail expéditeur et destinataire.",'TCD BO par titre'!$A$4,"MOIS",$D$3,"Titre2",$A$11)</f>
        <v>1</v>
      </c>
      <c r="P11" s="41">
        <f>GETPIVOTDATA("Personnalisation de la réponse.",'TCD BO par titre'!$A$4,"MOIS",$D$3,"Titre2",$A$11)</f>
        <v>0.96551724137931039</v>
      </c>
      <c r="Q11" s="41">
        <f>GETPIVOTDATA("Entête nominative - formule de politesse et prise de congé adaptées.",'TCD BO par titre'!$A$4,"MOIS",$D$3,"Titre2",$A$11)</f>
        <v>0.96551724137931039</v>
      </c>
      <c r="R11" s="41">
        <f>GETPIVOTDATA("Accompagnement client - sens du service.",'TCD BO par titre'!$A$4,"MOIS",$D$3,"Titre2",$A$11)</f>
        <v>1</v>
      </c>
      <c r="S11" s="41">
        <f>GETPIVOTDATA("Présentation et mise en valeur des offres.",'TCD BO par titre'!$A$4,"MOIS",$D$3,"Titre2",$A$11)</f>
        <v>1</v>
      </c>
      <c r="T11" s="41">
        <f>GETPIVOTDATA("Valorisation des gestes co/dédommagement - valorisation de la marque.",'TCD BO par titre'!$A$4,"MOIS",$D$3,"Titre2",$A$11)</f>
        <v>1</v>
      </c>
      <c r="U11" s="41">
        <f>GETPIVOTDATA("Valorisation client.",'TCD BO par titre'!$A$4,"MOIS",$D$3,"Titre2",$A$11)</f>
        <v>1</v>
      </c>
      <c r="V11" s="41">
        <f>GETPIVOTDATA("Pose du contact - PRN.",'TCD BO par titre'!$A$4,"MOIS",$D$3,"Titre2",$A$11)</f>
        <v>1</v>
      </c>
      <c r="W11" s="41">
        <f>GETPIVOTDATA("Commentaire.",'TCD BO par titre'!$A$4,"MOIS",$D$3,"Titre2",$A$11)</f>
        <v>1</v>
      </c>
    </row>
    <row r="12" spans="1:30" ht="15" x14ac:dyDescent="0.2">
      <c r="A12" s="57" t="s">
        <v>175</v>
      </c>
      <c r="B12" s="40" t="str">
        <f>VLOOKUP(A12,Correspondance!$I$3:$J$6,2,FALSE)</f>
        <v>Le Monde Diplomatique</v>
      </c>
      <c r="C12" s="41">
        <f>GETPIVOTDATA("Identification (ou création) du dossier.",'TCD BO par titre'!$A$4,"MOIS",$D$3,"Titre2",$A$12)</f>
        <v>1</v>
      </c>
      <c r="D12" s="41">
        <f>GETPIVOTDATA("MAJ des coordonnées postales.",'TCD BO par titre'!$A$4,"MOIS",$D$3,"Titre2",$A$12)</f>
        <v>0.94736842105263153</v>
      </c>
      <c r="E12" s="41">
        <f>GETPIVOTDATA("MAJ des moyens de communication (téléphone, adresse électronique).",'TCD BO par titre'!$A$4,"MOIS",$D$3,"Titre2",$A$12)</f>
        <v>0.90909090909090906</v>
      </c>
      <c r="F12" s="41">
        <f>GETPIVOTDATA("Analyse de la demande, des commandes et de l'historique des échanges.",'TCD BO par titre'!$A$4,"MOIS",$D$3,"Titre2",$A$12)</f>
        <v>0.95652173913043481</v>
      </c>
      <c r="G12" s="41">
        <f>GETPIVOTDATA("MAJ des con issances produit (intranet, etc.).",'TCD BO par titre'!$A$4,"MOIS",$D$3,"Titre2",$A$12)</f>
        <v>1</v>
      </c>
      <c r="H12" s="41">
        <f>GETPIVOTDATA("Respect des procédures.",'TCD BO par titre'!$A$4,"MOIS",$D$3,"Titre2",$A$12)</f>
        <v>1</v>
      </c>
      <c r="I12" s="41">
        <f>GETPIVOTDATA("Respect des règles de gestion (cm, anomalie portage, etc.).",'TCD BO par titre'!$A$4,"MOIS",$D$3,"Titre2",$A$12)</f>
        <v>1</v>
      </c>
      <c r="J12" s="41" t="str">
        <f>GETPIVOTDATA("Appel à l'assistance/cellule prio - Escalade vers le niveau 2.",'TCD BO par titre'!$A$4,"MOIS",$D$3,"Titre2",$A$12)</f>
        <v>NA</v>
      </c>
      <c r="K12" s="41">
        <f>GETPIVOTDATA("Choix du modèle-type.",'TCD BO par titre'!$A$4,"MOIS",$D$3,"Titre2",$A$12)</f>
        <v>0.95652173913043481</v>
      </c>
      <c r="L12" s="41">
        <f>GETPIVOTDATA("Réponse correcte et complète - Résolution au premier contact.",'TCD BO par titre'!$A$4,"MOIS",$D$3,"Titre2",$A$12)</f>
        <v>0.73913043478260865</v>
      </c>
      <c r="M12" s="41">
        <f>GETPIVOTDATA("Aucune faute de grammaire ou d'orthographe.",'TCD BO par titre'!$A$4,"MOIS",$D$3,"Titre2",$A$12)</f>
        <v>1</v>
      </c>
      <c r="N12" s="41">
        <f>GETPIVOTDATA("Syntaxe claire et ponctuée.",'TCD BO par titre'!$A$4,"MOIS",$D$3,"Titre2",$A$12)</f>
        <v>1</v>
      </c>
      <c r="O12" s="41">
        <f>GETPIVOTDATA("Adresse mail expéditeur et destinataire.",'TCD BO par titre'!$A$4,"MOIS",$D$3,"Titre2",$A$12)</f>
        <v>1</v>
      </c>
      <c r="P12" s="41">
        <f>GETPIVOTDATA("Personnalisation de la réponse.",'TCD BO par titre'!$A$4,"MOIS",$D$3,"Titre2",$A$12)</f>
        <v>0.90476190476190477</v>
      </c>
      <c r="Q12" s="41">
        <f>GETPIVOTDATA("Entête nominative - formule de politesse et prise de congé adaptées.",'TCD BO par titre'!$A$4,"MOIS",$D$3,"Titre2",$A$12)</f>
        <v>1</v>
      </c>
      <c r="R12" s="41">
        <f>GETPIVOTDATA("Accompagnement client - sens du service.",'TCD BO par titre'!$A$4,"MOIS",$D$3,"Titre2",$A$12)</f>
        <v>1</v>
      </c>
      <c r="S12" s="41">
        <f>GETPIVOTDATA("Présentation et mise en valeur des offres.",'TCD BO par titre'!$A$4,"MOIS",$D$3,"Titre2",$A$12)</f>
        <v>1</v>
      </c>
      <c r="T12" s="41">
        <f>GETPIVOTDATA("Valorisation des gestes co/dédommagement - valorisation de la marque.",'TCD BO par titre'!$A$4,"MOIS",$D$3,"Titre2",$A$12)</f>
        <v>0.92307692307692313</v>
      </c>
      <c r="U12" s="41">
        <f>GETPIVOTDATA("Valorisation client.",'TCD BO par titre'!$A$4,"MOIS",$D$3,"Titre2",$A$12)</f>
        <v>1</v>
      </c>
      <c r="V12" s="41">
        <f>GETPIVOTDATA("Pose du contact - PRN.",'TCD BO par titre'!$A$4,"MOIS",$D$3,"Titre2",$A$12)</f>
        <v>0.91304347826086951</v>
      </c>
      <c r="W12" s="41">
        <f>GETPIVOTDATA("Commentaire.",'TCD BO par titre'!$A$4,"MOIS",$D$3,"Titre2",$A$12)</f>
        <v>1</v>
      </c>
      <c r="X12" s="8"/>
      <c r="Y12" s="8"/>
      <c r="Z12" s="8"/>
      <c r="AA12" s="8"/>
      <c r="AB12" s="8"/>
      <c r="AC12" s="8"/>
    </row>
    <row r="13" spans="1:30" ht="15" x14ac:dyDescent="0.2">
      <c r="A13" s="57" t="s">
        <v>47</v>
      </c>
      <c r="B13" s="40" t="str">
        <f>VLOOKUP(A13,Correspondance!$I$3:$J$6,2,FALSE)</f>
        <v>SEM</v>
      </c>
      <c r="C13" s="41">
        <f>GETPIVOTDATA("Identification (ou création) du dossier.",'TCD BO par titre'!$A$4,"MOIS",$D$3,"Titre2",$A$13)</f>
        <v>0.96666666666666667</v>
      </c>
      <c r="D13" s="41">
        <f>GETPIVOTDATA("MAJ des coordonnées postales.",'TCD BO par titre'!$A$4,"MOIS",$D$3,"Titre2",$A$13)</f>
        <v>1</v>
      </c>
      <c r="E13" s="41">
        <f>GETPIVOTDATA("MAJ des moyens de communication (téléphone, adresse électronique).",'TCD BO par titre'!$A$4,"MOIS",$D$3,"Titre2",$A$13)</f>
        <v>0.88461538461538458</v>
      </c>
      <c r="F13" s="41">
        <f>GETPIVOTDATA("Analyse de la demande, des commandes et de l'historique des échanges.",'TCD BO par titre'!$A$4,"MOIS",$D$3,"Titre2",$A$13)</f>
        <v>0.96666666666666667</v>
      </c>
      <c r="G13" s="41">
        <f>GETPIVOTDATA("MAJ des con issances produit (intranet, etc.).",'TCD BO par titre'!$A$4,"MOIS",$D$3,"Titre2",$A$13)</f>
        <v>1</v>
      </c>
      <c r="H13" s="41">
        <f>GETPIVOTDATA("Respect des procédures.",'TCD BO par titre'!$A$4,"MOIS",$D$3,"Titre2",$A$13)</f>
        <v>1</v>
      </c>
      <c r="I13" s="41">
        <f>GETPIVOTDATA("Respect des règles de gestion (cm, anomalie portage, etc.).",'TCD BO par titre'!$A$4,"MOIS",$D$3,"Titre2",$A$13)</f>
        <v>0.96296296296296291</v>
      </c>
      <c r="J13" s="41" t="str">
        <f>GETPIVOTDATA("Appel à l'assistance/cellule prio - Escalade vers le niveau 2.",'TCD BO par titre'!$A$4,"MOIS",$D$3,"Titre2",$A$13)</f>
        <v>NA</v>
      </c>
      <c r="K13" s="41">
        <f>GETPIVOTDATA("Choix du modèle-type.",'TCD BO par titre'!$A$4,"MOIS",$D$3,"Titre2",$A$13)</f>
        <v>0.96666666666666667</v>
      </c>
      <c r="L13" s="41">
        <f>GETPIVOTDATA("Réponse correcte et complète - Résolution au premier contact.",'TCD BO par titre'!$A$4,"MOIS",$D$3,"Titre2",$A$13)</f>
        <v>0.8928571428571429</v>
      </c>
      <c r="M13" s="41">
        <f>GETPIVOTDATA("Aucune faute de grammaire ou d'orthographe.",'TCD BO par titre'!$A$4,"MOIS",$D$3,"Titre2",$A$13)</f>
        <v>1</v>
      </c>
      <c r="N13" s="41">
        <f>GETPIVOTDATA("Syntaxe claire et ponctuée.",'TCD BO par titre'!$A$4,"MOIS",$D$3,"Titre2",$A$13)</f>
        <v>0.93333333333333335</v>
      </c>
      <c r="O13" s="41">
        <f>GETPIVOTDATA("Adresse mail expéditeur et destinataire.",'TCD BO par titre'!$A$4,"MOIS",$D$3,"Titre2",$A$13)</f>
        <v>1</v>
      </c>
      <c r="P13" s="41">
        <f>GETPIVOTDATA("Personnalisation de la réponse.",'TCD BO par titre'!$A$4,"MOIS",$D$3,"Titre2",$A$13)</f>
        <v>0.96551724137931039</v>
      </c>
      <c r="Q13" s="41">
        <f>GETPIVOTDATA("Entête nominative - formule de politesse et prise de congé adaptées.",'TCD BO par titre'!$A$4,"MOIS",$D$3,"Titre2",$A$13)</f>
        <v>1</v>
      </c>
      <c r="R13" s="41">
        <f>GETPIVOTDATA("Accompagnement client - sens du service.",'TCD BO par titre'!$A$4,"MOIS",$D$3,"Titre2",$A$13)</f>
        <v>1</v>
      </c>
      <c r="S13" s="41">
        <f>GETPIVOTDATA("Présentation et mise en valeur des offres.",'TCD BO par titre'!$A$4,"MOIS",$D$3,"Titre2",$A$13)</f>
        <v>1</v>
      </c>
      <c r="T13" s="41">
        <f>GETPIVOTDATA("Valorisation des gestes co/dédommagement - valorisation de la marque.",'TCD BO par titre'!$A$4,"MOIS",$D$3,"Titre2",$A$13)</f>
        <v>0.95652173913043481</v>
      </c>
      <c r="U13" s="41">
        <f>GETPIVOTDATA("Valorisation client.",'TCD BO par titre'!$A$4,"MOIS",$D$3,"Titre2",$A$13)</f>
        <v>1</v>
      </c>
      <c r="V13" s="41">
        <f>GETPIVOTDATA("Pose du contact - PRN.",'TCD BO par titre'!$A$4,"MOIS",$D$3,"Titre2",$A$13)</f>
        <v>1</v>
      </c>
      <c r="W13" s="41">
        <f>GETPIVOTDATA("Commentaire.",'TCD BO par titre'!$A$4,"MOIS",$D$3,"Titre2",$A$13)</f>
        <v>0.93333333333333335</v>
      </c>
      <c r="X13" s="8"/>
      <c r="Y13" s="8"/>
      <c r="Z13" s="8"/>
      <c r="AA13" s="8"/>
      <c r="AB13" s="8"/>
      <c r="AC13" s="8"/>
    </row>
    <row r="14" spans="1:30" x14ac:dyDescent="0.2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30" x14ac:dyDescent="0.2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30" x14ac:dyDescent="0.2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2:29" ht="20.25" x14ac:dyDescent="0.3">
      <c r="B17" s="39"/>
      <c r="C17" s="126" t="str">
        <f>D3</f>
        <v>Mars</v>
      </c>
      <c r="D17" s="127"/>
      <c r="E17" s="126" t="str">
        <f>B10</f>
        <v>Courrier Internationnal</v>
      </c>
      <c r="F17" s="127"/>
      <c r="G17" s="126" t="str">
        <f>B11</f>
        <v>Le Monde.FR</v>
      </c>
      <c r="H17" s="127"/>
      <c r="I17" s="126" t="str">
        <f>B12</f>
        <v>Le Monde Diplomatique</v>
      </c>
      <c r="J17" s="127"/>
      <c r="K17" s="126" t="str">
        <f>B13</f>
        <v>SEM</v>
      </c>
      <c r="L17" s="127"/>
      <c r="M17" s="126" t="s">
        <v>791</v>
      </c>
      <c r="N17" s="127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2:29" ht="20.25" x14ac:dyDescent="0.3">
      <c r="B18" s="38" t="s">
        <v>295</v>
      </c>
      <c r="C18" s="128">
        <f>AVERAGE($C9:$E9)</f>
        <v>0.9545413506681113</v>
      </c>
      <c r="D18" s="129"/>
      <c r="E18" s="128">
        <f>AVERAGE($C10:$E10)</f>
        <v>0.90476190476190477</v>
      </c>
      <c r="F18" s="129"/>
      <c r="G18" s="128">
        <f>AVERAGE($C11:$E11)</f>
        <v>1</v>
      </c>
      <c r="H18" s="129"/>
      <c r="I18" s="128">
        <f>AVERAGE($C12:$E12)</f>
        <v>0.95215311004784686</v>
      </c>
      <c r="J18" s="129"/>
      <c r="K18" s="128">
        <f>AVERAGE($C13:$E13)</f>
        <v>0.95042735042735049</v>
      </c>
      <c r="L18" s="129"/>
      <c r="M18" s="128">
        <v>0.9</v>
      </c>
      <c r="N18" s="129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2:29" ht="20.25" x14ac:dyDescent="0.3">
      <c r="B19" s="37" t="s">
        <v>296</v>
      </c>
      <c r="C19" s="128">
        <f>AVERAGE($F9:$G9)</f>
        <v>0.98076923076923084</v>
      </c>
      <c r="D19" s="129"/>
      <c r="E19" s="128">
        <f>AVERAGE($F10:$G10)</f>
        <v>0.95454545454545459</v>
      </c>
      <c r="F19" s="129"/>
      <c r="G19" s="128">
        <f>AVERAGE($F11:$G11)</f>
        <v>0.98275862068965525</v>
      </c>
      <c r="H19" s="129"/>
      <c r="I19" s="128">
        <f>AVERAGE($F12:$G12)</f>
        <v>0.97826086956521741</v>
      </c>
      <c r="J19" s="129"/>
      <c r="K19" s="128">
        <f>AVERAGE($F13:$G13)</f>
        <v>0.98333333333333339</v>
      </c>
      <c r="L19" s="129"/>
      <c r="M19" s="128">
        <v>0.9</v>
      </c>
      <c r="N19" s="129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2:29" ht="20.25" x14ac:dyDescent="0.3">
      <c r="B20" s="37" t="s">
        <v>297</v>
      </c>
      <c r="C20" s="128">
        <f>AVERAGE($H9:$J9)</f>
        <v>0.94111111111111112</v>
      </c>
      <c r="D20" s="129"/>
      <c r="E20" s="128">
        <f>AVERAGE($H10:$J10)</f>
        <v>0.66666666666666663</v>
      </c>
      <c r="F20" s="129"/>
      <c r="G20" s="128">
        <f>AVERAGE($H11:$J11)</f>
        <v>1</v>
      </c>
      <c r="H20" s="129"/>
      <c r="I20" s="128">
        <f>AVERAGE($H12:$J12)</f>
        <v>1</v>
      </c>
      <c r="J20" s="129"/>
      <c r="K20" s="128">
        <f>AVERAGE($H13:$J13)</f>
        <v>0.9814814814814814</v>
      </c>
      <c r="L20" s="129"/>
      <c r="M20" s="128">
        <v>0.9</v>
      </c>
      <c r="N20" s="129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</row>
    <row r="21" spans="2:29" ht="20.25" x14ac:dyDescent="0.3">
      <c r="B21" s="37" t="s">
        <v>298</v>
      </c>
      <c r="C21" s="130">
        <f>AVERAGE($K9:$L9)</f>
        <v>0.90224358974358976</v>
      </c>
      <c r="D21" s="130"/>
      <c r="E21" s="130">
        <f>AVERAGE($K10:$L10)</f>
        <v>0.86363636363636365</v>
      </c>
      <c r="F21" s="130"/>
      <c r="G21" s="130">
        <f>AVERAGE($K11:$L11)</f>
        <v>0.94827586206896552</v>
      </c>
      <c r="H21" s="130"/>
      <c r="I21" s="130">
        <f>AVERAGE($K12:$L12)</f>
        <v>0.84782608695652173</v>
      </c>
      <c r="J21" s="130"/>
      <c r="K21" s="130">
        <f>AVERAGE($K13:$L13)</f>
        <v>0.92976190476190479</v>
      </c>
      <c r="L21" s="130"/>
      <c r="M21" s="128">
        <v>0.9</v>
      </c>
      <c r="N21" s="129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</row>
    <row r="22" spans="2:29" ht="20.25" x14ac:dyDescent="0.3">
      <c r="B22" s="37" t="s">
        <v>378</v>
      </c>
      <c r="C22" s="130">
        <f>AVERAGE($M9:$U9)</f>
        <v>0.98240044287295958</v>
      </c>
      <c r="D22" s="130"/>
      <c r="E22" s="130">
        <f>AVERAGE($M10:$U10)</f>
        <v>0.98148148148148151</v>
      </c>
      <c r="F22" s="130"/>
      <c r="G22" s="130">
        <f>AVERAGE($M11:$U11)</f>
        <v>0.9846743295019158</v>
      </c>
      <c r="H22" s="130"/>
      <c r="I22" s="130">
        <f>AVERAGE($M12:$U12)</f>
        <v>0.9808709808709809</v>
      </c>
      <c r="J22" s="130"/>
      <c r="K22" s="130">
        <f>AVERAGE($M13:$U13)</f>
        <v>0.98393025709367543</v>
      </c>
      <c r="L22" s="130"/>
      <c r="M22" s="128">
        <v>0.9</v>
      </c>
      <c r="N22" s="129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</row>
    <row r="23" spans="2:29" ht="20.25" x14ac:dyDescent="0.3">
      <c r="B23" s="37" t="s">
        <v>299</v>
      </c>
      <c r="C23" s="130">
        <f>AVERAGE($V9:$W9)</f>
        <v>0.97596153846153844</v>
      </c>
      <c r="D23" s="130"/>
      <c r="E23" s="130">
        <f>AVERAGE($V10:$W10)</f>
        <v>0.97727272727272729</v>
      </c>
      <c r="F23" s="130"/>
      <c r="G23" s="130">
        <f>AVERAGE($V11:$W11)</f>
        <v>1</v>
      </c>
      <c r="H23" s="130"/>
      <c r="I23" s="130">
        <f>AVERAGE($V12:$W12)</f>
        <v>0.95652173913043481</v>
      </c>
      <c r="J23" s="130"/>
      <c r="K23" s="130">
        <f>AVERAGE($V13:$W13)</f>
        <v>0.96666666666666667</v>
      </c>
      <c r="L23" s="130"/>
      <c r="M23" s="128">
        <v>0.9</v>
      </c>
      <c r="N23" s="129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</row>
    <row r="24" spans="2:29" x14ac:dyDescent="0.2"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</row>
    <row r="25" spans="2:29" ht="58.5" customHeight="1" x14ac:dyDescent="0.2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</row>
    <row r="26" spans="2:29" ht="58.5" customHeight="1" x14ac:dyDescent="0.2"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</row>
    <row r="27" spans="2:29" ht="58.5" customHeight="1" x14ac:dyDescent="0.2"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</row>
    <row r="28" spans="2:29" ht="58.5" customHeight="1" x14ac:dyDescent="0.2"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</row>
    <row r="29" spans="2:29" ht="58.5" customHeight="1" x14ac:dyDescent="0.2"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</row>
    <row r="30" spans="2:29" ht="58.5" customHeight="1" x14ac:dyDescent="0.2"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</row>
    <row r="31" spans="2:29" ht="58.5" customHeight="1" x14ac:dyDescent="0.2"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</row>
    <row r="32" spans="2:29" x14ac:dyDescent="0.2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</row>
    <row r="34" spans="1:31" ht="36" customHeight="1" x14ac:dyDescent="0.2">
      <c r="B34" s="123" t="str">
        <f>CONCATENATE("Suivi FO de ",D3," - version COPIL ")</f>
        <v xml:space="preserve">Suivi FO de Mars - version COPIL </v>
      </c>
      <c r="C34" s="123"/>
      <c r="D34" s="123"/>
      <c r="E34" s="123"/>
      <c r="F34" s="123"/>
      <c r="G34" s="123"/>
      <c r="H34" s="123"/>
      <c r="I34" s="123"/>
      <c r="J34" s="123"/>
      <c r="K34" s="123"/>
      <c r="L34" s="123"/>
      <c r="M34" s="123"/>
      <c r="N34" s="123"/>
      <c r="O34" s="123"/>
      <c r="P34" s="123"/>
      <c r="Q34" s="123"/>
      <c r="R34" s="123"/>
      <c r="S34" s="123"/>
      <c r="T34" s="123"/>
      <c r="U34" s="123"/>
      <c r="V34" s="123"/>
      <c r="W34" s="123"/>
      <c r="X34" s="123"/>
      <c r="Y34" s="123"/>
      <c r="Z34" s="123"/>
      <c r="AA34" s="123"/>
      <c r="AB34" s="123"/>
      <c r="AC34" s="123"/>
    </row>
    <row r="37" spans="1:31" ht="244.5" thickBot="1" x14ac:dyDescent="0.25">
      <c r="B37" s="36"/>
      <c r="C37" s="44" t="s">
        <v>455</v>
      </c>
      <c r="D37" s="43" t="s">
        <v>456</v>
      </c>
      <c r="E37" s="43" t="s">
        <v>457</v>
      </c>
      <c r="F37" s="43" t="s">
        <v>458</v>
      </c>
      <c r="G37" s="43" t="s">
        <v>459</v>
      </c>
      <c r="H37" s="43" t="s">
        <v>460</v>
      </c>
      <c r="I37" s="43" t="s">
        <v>461</v>
      </c>
      <c r="J37" s="43" t="s">
        <v>462</v>
      </c>
      <c r="K37" s="43" t="s">
        <v>463</v>
      </c>
      <c r="L37" s="43" t="s">
        <v>464</v>
      </c>
      <c r="M37" s="43" t="s">
        <v>465</v>
      </c>
      <c r="N37" s="43" t="s">
        <v>466</v>
      </c>
      <c r="O37" s="43" t="s">
        <v>438</v>
      </c>
      <c r="P37" s="43" t="s">
        <v>467</v>
      </c>
      <c r="Q37" s="43" t="s">
        <v>468</v>
      </c>
      <c r="R37" s="43" t="s">
        <v>469</v>
      </c>
      <c r="S37" s="43" t="s">
        <v>470</v>
      </c>
      <c r="T37" s="43" t="s">
        <v>471</v>
      </c>
      <c r="U37" s="43" t="s">
        <v>472</v>
      </c>
      <c r="V37" s="43" t="s">
        <v>473</v>
      </c>
      <c r="W37" s="43" t="s">
        <v>474</v>
      </c>
      <c r="X37" s="108" t="s">
        <v>654</v>
      </c>
      <c r="Y37" s="44" t="s">
        <v>475</v>
      </c>
      <c r="Z37" s="43" t="s">
        <v>476</v>
      </c>
      <c r="AA37" s="43" t="s">
        <v>477</v>
      </c>
      <c r="AB37" s="43" t="s">
        <v>447</v>
      </c>
      <c r="AC37" s="43" t="s">
        <v>478</v>
      </c>
      <c r="AD37" s="43" t="s">
        <v>479</v>
      </c>
      <c r="AE37" s="111" t="s">
        <v>790</v>
      </c>
    </row>
    <row r="38" spans="1:31" ht="15" x14ac:dyDescent="0.2">
      <c r="A38" s="57"/>
      <c r="B38" s="40" t="str">
        <f>CONCATENATE(B3," ",D3)</f>
        <v>MOIS : Mars</v>
      </c>
      <c r="C38" s="41">
        <f>GETPIVOTDATA("Phrase d'accueil et présentation complète.",'TCD FO'!$A$3,"MOIS",$D$3)</f>
        <v>1</v>
      </c>
      <c r="D38" s="41">
        <f>GETPIVOTDATA("Identification client.",'TCD FO'!$A$3,"MOIS",$D$3)</f>
        <v>1</v>
      </c>
      <c r="E38" s="41">
        <f>GETPIVOTDATA("Vérification et MAJ de l'adresse électronique.",'TCD FO'!$A$3,"MOIS",$D$3)</f>
        <v>0.7816091954022989</v>
      </c>
      <c r="F38" s="41">
        <f>GETPIVOTDATA("Vérification et MAJ du numéro de téléphone.",'TCD FO'!$A$3,"MOIS",$D$3)</f>
        <v>0.7441860465116279</v>
      </c>
      <c r="G38" s="41">
        <f>GETPIVOTDATA("Vérification et MAJ de l'adresse postale.",'TCD FO'!$A$3,"MOIS",$D$3)</f>
        <v>0.97674418604651159</v>
      </c>
      <c r="H38" s="41">
        <f>GETPIVOTDATA("Directivité - Maîtrise de l'entretien.",'TCD FO'!$A$3,"MOIS",$D$3)</f>
        <v>0.97727272727272729</v>
      </c>
      <c r="I38" s="41">
        <f>GETPIVOTDATA("Ecoute active/implication.",'TCD FO'!$A$3,"MOIS",$D$3)</f>
        <v>1</v>
      </c>
      <c r="J38" s="41">
        <f>GETPIVOTDATA("Ton, débit, volume, empathie.",'TCD FO'!$A$3,"MOIS",$D$3)</f>
        <v>0.97727272727272729</v>
      </c>
      <c r="K38" s="41">
        <f>GETPIVOTDATA("Vocabulaire, jargon, utilisation du JE et du présent, syntaxe.",'TCD FO'!$A$3,"MOIS",$D$3)</f>
        <v>1</v>
      </c>
      <c r="L38" s="41">
        <f>GETPIVOTDATA("Amabilité, courtoisie, sourire.",'TCD FO'!$A$3,"MOIS",$D$3)</f>
        <v>0.96590909090909094</v>
      </c>
      <c r="M38" s="41">
        <f>GETPIVOTDATA("Reformulation.",'TCD FO'!$A$3,"MOIS",$D$3)</f>
        <v>0.92045454545454541</v>
      </c>
      <c r="N38" s="41">
        <f>GETPIVOTDATA("Questionnement.",'TCD FO'!$A$3,"MOIS",$D$3)</f>
        <v>0.97727272727272729</v>
      </c>
      <c r="O38" s="41">
        <f>GETPIVOTDATA("Réponse correcte et complète - Résolution au premier contact.",'TCD FO'!$A$3,"MOIS",$D$3)</f>
        <v>1</v>
      </c>
      <c r="P38" s="41">
        <f>GETPIVOTDATA("Traitement des objections.",'TCD FO'!$A$3,"MOIS",$D$3)</f>
        <v>0.91666666666666663</v>
      </c>
      <c r="Q38" s="41">
        <f>GETPIVOTDATA("Fiabilisation.",'TCD FO'!$A$3,"MOIS",$D$3)</f>
        <v>1</v>
      </c>
      <c r="R38" s="41">
        <f>IFERROR(GETPIVOTDATA("Mise en attente.",'TCD FO'!$A$3,"MOIS",$D$3)," ")</f>
        <v>1</v>
      </c>
      <c r="S38" s="41">
        <f>GETPIVOTDATA("Actions nécessaires effectuées - Respect des procédures.",'TCD FO'!$A$3,"MOIS",$D$3)</f>
        <v>0.90909090909090906</v>
      </c>
      <c r="T38" s="41">
        <f>GETPIVOTDATA("Actions nécessaires effectuées - Respect des procédures.",'TCD FO'!$A$3,"MOIS",$D$3)</f>
        <v>0.90909090909090906</v>
      </c>
      <c r="U38" s="41">
        <f>GETPIVOTDATA("Utilisation de l'historique client.",'TCD FO'!$A$3,"MOIS",$D$3)</f>
        <v>0.97727272727272729</v>
      </c>
      <c r="V38" s="41">
        <f>GETPIVOTDATA("Accompagnement et valorisation du client.",'TCD FO'!$A$3,"MOIS",$D$3)</f>
        <v>0.94318181818181823</v>
      </c>
      <c r="W38" s="41">
        <f>GETPIVOTDATA("Valorisation du service et/ou du produit.",'TCD FO'!$A$3,"MOIS",$D$3)</f>
        <v>0.85227272727272729</v>
      </c>
      <c r="X38" s="41">
        <f>GETPIVOTDATA("MAJ des connaissances produit (intranet, etc.)",'TCD FO'!$A$3,"MOIS",$D$3)</f>
        <v>1</v>
      </c>
      <c r="Y38" s="41">
        <f>GETPIVOTDATA("Verrouillage.",'TCD FO'!$A$3,"MOIS",$D$3)</f>
        <v>0.79545454545454541</v>
      </c>
      <c r="Z38" s="41">
        <f>GETPIVOTDATA("Remerciement.",'TCD FO'!$A$3,"MOIS",$D$3)</f>
        <v>1</v>
      </c>
      <c r="AA38" s="41">
        <f>GETPIVOTDATA("Souhaite quelque chose d'agréable.",'TCD FO'!$A$3,"MOIS",$D$3)</f>
        <v>1</v>
      </c>
      <c r="AB38" s="41">
        <f>GETPIVOTDATA("Pose du contact - PRN.",'TCD FO'!$A$3,"MOIS",$D$3)</f>
        <v>0.96590909090909094</v>
      </c>
      <c r="AC38" s="41">
        <f>GETPIVOTDATA("Commentaires de contacts.",'TCD FO'!$A$3,"MOIS",$D$3)</f>
        <v>0.98863636363636365</v>
      </c>
      <c r="AD38" s="110">
        <f>GETPIVOTDATA("Communication sortante.",'TCD FO'!$A$3,"MOIS",$D$3)</f>
        <v>1</v>
      </c>
      <c r="AE38" s="112">
        <f t="shared" ref="AE38:AE41" si="0">AVERAGE(C38:AD38)</f>
        <v>0.94922489298992896</v>
      </c>
    </row>
    <row r="39" spans="1:31" ht="15" x14ac:dyDescent="0.2">
      <c r="A39" s="57" t="s">
        <v>74</v>
      </c>
      <c r="B39" s="40" t="str">
        <f>VLOOKUP(A39,Correspondance!$I$3:$J$6,2,FALSE)</f>
        <v>Courrier Internationnal</v>
      </c>
      <c r="C39" s="41">
        <f>GETPIVOTDATA("Phrase d'accueil et présentation complète.",'TCD FO par titre'!$A$3,"MOIS",$D$3,"Titre2",$A$39)</f>
        <v>1</v>
      </c>
      <c r="D39" s="41">
        <f>GETPIVOTDATA("Identification client.",'TCD FO par titre'!$A$3,"MOIS",$D$3,"Titre2",$A$39)</f>
        <v>1</v>
      </c>
      <c r="E39" s="41">
        <f>GETPIVOTDATA("Vérification et MAJ de l'adresse électronique.",'TCD FO par titre'!$A$3,"MOIS",$D$3,"Titre2",$A$39)</f>
        <v>0.70588235294117652</v>
      </c>
      <c r="F39" s="41">
        <f>GETPIVOTDATA("Vérification et MAJ du numéro de téléphone.",'TCD FO par titre'!$A$3,"MOIS",$D$3,"Titre2",$A$39)</f>
        <v>0.76470588235294112</v>
      </c>
      <c r="G39" s="41">
        <f>GETPIVOTDATA("Vérification et MAJ de l'adresse postale.",'TCD FO par titre'!$A$3,"MOIS",$D$3,"Titre2",$A$39)</f>
        <v>1</v>
      </c>
      <c r="H39" s="41">
        <f>GETPIVOTDATA("Directivité - Maîtrise de l'entretien.",'TCD FO par titre'!$A$3,"MOIS",$D$3,"Titre2",$A$39)</f>
        <v>0.94117647058823528</v>
      </c>
      <c r="I39" s="41">
        <f>GETPIVOTDATA("Ecoute active/implication.",'TCD FO par titre'!$A$3,"MOIS",$D$3,"Titre2",$A$39)</f>
        <v>1</v>
      </c>
      <c r="J39" s="41">
        <f>GETPIVOTDATA("Ton, débit, volume, empathie.",'TCD FO par titre'!$A$3,"MOIS",$D$3,"Titre2",$A$39)</f>
        <v>1</v>
      </c>
      <c r="K39" s="41">
        <f>GETPIVOTDATA("Vocabulaire, jargon, utilisation du JE et du présent, syntaxe.",'TCD FO par titre'!$A$3,"MOIS",$D$3,"Titre2",$A$39)</f>
        <v>1</v>
      </c>
      <c r="L39" s="41">
        <f>GETPIVOTDATA("Amabilité, courtoisie, sourire.",'TCD FO par titre'!$A$3,"MOIS",$D$3,"Titre2",$A$39)</f>
        <v>0.94117647058823528</v>
      </c>
      <c r="M39" s="41">
        <f>GETPIVOTDATA("Reformulation.",'TCD FO par titre'!$A$3,"MOIS",$D$3,"Titre2",$A$39)</f>
        <v>1</v>
      </c>
      <c r="N39" s="41">
        <f>GETPIVOTDATA("Questionnement.",'TCD FO par titre'!$A$3,"MOIS",$D$3,"Titre2",$A$39)</f>
        <v>0.88235294117647056</v>
      </c>
      <c r="O39" s="41">
        <f>GETPIVOTDATA("Réponse correcte et complète - Résolution au premier contact.",'TCD FO par titre'!$A$3,"MOIS",$D$3,"Titre2",$A$39)</f>
        <v>1</v>
      </c>
      <c r="P39" s="41">
        <f>GETPIVOTDATA("Traitement des objections.",'TCD FO par titre'!$A$3,"MOIS",$D$3,"Titre2",$A$39)</f>
        <v>1</v>
      </c>
      <c r="Q39" s="41">
        <f>GETPIVOTDATA("Fiabilisation.",'TCD FO par titre'!$A$3,"MOIS",$D$3,"Titre2",$A$39)</f>
        <v>1</v>
      </c>
      <c r="R39" s="41" t="str">
        <f>IFERROR(GETPIVOTDATA("Mise en attente.",'TCD FO par titre'!$A$3,"MOIS",$D$3,"Titre2",$A$39)," ")</f>
        <v>NA</v>
      </c>
      <c r="S39" s="41">
        <f>GETPIVOTDATA("Actions nécessaires effectuées - Respect des procédures.",'TCD FO par titre'!$A$3,"MOIS",$D$3,"Titre2",$A$39)</f>
        <v>1</v>
      </c>
      <c r="T39" s="41">
        <f>GETPIVOTDATA("Actions nécessaires effectuées - Respect des procédures.",'TCD FO par titre'!$A$3,"MOIS",$D$3,"Titre2",$A$39)</f>
        <v>1</v>
      </c>
      <c r="U39" s="41">
        <f>GETPIVOTDATA("Utilisation de l'historique client.",'TCD FO par titre'!$A$3,"MOIS",$D$3,"Titre2",$A$39)</f>
        <v>1</v>
      </c>
      <c r="V39" s="41">
        <f>GETPIVOTDATA("Accompagnement et valorisation du client.",'TCD FO par titre'!$A$3,"MOIS",$D$3,"Titre2",$A$39)</f>
        <v>0.88235294117647056</v>
      </c>
      <c r="W39" s="41">
        <f>GETPIVOTDATA("Valorisation du service et/ou du produit.",'TCD FO par titre'!$A$3,"MOIS",$D$3,"Titre2",$A$39)</f>
        <v>0.82352941176470584</v>
      </c>
      <c r="X39" s="41">
        <f>GETPIVOTDATA("MAJ des connaissances produit (intranet, etc.)",'TCD FO par titre'!$A$3,"MOIS",$D$3,"Titre2",$A$39)</f>
        <v>1</v>
      </c>
      <c r="Y39" s="41">
        <f>GETPIVOTDATA("Verrouillage.",'TCD FO par titre'!$A$3,"MOIS",$D$3,"Titre2",$A$39)</f>
        <v>0.88235294117647056</v>
      </c>
      <c r="Z39" s="41">
        <f>GETPIVOTDATA("Remerciement.",'TCD FO par titre'!$A$3,"MOIS",$D$3,"Titre2",$A$39)</f>
        <v>1</v>
      </c>
      <c r="AA39" s="41">
        <f>GETPIVOTDATA("Souhaite quelque chose d'agréable.",'TCD FO par titre'!$A$3,"MOIS",$D$3,"Titre2",$A$39)</f>
        <v>1</v>
      </c>
      <c r="AB39" s="41">
        <f>GETPIVOTDATA("Pose du contact - PRN.",'TCD FO par titre'!$A$3,"MOIS",$D$3,"Titre2",$A$39)</f>
        <v>0.94117647058823528</v>
      </c>
      <c r="AC39" s="41">
        <f>GETPIVOTDATA("Commentaires de contacts.",'TCD FO par titre'!$A$3,"MOIS",$D$3,"Titre2",$A$39)</f>
        <v>1</v>
      </c>
      <c r="AD39" s="110">
        <f>GETPIVOTDATA("Communication sortante.",'TCD FO par titre'!$A$3,"MOIS",$D$3,"Titre2",$A$39)</f>
        <v>1</v>
      </c>
      <c r="AE39" s="113">
        <f t="shared" si="0"/>
        <v>0.95424836601307195</v>
      </c>
    </row>
    <row r="40" spans="1:31" ht="15" x14ac:dyDescent="0.2">
      <c r="A40" s="57" t="s">
        <v>99</v>
      </c>
      <c r="B40" s="40" t="str">
        <f>VLOOKUP(A40,Correspondance!$I$3:$J$6,2,FALSE)</f>
        <v>Le Monde.FR</v>
      </c>
      <c r="C40" s="41">
        <f>GETPIVOTDATA("Phrase d'accueil et présentation complète.",'TCD FO par titre'!$A$3,"MOIS",$D$3,"Titre2",$A$40)</f>
        <v>1</v>
      </c>
      <c r="D40" s="41">
        <f>GETPIVOTDATA("Identification client.",'TCD FO par titre'!$A$3,"MOIS",$D$3,"Titre2",$A$40)</f>
        <v>1</v>
      </c>
      <c r="E40" s="41">
        <f>GETPIVOTDATA("Vérification et MAJ de l'adresse électronique.",'TCD FO par titre'!$A$3,"MOIS",$D$3,"Titre2",$A$40)</f>
        <v>1</v>
      </c>
      <c r="F40" s="41">
        <f>GETPIVOTDATA("Vérification et MAJ du numéro de téléphone.",'TCD FO par titre'!$A$3,"MOIS",$D$3,"Titre2",$A$40)</f>
        <v>1</v>
      </c>
      <c r="G40" s="41">
        <f>GETPIVOTDATA("Vérification et MAJ de l'adresse postale.",'TCD FO par titre'!$A$3,"MOIS",$D$3,"Titre2",$A$40)</f>
        <v>1</v>
      </c>
      <c r="H40" s="41">
        <f>GETPIVOTDATA("Directivité - Maîtrise de l'entretien.",'TCD FO par titre'!$A$3,"MOIS",$D$3,"Titre2",$A$40)</f>
        <v>1</v>
      </c>
      <c r="I40" s="41">
        <f>GETPIVOTDATA("Ecoute active/implication.",'TCD FO par titre'!$A$3,"MOIS",$D$3,"Titre2",$A$40)</f>
        <v>1</v>
      </c>
      <c r="J40" s="41">
        <f>GETPIVOTDATA("Ton, débit, volume, empathie.",'TCD FO par titre'!$A$3,"MOIS",$D$3,"Titre2",$A$40)</f>
        <v>1</v>
      </c>
      <c r="K40" s="41">
        <f>GETPIVOTDATA("Vocabulaire, jargon, utilisation du JE et du présent, syntaxe.",'TCD FO par titre'!$A$3,"MOIS",$D$3,"Titre2",$A$40)</f>
        <v>1</v>
      </c>
      <c r="L40" s="41">
        <f>GETPIVOTDATA("Amabilité, courtoisie, sourire.",'TCD FO par titre'!$A$3,"MOIS",$D$3,"Titre2",$A$40)</f>
        <v>1</v>
      </c>
      <c r="M40" s="41">
        <f>GETPIVOTDATA("Reformulation.",'TCD FO par titre'!$A$3,"MOIS",$D$3,"Titre2",$A$40)</f>
        <v>1</v>
      </c>
      <c r="N40" s="41">
        <f>GETPIVOTDATA("Questionnement.",'TCD FO par titre'!$A$3,"MOIS",$D$3,"Titre2",$A$40)</f>
        <v>1</v>
      </c>
      <c r="O40" s="41">
        <f>GETPIVOTDATA("Réponse correcte et complète - Résolution au premier contact.",'TCD FO par titre'!$A$3,"MOIS",$D$3,"Titre2",$A$40)</f>
        <v>1</v>
      </c>
      <c r="P40" s="41">
        <f>GETPIVOTDATA("Traitement des objections.",'TCD FO par titre'!$A$3,"MOIS",$D$3,"Titre2",$A$40)</f>
        <v>1</v>
      </c>
      <c r="Q40" s="41">
        <f>GETPIVOTDATA("Fiabilisation.",'TCD FO par titre'!$A$3,"MOIS",$D$3,"Titre2",$A$40)</f>
        <v>1</v>
      </c>
      <c r="R40" s="41">
        <f>IFERROR(GETPIVOTDATA("Mise en attente.",'TCD FO par titre'!$A$3,"MOIS",$D$3,"Titre2",$A$40)," ")</f>
        <v>1</v>
      </c>
      <c r="S40" s="41">
        <f>GETPIVOTDATA("Actions nécessaires effectuées - Respect des procédures.",'TCD FO par titre'!$A$3,"MOIS",$D$3,"Titre2",$A$40)</f>
        <v>0.75</v>
      </c>
      <c r="T40" s="41">
        <f>GETPIVOTDATA("Actions nécessaires effectuées - Respect des procédures.",'TCD FO par titre'!$A$3,"MOIS",$D$3,"Titre2",$A$40)</f>
        <v>0.75</v>
      </c>
      <c r="U40" s="41">
        <f>GETPIVOTDATA("Utilisation de l'historique client.",'TCD FO par titre'!$A$3,"MOIS",$D$3,"Titre2",$A$40)</f>
        <v>1</v>
      </c>
      <c r="V40" s="41">
        <f>GETPIVOTDATA("Accompagnement et valorisation du client.",'TCD FO par titre'!$A$3,"MOIS",$D$3,"Titre2",$A$40)</f>
        <v>1</v>
      </c>
      <c r="W40" s="41">
        <f>GETPIVOTDATA("Valorisation du service et/ou du produit.",'TCD FO par titre'!$A$3,"MOIS",$D$3,"Titre2",$A$40)</f>
        <v>1</v>
      </c>
      <c r="X40" s="41" t="str">
        <f>GETPIVOTDATA("MAJ des connaissances produit (intranet, etc.)",'TCD FO par titre'!$A$3,"MOIS",$D$3,"Titre2",$A$40)</f>
        <v>NA</v>
      </c>
      <c r="Y40" s="41">
        <f>GETPIVOTDATA("Verrouillage.",'TCD FO par titre'!$A$3,"MOIS",$D$3,"Titre2",$A$40)</f>
        <v>1</v>
      </c>
      <c r="Z40" s="41">
        <f>GETPIVOTDATA("Remerciement.",'TCD FO par titre'!$A$3,"MOIS",$D$3,"Titre2",$A$40)</f>
        <v>1</v>
      </c>
      <c r="AA40" s="41">
        <f>GETPIVOTDATA("Souhaite quelque chose d'agréable.",'TCD FO par titre'!$A$3,"MOIS",$D$3,"Titre2",$A$40)</f>
        <v>1</v>
      </c>
      <c r="AB40" s="41">
        <f>GETPIVOTDATA("Pose du contact - PRN.",'TCD FO par titre'!$A$3,"MOIS",$D$3,"Titre2",$A$40)</f>
        <v>1</v>
      </c>
      <c r="AC40" s="41">
        <f>GETPIVOTDATA("Commentaires de contacts.",'TCD FO par titre'!$A$3,"MOIS",$D$3,"Titre2",$A$40)</f>
        <v>1</v>
      </c>
      <c r="AD40" s="110">
        <f>GETPIVOTDATA("Communication sortante.",'TCD FO par titre'!$A$3,"MOIS",$D$3,"Titre2",$A$40)</f>
        <v>1</v>
      </c>
      <c r="AE40" s="113">
        <f t="shared" si="0"/>
        <v>0.98148148148148151</v>
      </c>
    </row>
    <row r="41" spans="1:31" ht="15" x14ac:dyDescent="0.2">
      <c r="A41" s="57" t="s">
        <v>175</v>
      </c>
      <c r="B41" s="40" t="str">
        <f>VLOOKUP(A41,Correspondance!$I$3:$J$6,2,FALSE)</f>
        <v>Le Monde Diplomatique</v>
      </c>
      <c r="C41" s="41">
        <f>GETPIVOTDATA("Phrase d'accueil et présentation complète.",'TCD FO par titre'!$A$3,"MOIS",$D$3,"Titre2",$A$41)</f>
        <v>1</v>
      </c>
      <c r="D41" s="41">
        <f>GETPIVOTDATA("Identification client.",'TCD FO par titre'!$A$3,"MOIS",$D$3,"Titre2",$A$41)</f>
        <v>1</v>
      </c>
      <c r="E41" s="41">
        <f>GETPIVOTDATA("Vérification et MAJ de l'adresse électronique.",'TCD FO par titre'!$A$3,"MOIS",$D$3,"Titre2",$A$41)</f>
        <v>0.8125</v>
      </c>
      <c r="F41" s="41">
        <f>GETPIVOTDATA("Vérification et MAJ du numéro de téléphone.",'TCD FO par titre'!$A$3,"MOIS",$D$3,"Titre2",$A$41)</f>
        <v>0.66666666666666663</v>
      </c>
      <c r="G41" s="41">
        <f>GETPIVOTDATA("Vérification et MAJ de l'adresse postale.",'TCD FO par titre'!$A$3,"MOIS",$D$3,"Titre2",$A$41)</f>
        <v>0.875</v>
      </c>
      <c r="H41" s="41">
        <f>GETPIVOTDATA("Directivité - Maîtrise de l'entretien.",'TCD FO par titre'!$A$3,"MOIS",$D$3,"Titre2",$A$41)</f>
        <v>1</v>
      </c>
      <c r="I41" s="41">
        <f>GETPIVOTDATA("Ecoute active/implication.",'TCD FO par titre'!$A$3,"MOIS",$D$3,"Titre2",$A$41)</f>
        <v>1</v>
      </c>
      <c r="J41" s="41">
        <f>GETPIVOTDATA("Ton, débit, volume, empathie.",'TCD FO par titre'!$A$3,"MOIS",$D$3,"Titre2",$A$41)</f>
        <v>1</v>
      </c>
      <c r="K41" s="41">
        <f>GETPIVOTDATA("Vocabulaire, jargon, utilisation du JE et du présent, syntaxe.",'TCD FO par titre'!$A$3,"MOIS",$D$3,"Titre2",$A$41)</f>
        <v>1</v>
      </c>
      <c r="L41" s="41">
        <f>GETPIVOTDATA("Amabilité, courtoisie, sourire.",'TCD FO par titre'!$A$3,"MOIS",$D$3,"Titre2",$A$41)</f>
        <v>1</v>
      </c>
      <c r="M41" s="41">
        <f>GETPIVOTDATA("Reformulation.",'TCD FO par titre'!$A$3,"MOIS",$D$3,"Titre2",$A$41)</f>
        <v>0.94117647058823528</v>
      </c>
      <c r="N41" s="41">
        <f>GETPIVOTDATA("Questionnement.",'TCD FO par titre'!$A$3,"MOIS",$D$3,"Titre2",$A$41)</f>
        <v>1</v>
      </c>
      <c r="O41" s="41">
        <f>GETPIVOTDATA("Réponse correcte et complète - Résolution au premier contact.",'TCD FO par titre'!$A$3,"MOIS",$D$3,"Titre2",$A$41)</f>
        <v>1</v>
      </c>
      <c r="P41" s="41">
        <f>GETPIVOTDATA("Traitement des objections.",'TCD FO par titre'!$A$3,"MOIS",$D$3,"Titre2",$A$41)</f>
        <v>1</v>
      </c>
      <c r="Q41" s="41">
        <f>GETPIVOTDATA("Fiabilisation.",'TCD FO par titre'!$A$3,"MOIS",$D$3,"Titre2",$A$41)</f>
        <v>1</v>
      </c>
      <c r="R41" s="41" t="str">
        <f>IFERROR(GETPIVOTDATA("Mise en attente.",'TCD FO par titre'!$A$3,"MOIS",$D$3,"Titre2",$A$41)," ")</f>
        <v>NA</v>
      </c>
      <c r="S41" s="41">
        <f>GETPIVOTDATA("Actions nécessaires effectuées - Respect des procédures.",'TCD FO par titre'!$A$3,"MOIS",$D$3,"Titre2",$A$41)</f>
        <v>1</v>
      </c>
      <c r="T41" s="41">
        <f>GETPIVOTDATA("Actions nécessaires effectuées - Respect des procédures.",'TCD FO par titre'!$A$3,"MOIS",$D$3,"Titre2",$A$41)</f>
        <v>1</v>
      </c>
      <c r="U41" s="41">
        <f>GETPIVOTDATA("Utilisation de l'historique client.",'TCD FO par titre'!$A$3,"MOIS",$D$3,"Titre2",$A$41)</f>
        <v>1</v>
      </c>
      <c r="V41" s="41">
        <f>GETPIVOTDATA("Accompagnement et valorisation du client.",'TCD FO par titre'!$A$3,"MOIS",$D$3,"Titre2",$A$41)</f>
        <v>0.94117647058823528</v>
      </c>
      <c r="W41" s="41">
        <f>GETPIVOTDATA("Valorisation du service et/ou du produit.",'TCD FO par titre'!$A$3,"MOIS",$D$3,"Titre2",$A$41)</f>
        <v>0.88235294117647056</v>
      </c>
      <c r="X41" s="41" t="str">
        <f>GETPIVOTDATA("MAJ des connaissances produit (intranet, etc.)",'TCD FO par titre'!$A$3,"MOIS",$D$3,"Titre2",$A$41)</f>
        <v>NA</v>
      </c>
      <c r="Y41" s="41">
        <f>GETPIVOTDATA("Verrouillage.",'TCD FO par titre'!$A$3,"MOIS",$D$3,"Titre2",$A$41)</f>
        <v>0.88235294117647056</v>
      </c>
      <c r="Z41" s="41">
        <f>GETPIVOTDATA("Remerciement.",'TCD FO par titre'!$A$3,"MOIS",$D$3,"Titre2",$A$41)</f>
        <v>1</v>
      </c>
      <c r="AA41" s="41">
        <f>GETPIVOTDATA("Souhaite quelque chose d'agréable.",'TCD FO par titre'!$A$3,"MOIS",$D$3,"Titre2",$A$41)</f>
        <v>1</v>
      </c>
      <c r="AB41" s="41">
        <f>GETPIVOTDATA("Pose du contact - PRN.",'TCD FO par titre'!$A$3,"MOIS",$D$3,"Titre2",$A$41)</f>
        <v>0.88235294117647056</v>
      </c>
      <c r="AC41" s="41">
        <f>GETPIVOTDATA("Commentaires de contacts.",'TCD FO par titre'!$A$3,"MOIS",$D$3,"Titre2",$A$41)</f>
        <v>1</v>
      </c>
      <c r="AD41" s="110">
        <f>GETPIVOTDATA("Communication sortante.",'TCD FO par titre'!$A$3,"MOIS",$D$3,"Titre2",$A$41)</f>
        <v>1</v>
      </c>
      <c r="AE41" s="113">
        <f t="shared" si="0"/>
        <v>0.95706070889894435</v>
      </c>
    </row>
    <row r="42" spans="1:31" ht="15.75" thickBot="1" x14ac:dyDescent="0.25">
      <c r="A42" s="57" t="s">
        <v>47</v>
      </c>
      <c r="B42" s="40" t="str">
        <f>VLOOKUP(A42,Correspondance!$I$3:$J$6,2,FALSE)</f>
        <v>SEM</v>
      </c>
      <c r="C42" s="41">
        <f>GETPIVOTDATA("Phrase d'accueil et présentation complète.",'TCD FO par titre'!$A$3,"MOIS",$D$3,"Titre2",$A$42)</f>
        <v>1</v>
      </c>
      <c r="D42" s="41">
        <f>GETPIVOTDATA("Identification client.",'TCD FO par titre'!$A$3,"MOIS",$D$3,"Titre2",$A$42)</f>
        <v>1</v>
      </c>
      <c r="E42" s="41">
        <f>GETPIVOTDATA("Vérification et MAJ de l'adresse électronique.",'TCD FO par titre'!$A$3,"MOIS",$D$3,"Titre2",$A$42)</f>
        <v>0.78</v>
      </c>
      <c r="F42" s="41">
        <f>GETPIVOTDATA("Vérification et MAJ du numéro de téléphone.",'TCD FO par titre'!$A$3,"MOIS",$D$3,"Titre2",$A$42)</f>
        <v>0.74</v>
      </c>
      <c r="G42" s="41">
        <f>GETPIVOTDATA("Vérification et MAJ de l'adresse postale.",'TCD FO par titre'!$A$3,"MOIS",$D$3,"Titre2",$A$42)</f>
        <v>1</v>
      </c>
      <c r="H42" s="41">
        <f>GETPIVOTDATA("Directivité - Maîtrise de l'entretien.",'TCD FO par titre'!$A$3,"MOIS",$D$3,"Titre2",$A$42)</f>
        <v>0.98</v>
      </c>
      <c r="I42" s="41">
        <f>GETPIVOTDATA("Ecoute active/implication.",'TCD FO par titre'!$A$3,"MOIS",$D$3,"Titre2",$A$42)</f>
        <v>1</v>
      </c>
      <c r="J42" s="41">
        <f>GETPIVOTDATA("Ton, débit, volume, empathie.",'TCD FO par titre'!$A$3,"MOIS",$D$3,"Titre2",$A$42)</f>
        <v>0.96</v>
      </c>
      <c r="K42" s="41">
        <f>GETPIVOTDATA("Vocabulaire, jargon, utilisation du JE et du présent, syntaxe.",'TCD FO par titre'!$A$3,"MOIS",$D$3,"Titre2",$A$42)</f>
        <v>1</v>
      </c>
      <c r="L42" s="41">
        <f>GETPIVOTDATA("Amabilité, courtoisie, sourire.",'TCD FO par titre'!$A$3,"MOIS",$D$3,"Titre2",$A$42)</f>
        <v>0.96</v>
      </c>
      <c r="M42" s="41">
        <f>GETPIVOTDATA("Reformulation.",'TCD FO par titre'!$A$3,"MOIS",$D$3,"Titre2",$A$42)</f>
        <v>0.88</v>
      </c>
      <c r="N42" s="41">
        <f>GETPIVOTDATA("Questionnement.",'TCD FO par titre'!$A$3,"MOIS",$D$3,"Titre2",$A$42)</f>
        <v>1</v>
      </c>
      <c r="O42" s="41">
        <f>GETPIVOTDATA("Réponse correcte et complète - Résolution au premier contact.",'TCD FO par titre'!$A$3,"MOIS",$D$3,"Titre2",$A$42)</f>
        <v>1</v>
      </c>
      <c r="P42" s="41">
        <f>GETPIVOTDATA("Traitement des objections.",'TCD FO par titre'!$A$3,"MOIS",$D$3,"Titre2",$A$42)</f>
        <v>0.875</v>
      </c>
      <c r="Q42" s="41">
        <f>GETPIVOTDATA("Fiabilisation.",'TCD FO par titre'!$A$3,"MOIS",$D$3,"Titre2",$A$42)</f>
        <v>1</v>
      </c>
      <c r="R42" s="41">
        <f>IFERROR(GETPIVOTDATA("Mise en attente.",'TCD FO par titre'!$A$3,"MOIS",$D$3,"Titre2",$A$42)," ")</f>
        <v>1</v>
      </c>
      <c r="S42" s="41">
        <f>GETPIVOTDATA("Actions nécessaires effectuées - Respect des procédures.",'TCD FO par titre'!$A$3,"MOIS",$D$3,"Titre2",$A$42)</f>
        <v>0.86</v>
      </c>
      <c r="T42" s="41">
        <f>GETPIVOTDATA("Actions nécessaires effectuées - Respect des procédures.",'TCD FO par titre'!$A$3,"MOIS",$D$3,"Titre2",$A$42)</f>
        <v>0.86</v>
      </c>
      <c r="U42" s="41">
        <f>GETPIVOTDATA("Utilisation de l'historique client.",'TCD FO par titre'!$A$3,"MOIS",$D$3,"Titre2",$A$42)</f>
        <v>0.96</v>
      </c>
      <c r="V42" s="41">
        <f>GETPIVOTDATA("Accompagnement et valorisation du client.",'TCD FO par titre'!$A$3,"MOIS",$D$3,"Titre2",$A$42)</f>
        <v>0.96</v>
      </c>
      <c r="W42" s="41">
        <f>GETPIVOTDATA("Valorisation du service et/ou du produit.",'TCD FO par titre'!$A$3,"MOIS",$D$3,"Titre2",$A$42)</f>
        <v>0.84</v>
      </c>
      <c r="X42" s="41">
        <f>GETPIVOTDATA("MAJ des connaissances produit (intranet, etc.)",'TCD FO par titre'!$A$3,"MOIS",$D$3,"Titre2",$A$42)</f>
        <v>1</v>
      </c>
      <c r="Y42" s="41">
        <f>GETPIVOTDATA("Verrouillage.",'TCD FO par titre'!$A$3,"MOIS",$D$3,"Titre2",$A$42)</f>
        <v>0.72</v>
      </c>
      <c r="Z42" s="41">
        <f>GETPIVOTDATA("Remerciement.",'TCD FO par titre'!$A$3,"MOIS",$D$3,"Titre2",$A$42)</f>
        <v>1</v>
      </c>
      <c r="AA42" s="41">
        <f>GETPIVOTDATA("Souhaite quelque chose d'agréable.",'TCD FO par titre'!$A$3,"MOIS",$D$3,"Titre2",$A$42)</f>
        <v>1</v>
      </c>
      <c r="AB42" s="41">
        <f>GETPIVOTDATA("Pose du contact - PRN.",'TCD FO par titre'!$A$3,"MOIS",$D$3,"Titre2",$A$42)</f>
        <v>1</v>
      </c>
      <c r="AC42" s="41">
        <f>GETPIVOTDATA("Commentaires de contacts.",'TCD FO par titre'!$A$3,"MOIS",$D$3,"Titre2",$A$42)</f>
        <v>0.98</v>
      </c>
      <c r="AD42" s="110">
        <f>GETPIVOTDATA("Communication sortante.",'TCD FO par titre'!$A$3,"MOIS",$D$3,"Titre2",$A$42)</f>
        <v>1</v>
      </c>
      <c r="AE42" s="114">
        <f>AVERAGE(C42:AD42)</f>
        <v>0.94125000000000014</v>
      </c>
    </row>
    <row r="43" spans="1:31" x14ac:dyDescent="0.2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</row>
    <row r="44" spans="1:31" x14ac:dyDescent="0.2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</row>
    <row r="45" spans="1:31" x14ac:dyDescent="0.2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</row>
    <row r="46" spans="1:31" ht="20.25" x14ac:dyDescent="0.3">
      <c r="B46" s="39"/>
      <c r="C46" s="126" t="str">
        <f>D3</f>
        <v>Mars</v>
      </c>
      <c r="D46" s="127"/>
      <c r="E46" s="126" t="str">
        <f>B39</f>
        <v>Courrier Internationnal</v>
      </c>
      <c r="F46" s="127"/>
      <c r="G46" s="126" t="str">
        <f>B40</f>
        <v>Le Monde.FR</v>
      </c>
      <c r="H46" s="127"/>
      <c r="I46" s="126" t="str">
        <f>B41</f>
        <v>Le Monde Diplomatique</v>
      </c>
      <c r="J46" s="127"/>
      <c r="K46" s="126" t="str">
        <f>B42</f>
        <v>SEM</v>
      </c>
      <c r="L46" s="127"/>
      <c r="M46" s="126" t="s">
        <v>791</v>
      </c>
      <c r="N46" s="127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1:31" ht="20.25" x14ac:dyDescent="0.3">
      <c r="B47" s="38" t="s">
        <v>148</v>
      </c>
      <c r="C47" s="128">
        <f>AVERAGE($C38:$G38)</f>
        <v>0.90050788559208761</v>
      </c>
      <c r="D47" s="129"/>
      <c r="E47" s="128">
        <f>AVERAGE($C39:$G39)</f>
        <v>0.89411764705882357</v>
      </c>
      <c r="F47" s="129"/>
      <c r="G47" s="128">
        <f>AVERAGE($C40:$G40)</f>
        <v>1</v>
      </c>
      <c r="H47" s="129"/>
      <c r="I47" s="128">
        <f>AVERAGE($C41:$G41)</f>
        <v>0.87083333333333324</v>
      </c>
      <c r="J47" s="129"/>
      <c r="K47" s="128">
        <f>AVERAGE($C42:$G42)</f>
        <v>0.90400000000000014</v>
      </c>
      <c r="L47" s="129"/>
      <c r="M47" s="128">
        <v>0.9</v>
      </c>
      <c r="N47" s="129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1:31" ht="20.25" x14ac:dyDescent="0.3">
      <c r="B48" s="37" t="s">
        <v>149</v>
      </c>
      <c r="C48" s="128">
        <f>AVERAGE($H38:$L38)</f>
        <v>0.98409090909090913</v>
      </c>
      <c r="D48" s="129"/>
      <c r="E48" s="128">
        <f>AVERAGE($H39:$L39)</f>
        <v>0.9764705882352942</v>
      </c>
      <c r="F48" s="129"/>
      <c r="G48" s="128">
        <f>AVERAGE($H40:$L40)</f>
        <v>1</v>
      </c>
      <c r="H48" s="129"/>
      <c r="I48" s="128">
        <f>AVERAGE($H41:$L41)</f>
        <v>1</v>
      </c>
      <c r="J48" s="129"/>
      <c r="K48" s="128">
        <f>AVERAGE($H42:$L42)</f>
        <v>0.98000000000000009</v>
      </c>
      <c r="L48" s="129"/>
      <c r="M48" s="128">
        <v>0.9</v>
      </c>
      <c r="N48" s="129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2:25" ht="20.25" x14ac:dyDescent="0.3">
      <c r="B49" s="37" t="s">
        <v>150</v>
      </c>
      <c r="C49" s="128">
        <f>AVERAGE($M38:$S38)</f>
        <v>0.96049783549783552</v>
      </c>
      <c r="D49" s="129"/>
      <c r="E49" s="128">
        <f>AVERAGE($M39:$S39)</f>
        <v>0.98039215686274517</v>
      </c>
      <c r="F49" s="129"/>
      <c r="G49" s="128">
        <f>AVERAGE($M40:$S40)</f>
        <v>0.9642857142857143</v>
      </c>
      <c r="H49" s="129"/>
      <c r="I49" s="128">
        <f>AVERAGE($M41:$S41)</f>
        <v>0.99019607843137258</v>
      </c>
      <c r="J49" s="129"/>
      <c r="K49" s="128">
        <f>AVERAGE($M42:$S42)</f>
        <v>0.94500000000000006</v>
      </c>
      <c r="L49" s="129"/>
      <c r="M49" s="128">
        <v>0.9</v>
      </c>
      <c r="N49" s="129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2:25" ht="20.25" x14ac:dyDescent="0.3">
      <c r="B50" s="37" t="s">
        <v>151</v>
      </c>
      <c r="C50" s="130">
        <f>AVERAGE($T38:$X38)</f>
        <v>0.93636363636363629</v>
      </c>
      <c r="D50" s="130"/>
      <c r="E50" s="130">
        <f>AVERAGE($T39:$X39)</f>
        <v>0.94117647058823528</v>
      </c>
      <c r="F50" s="130"/>
      <c r="G50" s="130">
        <f>AVERAGE($T40:$X40)</f>
        <v>0.9375</v>
      </c>
      <c r="H50" s="130"/>
      <c r="I50" s="130">
        <f>AVERAGE($T41:$X41)</f>
        <v>0.95588235294117652</v>
      </c>
      <c r="J50" s="130"/>
      <c r="K50" s="130">
        <f>AVERAGE($T42:$X42)</f>
        <v>0.92399999999999982</v>
      </c>
      <c r="L50" s="130"/>
      <c r="M50" s="128">
        <v>0.9</v>
      </c>
      <c r="N50" s="129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</row>
    <row r="51" spans="2:25" ht="20.25" x14ac:dyDescent="0.3">
      <c r="B51" s="37" t="s">
        <v>152</v>
      </c>
      <c r="C51" s="130">
        <f>AVERAGE($Y38:$AA38)</f>
        <v>0.93181818181818177</v>
      </c>
      <c r="D51" s="130"/>
      <c r="E51" s="130">
        <f>AVERAGE($Y39:$AA39)</f>
        <v>0.96078431372549022</v>
      </c>
      <c r="F51" s="130"/>
      <c r="G51" s="130">
        <f>AVERAGE($Y40:$AA40)</f>
        <v>1</v>
      </c>
      <c r="H51" s="130"/>
      <c r="I51" s="130">
        <f>AVERAGE($Y41:$AA41)</f>
        <v>0.96078431372549022</v>
      </c>
      <c r="J51" s="130"/>
      <c r="K51" s="130">
        <f>AVERAGE($Y42:$AA42)</f>
        <v>0.90666666666666662</v>
      </c>
      <c r="L51" s="130"/>
      <c r="M51" s="128">
        <v>0.9</v>
      </c>
      <c r="N51" s="129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</row>
    <row r="52" spans="2:25" ht="20.25" x14ac:dyDescent="0.3">
      <c r="B52" s="37" t="s">
        <v>153</v>
      </c>
      <c r="C52" s="130">
        <f>AVERAGE($AB38:$AD38)</f>
        <v>0.98484848484848486</v>
      </c>
      <c r="D52" s="130"/>
      <c r="E52" s="130">
        <f>AVERAGE($AB39:$AD39)</f>
        <v>0.98039215686274517</v>
      </c>
      <c r="F52" s="130"/>
      <c r="G52" s="130">
        <f>AVERAGE($AB40:$AD40)</f>
        <v>1</v>
      </c>
      <c r="H52" s="130"/>
      <c r="I52" s="130">
        <f>AVERAGE($AB41:$AD41)</f>
        <v>0.96078431372549022</v>
      </c>
      <c r="J52" s="130"/>
      <c r="K52" s="130">
        <f>AVERAGE($AB42:$AD42)</f>
        <v>0.99333333333333329</v>
      </c>
      <c r="L52" s="130"/>
      <c r="M52" s="128">
        <v>0.9</v>
      </c>
      <c r="N52" s="129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</row>
    <row r="53" spans="2:25" x14ac:dyDescent="0.2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</row>
    <row r="54" spans="2:25" x14ac:dyDescent="0.2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</row>
    <row r="55" spans="2:25" x14ac:dyDescent="0.2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</row>
  </sheetData>
  <mergeCells count="89">
    <mergeCell ref="M52:N52"/>
    <mergeCell ref="M46:N46"/>
    <mergeCell ref="M47:N47"/>
    <mergeCell ref="M48:N48"/>
    <mergeCell ref="M49:N49"/>
    <mergeCell ref="M50:N50"/>
    <mergeCell ref="M51:N51"/>
    <mergeCell ref="I51:J51"/>
    <mergeCell ref="I52:J52"/>
    <mergeCell ref="K46:L46"/>
    <mergeCell ref="K47:L47"/>
    <mergeCell ref="K48:L48"/>
    <mergeCell ref="K49:L49"/>
    <mergeCell ref="K50:L50"/>
    <mergeCell ref="K51:L51"/>
    <mergeCell ref="K52:L52"/>
    <mergeCell ref="I47:J47"/>
    <mergeCell ref="I48:J48"/>
    <mergeCell ref="I49:J49"/>
    <mergeCell ref="I50:J50"/>
    <mergeCell ref="I18:J18"/>
    <mergeCell ref="I19:J19"/>
    <mergeCell ref="I20:J20"/>
    <mergeCell ref="I21:J21"/>
    <mergeCell ref="M23:N23"/>
    <mergeCell ref="K18:L18"/>
    <mergeCell ref="K19:L19"/>
    <mergeCell ref="K20:L20"/>
    <mergeCell ref="K21:L21"/>
    <mergeCell ref="K22:L22"/>
    <mergeCell ref="K23:L23"/>
    <mergeCell ref="M18:N18"/>
    <mergeCell ref="M19:N19"/>
    <mergeCell ref="M20:N20"/>
    <mergeCell ref="M21:N21"/>
    <mergeCell ref="M22:N22"/>
    <mergeCell ref="I22:J22"/>
    <mergeCell ref="I23:J23"/>
    <mergeCell ref="I46:J46"/>
    <mergeCell ref="C51:D51"/>
    <mergeCell ref="E51:F51"/>
    <mergeCell ref="G51:H51"/>
    <mergeCell ref="C47:D47"/>
    <mergeCell ref="E47:F47"/>
    <mergeCell ref="G47:H47"/>
    <mergeCell ref="C48:D48"/>
    <mergeCell ref="E48:F48"/>
    <mergeCell ref="G48:H48"/>
    <mergeCell ref="B34:AC34"/>
    <mergeCell ref="C46:D46"/>
    <mergeCell ref="E46:F46"/>
    <mergeCell ref="G46:H46"/>
    <mergeCell ref="C52:D52"/>
    <mergeCell ref="E52:F52"/>
    <mergeCell ref="G52:H52"/>
    <mergeCell ref="C49:D49"/>
    <mergeCell ref="E49:F49"/>
    <mergeCell ref="G49:H49"/>
    <mergeCell ref="C50:D50"/>
    <mergeCell ref="E50:F50"/>
    <mergeCell ref="G50:H50"/>
    <mergeCell ref="C22:D22"/>
    <mergeCell ref="E22:F22"/>
    <mergeCell ref="G22:H22"/>
    <mergeCell ref="C23:D23"/>
    <mergeCell ref="E23:F23"/>
    <mergeCell ref="G23:H23"/>
    <mergeCell ref="C20:D20"/>
    <mergeCell ref="E20:F20"/>
    <mergeCell ref="G20:H20"/>
    <mergeCell ref="C21:D21"/>
    <mergeCell ref="E21:F21"/>
    <mergeCell ref="G21:H21"/>
    <mergeCell ref="C18:D18"/>
    <mergeCell ref="E18:F18"/>
    <mergeCell ref="G18:H18"/>
    <mergeCell ref="C19:D19"/>
    <mergeCell ref="E19:F19"/>
    <mergeCell ref="G19:H19"/>
    <mergeCell ref="B1:AD1"/>
    <mergeCell ref="B3:C3"/>
    <mergeCell ref="D3:G3"/>
    <mergeCell ref="B6:AC6"/>
    <mergeCell ref="C17:D17"/>
    <mergeCell ref="E17:F17"/>
    <mergeCell ref="G17:H17"/>
    <mergeCell ref="K17:L17"/>
    <mergeCell ref="M17:N17"/>
    <mergeCell ref="I17:J17"/>
  </mergeCells>
  <conditionalFormatting sqref="C9:W9">
    <cfRule type="cellIs" dxfId="162" priority="16" operator="lessThan">
      <formula>0.9</formula>
    </cfRule>
    <cfRule type="cellIs" dxfId="161" priority="17" operator="equal">
      <formula>1</formula>
    </cfRule>
  </conditionalFormatting>
  <conditionalFormatting sqref="C38:W38 Y38:AD38">
    <cfRule type="cellIs" dxfId="160" priority="14" operator="lessThan">
      <formula>0.9</formula>
    </cfRule>
    <cfRule type="cellIs" dxfId="159" priority="15" operator="equal">
      <formula>1</formula>
    </cfRule>
  </conditionalFormatting>
  <conditionalFormatting sqref="X38">
    <cfRule type="cellIs" dxfId="158" priority="12" operator="lessThan">
      <formula>0.9</formula>
    </cfRule>
    <cfRule type="cellIs" dxfId="157" priority="13" operator="equal">
      <formula>1</formula>
    </cfRule>
  </conditionalFormatting>
  <conditionalFormatting sqref="C39:W42 Y39:AD42">
    <cfRule type="cellIs" dxfId="156" priority="8" operator="lessThan">
      <formula>0.9</formula>
    </cfRule>
    <cfRule type="cellIs" dxfId="155" priority="9" operator="equal">
      <formula>1</formula>
    </cfRule>
  </conditionalFormatting>
  <conditionalFormatting sqref="C10:W13">
    <cfRule type="cellIs" dxfId="154" priority="4" operator="lessThan">
      <formula>0.9</formula>
    </cfRule>
    <cfRule type="cellIs" dxfId="153" priority="5" operator="equal">
      <formula>1</formula>
    </cfRule>
  </conditionalFormatting>
  <conditionalFormatting sqref="X39:X42">
    <cfRule type="cellIs" dxfId="152" priority="6" operator="lessThan">
      <formula>0.9</formula>
    </cfRule>
    <cfRule type="cellIs" dxfId="151" priority="7" operator="equal">
      <formula>1</formula>
    </cfRule>
  </conditionalFormatting>
  <conditionalFormatting sqref="AE38:AE4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Correspondance!$E$3:$E$14</xm:f>
          </x14:formula1>
          <xm:sqref>D3:G3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1:AD59"/>
  <sheetViews>
    <sheetView topLeftCell="A37" zoomScale="70" zoomScaleNormal="70" workbookViewId="0">
      <selection activeCell="C27" sqref="C27:D27"/>
    </sheetView>
  </sheetViews>
  <sheetFormatPr baseColWidth="10" defaultRowHeight="12.75" x14ac:dyDescent="0.2"/>
  <cols>
    <col min="1" max="1" width="1.7109375" customWidth="1"/>
    <col min="2" max="2" width="53.42578125" bestFit="1" customWidth="1"/>
    <col min="4" max="4" width="11.7109375" bestFit="1" customWidth="1"/>
  </cols>
  <sheetData>
    <row r="1" spans="2:30" ht="45.75" customHeight="1" x14ac:dyDescent="0.6">
      <c r="B1" s="124" t="s">
        <v>559</v>
      </c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</row>
    <row r="3" spans="2:30" ht="27" x14ac:dyDescent="0.2">
      <c r="B3" s="125" t="s">
        <v>428</v>
      </c>
      <c r="C3" s="125"/>
      <c r="D3" s="125" t="str">
        <f>VLOOKUP(I3,Correspondance!D3:E14,2,FALSE)</f>
        <v>Janvier</v>
      </c>
      <c r="E3" s="125"/>
      <c r="F3" s="125"/>
      <c r="G3" s="125"/>
      <c r="I3" s="49">
        <v>1</v>
      </c>
      <c r="J3" s="49">
        <f>VLOOKUP(I3,Correspondance!D3:G14,3,FALSE)</f>
        <v>12</v>
      </c>
      <c r="K3" s="49">
        <f>VLOOKUP(I3,Correspondance!D3:H14,4,FALSE)</f>
        <v>11</v>
      </c>
    </row>
    <row r="4" spans="2:30" ht="27" x14ac:dyDescent="0.2">
      <c r="B4" s="54"/>
      <c r="C4" s="54"/>
      <c r="D4" s="54"/>
      <c r="E4" s="54"/>
      <c r="F4" s="54"/>
      <c r="G4" s="54"/>
      <c r="J4" t="str">
        <f>VLOOKUP(J3,Correspondance!D3:E14,2,FALSE)</f>
        <v>Décembre</v>
      </c>
      <c r="K4" t="str">
        <f>VLOOKUP(K3,Correspondance!D3:E14,2,FALSE)</f>
        <v>Novembre</v>
      </c>
    </row>
    <row r="5" spans="2:30" ht="27" x14ac:dyDescent="0.2">
      <c r="B5" s="55"/>
      <c r="C5" s="55"/>
      <c r="D5" s="55"/>
      <c r="E5" s="55"/>
      <c r="F5" s="55"/>
      <c r="G5" s="55"/>
    </row>
    <row r="6" spans="2:30" ht="27" x14ac:dyDescent="0.2">
      <c r="B6" s="123" t="str">
        <f>CONCATENATE("Suivi BO de ",K4," à ",D3)</f>
        <v>Suivi BO de Novembre à Janvier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</row>
    <row r="7" spans="2:30" ht="25.5" customHeight="1" x14ac:dyDescent="0.2"/>
    <row r="8" spans="2:30" ht="313.5" customHeight="1" x14ac:dyDescent="0.2">
      <c r="B8" s="36"/>
      <c r="C8" s="44" t="s">
        <v>430</v>
      </c>
      <c r="D8" s="43" t="s">
        <v>431</v>
      </c>
      <c r="E8" s="43" t="s">
        <v>432</v>
      </c>
      <c r="F8" s="43" t="s">
        <v>433</v>
      </c>
      <c r="G8" s="43" t="s">
        <v>451</v>
      </c>
      <c r="H8" s="43" t="s">
        <v>434</v>
      </c>
      <c r="I8" s="43" t="s">
        <v>435</v>
      </c>
      <c r="J8" s="43" t="s">
        <v>436</v>
      </c>
      <c r="K8" s="43" t="s">
        <v>437</v>
      </c>
      <c r="L8" s="43" t="s">
        <v>438</v>
      </c>
      <c r="M8" s="43" t="s">
        <v>439</v>
      </c>
      <c r="N8" s="43" t="s">
        <v>440</v>
      </c>
      <c r="O8" s="43" t="s">
        <v>441</v>
      </c>
      <c r="P8" s="43" t="s">
        <v>442</v>
      </c>
      <c r="Q8" s="43" t="s">
        <v>449</v>
      </c>
      <c r="R8" s="43" t="s">
        <v>443</v>
      </c>
      <c r="S8" s="43" t="s">
        <v>444</v>
      </c>
      <c r="T8" s="43" t="s">
        <v>445</v>
      </c>
      <c r="U8" s="43" t="s">
        <v>446</v>
      </c>
      <c r="V8" s="43" t="s">
        <v>447</v>
      </c>
      <c r="W8" s="43" t="s">
        <v>448</v>
      </c>
    </row>
    <row r="9" spans="2:30" ht="15" x14ac:dyDescent="0.2">
      <c r="B9" s="40" t="str">
        <f>CONCATENATE(B3," ",D3)</f>
        <v>MOIS : Janvier</v>
      </c>
      <c r="C9" s="41">
        <f>GETPIVOTDATA("Identification (ou création) du dossier.",'TCD BO'!$A$4,"MOIS",$D$3)</f>
        <v>1</v>
      </c>
      <c r="D9" s="41">
        <f>GETPIVOTDATA("MAJ des coordonnées postales.",'TCD BO'!$A$4,"MOIS",$D$3)</f>
        <v>0.97916666666666663</v>
      </c>
      <c r="E9" s="41">
        <f>GETPIVOTDATA("MAJ des moyens de communication (téléphone, adresse électronique).",'TCD BO'!$A$4,"MOIS",$D$3)</f>
        <v>0.84313725490196079</v>
      </c>
      <c r="F9" s="41">
        <f>GETPIVOTDATA("Analyse de la demande, des commandes et de l'historique des échanges.",'TCD BO'!$A$4,"MOIS",$D$3)</f>
        <v>0.96511627906976749</v>
      </c>
      <c r="G9" s="41">
        <f>GETPIVOTDATA("MAJ des con issances produit (intranet, etc.).",'TCD BO'!$A$4,"MOIS",$D$3)</f>
        <v>1</v>
      </c>
      <c r="H9" s="41">
        <f>GETPIVOTDATA("Respect des procédures.",'TCD BO'!$A$4,"MOIS",$D$3)</f>
        <v>0.97674418604651159</v>
      </c>
      <c r="I9" s="41">
        <f>GETPIVOTDATA("Respect des règles de gestion (cm, anomalie portage, etc.).",'TCD BO'!$A$4,"MOIS",$D$3)</f>
        <v>0.96932515337423308</v>
      </c>
      <c r="J9" s="41">
        <f>GETPIVOTDATA("Appel à l'assistance/cellule prio - Escalade vers le niveau 2.",'TCD BO'!$A$4,"MOIS",$D$3)</f>
        <v>1</v>
      </c>
      <c r="K9" s="41">
        <f>GETPIVOTDATA("Choix du modèle-type.",'TCD BO'!$A$4,"MOIS",$D$3)</f>
        <v>0.98136645962732916</v>
      </c>
      <c r="L9" s="41">
        <f>GETPIVOTDATA("Réponse correcte et complète - Résolution au premier contact.",'TCD BO'!$A$4,"MOIS",$D$3)</f>
        <v>0.85882352941176465</v>
      </c>
      <c r="M9" s="41">
        <f>GETPIVOTDATA("Aucune faute de grammaire ou d'orthographe.",'TCD BO'!$A$4,"MOIS",$D$3)</f>
        <v>0.97484276729559749</v>
      </c>
      <c r="N9" s="41">
        <f>GETPIVOTDATA("Syntaxe claire et ponctuée.",'TCD BO'!$A$4,"MOIS",$D$3)</f>
        <v>0.96855345911949686</v>
      </c>
      <c r="O9" s="41">
        <f>GETPIVOTDATA("Adresse mail expéditeur et destinataire.",'TCD BO'!$A$4,"MOIS",$D$3)</f>
        <v>1</v>
      </c>
      <c r="P9" s="41">
        <f>GETPIVOTDATA("Personnalisation de la réponse.",'TCD BO'!$A$4,"MOIS",$D$3)</f>
        <v>0.94339622641509435</v>
      </c>
      <c r="Q9" s="41">
        <f>GETPIVOTDATA("Entête nominative - formule de politesse et prise de congé adaptées.",'TCD BO'!$A$4,"MOIS",$D$3)</f>
        <v>0.98717948717948723</v>
      </c>
      <c r="R9" s="41">
        <f>GETPIVOTDATA("Accompagnement client - sens du service.",'TCD BO'!$A$4,"MOIS",$D$3)</f>
        <v>0.98550724637681164</v>
      </c>
      <c r="S9" s="41">
        <f>GETPIVOTDATA("Présentation et mise en valeur des offres.",'TCD BO'!$A$4,"MOIS",$D$3)</f>
        <v>1</v>
      </c>
      <c r="T9" s="41">
        <f>GETPIVOTDATA("Valorisation des gestes co/dédommagement - valorisation de la marque.",'TCD BO'!$A$4,"MOIS",$D$3)</f>
        <v>1</v>
      </c>
      <c r="U9" s="41">
        <f>GETPIVOTDATA("Valorisation client.",'TCD BO'!$A$4,"MOIS",$D$3)</f>
        <v>1</v>
      </c>
      <c r="V9" s="41">
        <f>GETPIVOTDATA("Pose du contact - PRN.",'TCD BO'!$A$4,"MOIS",$D$3)</f>
        <v>0.96531791907514453</v>
      </c>
      <c r="W9" s="41">
        <f>GETPIVOTDATA("Commentaire.",'TCD BO'!$A$4,"MOIS",$D$3)</f>
        <v>0.97687861271676302</v>
      </c>
    </row>
    <row r="10" spans="2:30" ht="15" x14ac:dyDescent="0.2">
      <c r="B10" s="40" t="str">
        <f>CONCATENATE(B3," ",J4)</f>
        <v>MOIS : Décembre</v>
      </c>
      <c r="C10" s="41" t="e">
        <f>GETPIVOTDATA("Identification (ou création) du dossier.",'TCD BO'!$A$4,"MOIS",$J$4)</f>
        <v>#REF!</v>
      </c>
      <c r="D10" s="41" t="e">
        <f>GETPIVOTDATA("MAJ des coordonnées postales.",'TCD BO'!$A$4,"MOIS",$J$4)</f>
        <v>#REF!</v>
      </c>
      <c r="E10" s="41" t="e">
        <f>GETPIVOTDATA("MAJ des moyens de communication (téléphone, adresse électronique).",'TCD BO'!$A$4,"MOIS",$J$4)</f>
        <v>#REF!</v>
      </c>
      <c r="F10" s="41" t="e">
        <f>GETPIVOTDATA("Analyse de la demande, des commandes et de l'historique des échanges.",'TCD BO'!$A$4,"MOIS",$J$4)</f>
        <v>#REF!</v>
      </c>
      <c r="G10" s="41" t="e">
        <f>GETPIVOTDATA("MAJ des con issances produit (intranet, etc.).",'TCD BO'!$A$4,"MOIS",$J$4)</f>
        <v>#REF!</v>
      </c>
      <c r="H10" s="41" t="e">
        <f>GETPIVOTDATA("Respect des procédures.",'TCD BO'!$A$4,"MOIS",$J$4)</f>
        <v>#REF!</v>
      </c>
      <c r="I10" s="41" t="e">
        <f>GETPIVOTDATA("Respect des règles de gestion (cm, anomalie portage, etc.).",'TCD BO'!$A$4,"MOIS",$J$4)</f>
        <v>#REF!</v>
      </c>
      <c r="J10" s="41" t="e">
        <f>GETPIVOTDATA("Appel à l'assistance/cellule prio - Escalade vers le niveau 2.",'TCD BO'!$A$4,"MOIS",$J$4)</f>
        <v>#REF!</v>
      </c>
      <c r="K10" s="41" t="e">
        <f>GETPIVOTDATA("Choix du modèle-type.",'TCD BO'!$A$4,"MOIS",$J$4)</f>
        <v>#REF!</v>
      </c>
      <c r="L10" s="41" t="e">
        <f>GETPIVOTDATA("Réponse correcte et complète - Résolution au premier contact.",'TCD BO'!$A$4,"MOIS",$J$4)</f>
        <v>#REF!</v>
      </c>
      <c r="M10" s="41" t="e">
        <f>GETPIVOTDATA("Aucune faute de grammaire ou d'orthographe.",'TCD BO'!$A$4,"MOIS",$J$4)</f>
        <v>#REF!</v>
      </c>
      <c r="N10" s="41" t="e">
        <f>GETPIVOTDATA("Syntaxe claire et ponctuée.",'TCD BO'!$A$4,"MOIS",$J$4)</f>
        <v>#REF!</v>
      </c>
      <c r="O10" s="41" t="e">
        <f>GETPIVOTDATA("Adresse mail expéditeur et destinataire.",'TCD BO'!$A$4,"MOIS",$J$4)</f>
        <v>#REF!</v>
      </c>
      <c r="P10" s="41" t="e">
        <f>GETPIVOTDATA("Personnalisation de la réponse.",'TCD BO'!$A$4,"MOIS",$J$4)</f>
        <v>#REF!</v>
      </c>
      <c r="Q10" s="41" t="e">
        <f>GETPIVOTDATA("Entête nominative - formule de politesse et prise de congé adaptées.",'TCD BO'!$A$4,"MOIS",$J$4)</f>
        <v>#REF!</v>
      </c>
      <c r="R10" s="41" t="e">
        <f>GETPIVOTDATA("Accompagnement client - sens du service.",'TCD BO'!$A$4,"MOIS",$J$4)</f>
        <v>#REF!</v>
      </c>
      <c r="S10" s="41" t="e">
        <f>GETPIVOTDATA("Présentation et mise en valeur des offres.",'TCD BO'!$A$4,"MOIS",$J$4)</f>
        <v>#REF!</v>
      </c>
      <c r="T10" s="41" t="e">
        <f>GETPIVOTDATA("Valorisation des gestes co/dédommagement - valorisation de la marque.",'TCD BO'!$A$4,"MOIS",$J$4)</f>
        <v>#REF!</v>
      </c>
      <c r="U10" s="41" t="e">
        <f>GETPIVOTDATA("Valorisation client.",'TCD BO'!$A$4,"MOIS",$J$4)</f>
        <v>#REF!</v>
      </c>
      <c r="V10" s="41" t="e">
        <f>GETPIVOTDATA("Pose du contact - PRN.",'TCD BO'!$A$4,"MOIS",$J$4)</f>
        <v>#REF!</v>
      </c>
      <c r="W10" s="41" t="e">
        <f>GETPIVOTDATA("Commentaire.",'TCD BO'!$A$4,"MOIS",$J$4)</f>
        <v>#REF!</v>
      </c>
    </row>
    <row r="11" spans="2:30" ht="15" x14ac:dyDescent="0.2">
      <c r="B11" s="40" t="str">
        <f>CONCATENATE(B3," ",K4)</f>
        <v>MOIS : Novembre</v>
      </c>
      <c r="C11" s="41" t="e">
        <f>GETPIVOTDATA("Identification (ou création) du dossier.",'TCD BO'!$A$4,"MOIS",$K$4)</f>
        <v>#REF!</v>
      </c>
      <c r="D11" s="41" t="e">
        <f>GETPIVOTDATA("MAJ des coordonnées postales.",'TCD BO'!$A$4,"MOIS",$K$4)</f>
        <v>#REF!</v>
      </c>
      <c r="E11" s="41" t="e">
        <f>GETPIVOTDATA("MAJ des moyens de communication (téléphone, adresse électronique).",'TCD BO'!$A$4,"MOIS",$K$4)</f>
        <v>#REF!</v>
      </c>
      <c r="F11" s="41" t="e">
        <f>GETPIVOTDATA("Analyse de la demande, des commandes et de l'historique des échanges.",'TCD BO'!$A$4,"MOIS",$K$4)</f>
        <v>#REF!</v>
      </c>
      <c r="G11" s="41" t="e">
        <f>GETPIVOTDATA("MAJ des con issances produit (intranet, etc.).",'TCD BO'!$A$4,"MOIS",$K$4)</f>
        <v>#REF!</v>
      </c>
      <c r="H11" s="41" t="e">
        <f>GETPIVOTDATA("Respect des procédures.",'TCD BO'!$A$4,"MOIS",$K$4)</f>
        <v>#REF!</v>
      </c>
      <c r="I11" s="41" t="e">
        <f>GETPIVOTDATA("Respect des règles de gestion (cm, anomalie portage, etc.).",'TCD BO'!$A$4,"MOIS",$K$4)</f>
        <v>#REF!</v>
      </c>
      <c r="J11" s="41" t="e">
        <f>GETPIVOTDATA("Appel à l'assistance/cellule prio - Escalade vers le niveau 2.",'TCD BO'!$A$4,"MOIS",$K$4)</f>
        <v>#REF!</v>
      </c>
      <c r="K11" s="41" t="e">
        <f>GETPIVOTDATA("Choix du modèle-type.",'TCD BO'!$A$4,"MOIS",$K$4)</f>
        <v>#REF!</v>
      </c>
      <c r="L11" s="41" t="e">
        <f>GETPIVOTDATA("Réponse correcte et complète - Résolution au premier contact.",'TCD BO'!$A$4,"MOIS",$K$4)</f>
        <v>#REF!</v>
      </c>
      <c r="M11" s="41" t="e">
        <f>GETPIVOTDATA("Aucune faute de grammaire ou d'orthographe.",'TCD BO'!$A$4,"MOIS",$K$4)</f>
        <v>#REF!</v>
      </c>
      <c r="N11" s="41" t="e">
        <f>GETPIVOTDATA("Syntaxe claire et ponctuée.",'TCD BO'!$A$4,"MOIS",$K$4)</f>
        <v>#REF!</v>
      </c>
      <c r="O11" s="41" t="e">
        <f>GETPIVOTDATA("Adresse mail expéditeur et destinataire.",'TCD BO'!$A$4,"MOIS",$K$4)</f>
        <v>#REF!</v>
      </c>
      <c r="P11" s="41" t="e">
        <f>GETPIVOTDATA("Personnalisation de la réponse.",'TCD BO'!$A$4,"MOIS",$K$4)</f>
        <v>#REF!</v>
      </c>
      <c r="Q11" s="41" t="e">
        <f>GETPIVOTDATA("Entête nominative - formule de politesse et prise de congé adaptées.",'TCD BO'!$A$4,"MOIS",$K$4)</f>
        <v>#REF!</v>
      </c>
      <c r="R11" s="41" t="e">
        <f>GETPIVOTDATA("Accompagnement client - sens du service.",'TCD BO'!$A$4,"MOIS",$K$4)</f>
        <v>#REF!</v>
      </c>
      <c r="S11" s="41" t="e">
        <f>GETPIVOTDATA("Présentation et mise en valeur des offres.",'TCD BO'!$A$4,"MOIS",$K$4)</f>
        <v>#REF!</v>
      </c>
      <c r="T11" s="41" t="e">
        <f>GETPIVOTDATA("Valorisation des gestes co/dédommagement - valorisation de la marque.",'TCD BO'!$A$4,"MOIS",$K$4)</f>
        <v>#REF!</v>
      </c>
      <c r="U11" s="41" t="e">
        <f>GETPIVOTDATA("Valorisation client.",'TCD BO'!$A$4,"MOIS",$K$4)</f>
        <v>#REF!</v>
      </c>
      <c r="V11" s="41" t="e">
        <f>GETPIVOTDATA("Pose du contact - PRN.",'TCD BO'!$A$4,"MOIS",$K$4)</f>
        <v>#REF!</v>
      </c>
      <c r="W11" s="41" t="e">
        <f>GETPIVOTDATA("Commentaire.",'TCD BO'!$A$4,"MOIS",$K$4)</f>
        <v>#REF!</v>
      </c>
    </row>
    <row r="12" spans="2:30" x14ac:dyDescent="0.2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2:30" x14ac:dyDescent="0.2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2:30" ht="20.25" x14ac:dyDescent="0.3">
      <c r="B14" s="39"/>
      <c r="C14" s="126" t="str">
        <f>D3</f>
        <v>Janvier</v>
      </c>
      <c r="D14" s="127"/>
      <c r="E14" s="126" t="str">
        <f>J4</f>
        <v>Décembre</v>
      </c>
      <c r="F14" s="127"/>
      <c r="G14" s="126" t="str">
        <f>K4</f>
        <v>Novembre</v>
      </c>
      <c r="H14" s="127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2:30" ht="20.25" x14ac:dyDescent="0.3">
      <c r="B15" s="38" t="s">
        <v>295</v>
      </c>
      <c r="C15" s="128">
        <f>AVERAGE(C9:E9)</f>
        <v>0.94076797385620914</v>
      </c>
      <c r="D15" s="129"/>
      <c r="E15" s="128" t="e">
        <f>AVERAGE(C10:E10)</f>
        <v>#REF!</v>
      </c>
      <c r="F15" s="129"/>
      <c r="G15" s="128" t="e">
        <f>AVERAGE(C11:E11)</f>
        <v>#REF!</v>
      </c>
      <c r="H15" s="129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2:30" ht="20.25" x14ac:dyDescent="0.3">
      <c r="B16" s="37" t="s">
        <v>296</v>
      </c>
      <c r="C16" s="128">
        <f>AVERAGE(F9:G9)</f>
        <v>0.98255813953488369</v>
      </c>
      <c r="D16" s="129"/>
      <c r="E16" s="128" t="e">
        <f>AVERAGE(F10:G10)</f>
        <v>#REF!</v>
      </c>
      <c r="F16" s="129"/>
      <c r="G16" s="128" t="e">
        <f>AVERAGE(F11:G11)</f>
        <v>#REF!</v>
      </c>
      <c r="H16" s="129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2:29" ht="20.25" x14ac:dyDescent="0.3">
      <c r="B17" s="37" t="s">
        <v>297</v>
      </c>
      <c r="C17" s="128">
        <f>AVERAGE(H9:J9)</f>
        <v>0.98202311314024815</v>
      </c>
      <c r="D17" s="129"/>
      <c r="E17" s="128" t="e">
        <f>AVERAGE(H10:J10)</f>
        <v>#REF!</v>
      </c>
      <c r="F17" s="129"/>
      <c r="G17" s="128" t="e">
        <f>AVERAGE(H11:J11)</f>
        <v>#REF!</v>
      </c>
      <c r="H17" s="129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</row>
    <row r="18" spans="2:29" ht="20.25" x14ac:dyDescent="0.3">
      <c r="B18" s="37" t="s">
        <v>298</v>
      </c>
      <c r="C18" s="130">
        <f>AVERAGE(K9:L9)</f>
        <v>0.9200949945195469</v>
      </c>
      <c r="D18" s="130"/>
      <c r="E18" s="130" t="e">
        <f>AVERAGE(K10:L10)</f>
        <v>#REF!</v>
      </c>
      <c r="F18" s="130"/>
      <c r="G18" s="130" t="e">
        <f>AVERAGE(K11:L11)</f>
        <v>#REF!</v>
      </c>
      <c r="H18" s="130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</row>
    <row r="19" spans="2:29" ht="20.25" x14ac:dyDescent="0.3">
      <c r="B19" s="37" t="s">
        <v>378</v>
      </c>
      <c r="C19" s="130">
        <f>AVERAGE(M9:U9)</f>
        <v>0.98438657626516524</v>
      </c>
      <c r="D19" s="130"/>
      <c r="E19" s="130" t="e">
        <f>AVERAGE(M10:U10)</f>
        <v>#REF!</v>
      </c>
      <c r="F19" s="130"/>
      <c r="G19" s="130" t="e">
        <f>AVERAGE(M11:U11)</f>
        <v>#REF!</v>
      </c>
      <c r="H19" s="130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</row>
    <row r="20" spans="2:29" ht="20.25" x14ac:dyDescent="0.3">
      <c r="B20" s="37" t="s">
        <v>299</v>
      </c>
      <c r="C20" s="130">
        <f>AVERAGE(V9:W9)</f>
        <v>0.97109826589595372</v>
      </c>
      <c r="D20" s="130"/>
      <c r="E20" s="130" t="e">
        <f>AVERAGE(V10:W10)</f>
        <v>#REF!</v>
      </c>
      <c r="F20" s="130"/>
      <c r="G20" s="130" t="e">
        <f>AVERAGE(V11:W11)</f>
        <v>#REF!</v>
      </c>
      <c r="H20" s="130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</row>
    <row r="21" spans="2:29" x14ac:dyDescent="0.2"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</row>
    <row r="22" spans="2:29" x14ac:dyDescent="0.2"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</row>
    <row r="23" spans="2:29" x14ac:dyDescent="0.2"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</row>
    <row r="24" spans="2:29" ht="20.25" x14ac:dyDescent="0.3">
      <c r="B24" s="45" t="s">
        <v>145</v>
      </c>
      <c r="C24" s="45"/>
      <c r="D24" s="45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</row>
    <row r="25" spans="2:29" ht="20.25" x14ac:dyDescent="0.3">
      <c r="B25" s="46"/>
      <c r="C25" s="46"/>
      <c r="D25" s="46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</row>
    <row r="26" spans="2:29" ht="20.25" x14ac:dyDescent="0.3">
      <c r="B26" s="46"/>
      <c r="C26" s="131" t="s">
        <v>146</v>
      </c>
      <c r="D26" s="131"/>
      <c r="E26" s="131" t="s">
        <v>147</v>
      </c>
      <c r="F26" s="131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</row>
    <row r="27" spans="2:29" ht="20.25" x14ac:dyDescent="0.3">
      <c r="B27" s="47" t="str">
        <f>D3</f>
        <v>Janvier</v>
      </c>
      <c r="C27" s="132">
        <f>COUNTIF('RESULTATS BO'!C:C,'Bilan mensuel sur 3 mois'!B27)</f>
        <v>173</v>
      </c>
      <c r="D27" s="132"/>
      <c r="E27" s="133">
        <f>GETPIVOTDATA("Moyenne de note",'TCD BO'!$A$4,"MOIS",B27)/100</f>
        <v>0.95427330774138508</v>
      </c>
      <c r="F27" s="133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</row>
    <row r="28" spans="2:29" ht="20.25" x14ac:dyDescent="0.3">
      <c r="B28" s="47" t="str">
        <f>J4</f>
        <v>Décembre</v>
      </c>
      <c r="C28" s="132">
        <f>COUNTIF('RESULTATS BO'!C:C,'Bilan mensuel sur 3 mois'!B28)</f>
        <v>0</v>
      </c>
      <c r="D28" s="132"/>
      <c r="E28" s="133" t="e">
        <f>GETPIVOTDATA("Moyenne de note",'TCD BO'!$A$4,"MOIS",B28)/100</f>
        <v>#REF!</v>
      </c>
      <c r="F28" s="133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</row>
    <row r="29" spans="2:29" ht="20.25" x14ac:dyDescent="0.3">
      <c r="B29" s="47" t="str">
        <f>K4</f>
        <v>Novembre</v>
      </c>
      <c r="C29" s="132">
        <f>COUNTIF('RESULTATS BO'!C:C,'Bilan mensuel sur 3 mois'!B29)</f>
        <v>0</v>
      </c>
      <c r="D29" s="132"/>
      <c r="E29" s="133" t="e">
        <f>GETPIVOTDATA("Moyenne de note",'TCD BO'!$A$4,"MOIS",B29)/100</f>
        <v>#REF!</v>
      </c>
      <c r="F29" s="133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</row>
    <row r="30" spans="2:29" x14ac:dyDescent="0.2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</row>
    <row r="31" spans="2:29" x14ac:dyDescent="0.2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</row>
    <row r="32" spans="2:29" x14ac:dyDescent="0.2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</row>
    <row r="35" spans="2:30" ht="36" customHeight="1" x14ac:dyDescent="0.2">
      <c r="B35" s="123" t="str">
        <f>CONCATENATE("Suivi FO de ",K4," à ",D3)</f>
        <v>Suivi FO de Novembre à Janvier</v>
      </c>
      <c r="C35" s="123"/>
      <c r="D35" s="123"/>
      <c r="E35" s="123"/>
      <c r="F35" s="123"/>
      <c r="G35" s="123"/>
      <c r="H35" s="123"/>
      <c r="I35" s="123"/>
      <c r="J35" s="123"/>
      <c r="K35" s="123"/>
      <c r="L35" s="123"/>
      <c r="M35" s="123"/>
      <c r="N35" s="123"/>
      <c r="O35" s="123"/>
      <c r="P35" s="123"/>
      <c r="Q35" s="123"/>
      <c r="R35" s="123"/>
      <c r="S35" s="123"/>
      <c r="T35" s="123"/>
      <c r="U35" s="123"/>
      <c r="V35" s="123"/>
      <c r="W35" s="123"/>
      <c r="X35" s="123"/>
      <c r="Y35" s="123"/>
      <c r="Z35" s="123"/>
      <c r="AA35" s="123"/>
      <c r="AB35" s="123"/>
      <c r="AC35" s="123"/>
    </row>
    <row r="38" spans="2:30" ht="243.75" x14ac:dyDescent="0.2">
      <c r="B38" s="36"/>
      <c r="C38" s="44" t="s">
        <v>455</v>
      </c>
      <c r="D38" s="43" t="s">
        <v>456</v>
      </c>
      <c r="E38" s="43" t="s">
        <v>457</v>
      </c>
      <c r="F38" s="43" t="s">
        <v>458</v>
      </c>
      <c r="G38" s="43" t="s">
        <v>459</v>
      </c>
      <c r="H38" s="43" t="s">
        <v>460</v>
      </c>
      <c r="I38" s="43" t="s">
        <v>461</v>
      </c>
      <c r="J38" s="43" t="s">
        <v>462</v>
      </c>
      <c r="K38" s="43" t="s">
        <v>463</v>
      </c>
      <c r="L38" s="43" t="s">
        <v>464</v>
      </c>
      <c r="M38" s="43" t="s">
        <v>465</v>
      </c>
      <c r="N38" s="43" t="s">
        <v>466</v>
      </c>
      <c r="O38" s="43" t="s">
        <v>438</v>
      </c>
      <c r="P38" s="43" t="s">
        <v>467</v>
      </c>
      <c r="Q38" s="43" t="s">
        <v>468</v>
      </c>
      <c r="R38" s="43" t="s">
        <v>469</v>
      </c>
      <c r="S38" s="43" t="s">
        <v>470</v>
      </c>
      <c r="T38" s="43" t="s">
        <v>471</v>
      </c>
      <c r="U38" s="43" t="s">
        <v>472</v>
      </c>
      <c r="V38" s="43" t="s">
        <v>473</v>
      </c>
      <c r="W38" s="43" t="s">
        <v>474</v>
      </c>
      <c r="X38" s="36" t="s">
        <v>481</v>
      </c>
      <c r="Y38" s="44" t="s">
        <v>475</v>
      </c>
      <c r="Z38" s="43" t="s">
        <v>476</v>
      </c>
      <c r="AA38" s="43" t="s">
        <v>477</v>
      </c>
      <c r="AB38" s="43" t="s">
        <v>447</v>
      </c>
      <c r="AC38" s="43" t="s">
        <v>478</v>
      </c>
      <c r="AD38" s="43" t="s">
        <v>479</v>
      </c>
    </row>
    <row r="39" spans="2:30" ht="15" x14ac:dyDescent="0.2">
      <c r="B39" s="40" t="str">
        <f>CONCATENATE(B3," ",D3)</f>
        <v>MOIS : Janvier</v>
      </c>
      <c r="C39" s="41">
        <f>GETPIVOTDATA("Phrase d'accueil et présentation complète.",'TCD FO'!$A$3,"MOIS",$D$3)</f>
        <v>1</v>
      </c>
      <c r="D39" s="41">
        <f>GETPIVOTDATA("Identification client.",'TCD FO'!$A$3,"MOIS",$D$3)</f>
        <v>1</v>
      </c>
      <c r="E39" s="41">
        <f>GETPIVOTDATA("Vérification et MAJ de l'adresse électronique.",'TCD FO'!$A$3,"MOIS",$D$3)</f>
        <v>0.83132530120481929</v>
      </c>
      <c r="F39" s="41">
        <f>GETPIVOTDATA("Vérification et MAJ du numéro de téléphone.",'TCD FO'!$A$3,"MOIS",$D$3)</f>
        <v>0.82926829268292679</v>
      </c>
      <c r="G39" s="41">
        <f>GETPIVOTDATA("Vérification et MAJ de l'adresse postale.",'TCD FO'!$A$3,"MOIS",$D$3)</f>
        <v>0.9642857142857143</v>
      </c>
      <c r="H39" s="41">
        <f>GETPIVOTDATA("Directivité - Maîtrise de l'entretien.",'TCD FO'!$A$3,"MOIS",$D$3)</f>
        <v>0.95348837209302328</v>
      </c>
      <c r="I39" s="41">
        <f>GETPIVOTDATA("Ecoute active/implication.",'TCD FO'!$A$3,"MOIS",$D$3)</f>
        <v>0.95348837209302328</v>
      </c>
      <c r="J39" s="41">
        <f>GETPIVOTDATA("Ton, débit, volume, empathie.",'TCD FO'!$A$3,"MOIS",$D$3)</f>
        <v>0.94186046511627908</v>
      </c>
      <c r="K39" s="41">
        <f>GETPIVOTDATA("Vocabulaire, jargon, utilisation du JE et du présent, syntaxe.",'TCD FO'!$A$3,"MOIS",$D$3)</f>
        <v>0.97674418604651159</v>
      </c>
      <c r="L39" s="41">
        <f>GETPIVOTDATA("Amabilité, courtoisie, sourire.",'TCD FO'!$A$3,"MOIS",$D$3)</f>
        <v>0.97674418604651159</v>
      </c>
      <c r="M39" s="41">
        <f>GETPIVOTDATA("Reformulation.",'TCD FO'!$A$3,"MOIS",$D$3)</f>
        <v>0.62790697674418605</v>
      </c>
      <c r="N39" s="41">
        <f>GETPIVOTDATA("Questionnement.",'TCD FO'!$A$3,"MOIS",$D$3)</f>
        <v>0.91860465116279066</v>
      </c>
      <c r="O39" s="41">
        <f>GETPIVOTDATA("Réponse correcte et complète - Résolution au premier contact.",'TCD FO'!$A$3,"MOIS",$D$3)</f>
        <v>0.90697674418604646</v>
      </c>
      <c r="P39" s="41">
        <f>GETPIVOTDATA("Traitement des objections.",'TCD FO'!$A$3,"MOIS",$D$3)</f>
        <v>0.88372093023255816</v>
      </c>
      <c r="Q39" s="41">
        <f>GETPIVOTDATA("Fiabilisation.",'TCD FO'!$A$3,"MOIS",$D$3)</f>
        <v>0.98780487804878048</v>
      </c>
      <c r="R39" s="41">
        <f>GETPIVOTDATA("Mise en attente.",'TCD FO'!$A$3,"MOIS",$D$3)</f>
        <v>0.90909090909090906</v>
      </c>
      <c r="S39" s="41">
        <f>GETPIVOTDATA("Actions nécessaires effectuées - Respect des procédures.",'TCD FO'!$A$3,"MOIS",$D$3)</f>
        <v>0.92771084337349397</v>
      </c>
      <c r="T39" s="41">
        <f>GETPIVOTDATA("Actions nécessaires effectuées - Respect des procédures.",'TCD FO'!$A$3,"MOIS",$D$3)</f>
        <v>0.92771084337349397</v>
      </c>
      <c r="U39" s="41">
        <f>GETPIVOTDATA("Utilisation de l'historique client.",'TCD FO'!$A$3,"MOIS",$D$3)</f>
        <v>0.93827160493827155</v>
      </c>
      <c r="V39" s="41">
        <f>GETPIVOTDATA("Accompagnement et valorisation du client.",'TCD FO'!$A$3,"MOIS",$D$3)</f>
        <v>0.92682926829268297</v>
      </c>
      <c r="W39" s="41">
        <f>GETPIVOTDATA("Valorisation du service et/ou du produit.",'TCD FO'!$A$3,"MOIS",$D$3)</f>
        <v>0.80246913580246915</v>
      </c>
      <c r="X39" s="41" t="e">
        <f>GETPIVOTDATA("MAJ des connaissances produit (intranet, etc.).",'TCD FO'!$A$3,"MOIS",$D$3)</f>
        <v>#REF!</v>
      </c>
      <c r="Y39" s="41">
        <f>GETPIVOTDATA("Verrouillage.",'TCD FO'!$A$3,"MOIS",$D$3)</f>
        <v>0.81927710843373491</v>
      </c>
      <c r="Z39" s="41">
        <f>GETPIVOTDATA("Remerciement.",'TCD FO'!$A$3,"MOIS",$D$3)</f>
        <v>0.97619047619047616</v>
      </c>
      <c r="AA39" s="41">
        <f>GETPIVOTDATA("Souhaite quelque chose d'agréable.",'TCD FO'!$A$3,"MOIS",$D$3)</f>
        <v>0.98809523809523814</v>
      </c>
      <c r="AB39" s="41">
        <f>GETPIVOTDATA("Pose du contact - PRN.",'TCD FO'!$A$3,"MOIS",$D$3)</f>
        <v>1</v>
      </c>
      <c r="AC39" s="41">
        <f>GETPIVOTDATA("Commentaires de contacts.",'TCD FO'!$A$3,"MOIS",$D$3)</f>
        <v>0.95294117647058818</v>
      </c>
      <c r="AD39" s="41">
        <f>GETPIVOTDATA("Communication sortante.",'TCD FO'!$A$3,"MOIS",$D$3)</f>
        <v>0.81818181818181823</v>
      </c>
    </row>
    <row r="40" spans="2:30" ht="15" x14ac:dyDescent="0.2">
      <c r="B40" s="42" t="str">
        <f>CONCATENATE(B3," ",J4)</f>
        <v>MOIS : Décembre</v>
      </c>
      <c r="C40" s="41" t="e">
        <f>GETPIVOTDATA("Phrase d'accueil et présentation complète.",'TCD FO'!$A$3,"MOIS",$J$4)</f>
        <v>#REF!</v>
      </c>
      <c r="D40" s="41" t="e">
        <f>GETPIVOTDATA("Identification client.",'TCD FO'!$A$3,"MOIS",$J$4)</f>
        <v>#REF!</v>
      </c>
      <c r="E40" s="41" t="e">
        <f>GETPIVOTDATA("Vérification et MAJ de l'adresse électronique.",'TCD FO'!$A$3,"MOIS",$J$4)</f>
        <v>#REF!</v>
      </c>
      <c r="F40" s="41" t="e">
        <f>GETPIVOTDATA("Vérification et MAJ du numéro de téléphone.",'TCD FO'!$A$3,"MOIS",$J$4)</f>
        <v>#REF!</v>
      </c>
      <c r="G40" s="41" t="e">
        <f>GETPIVOTDATA("Vérification et MAJ de l'adresse postale.",'TCD FO'!$A$3,"MOIS",$J$4)</f>
        <v>#REF!</v>
      </c>
      <c r="H40" s="41" t="e">
        <f>GETPIVOTDATA("Directivité - Maîtrise de l'entretien.",'TCD FO'!$A$3,"MOIS",$J$4)</f>
        <v>#REF!</v>
      </c>
      <c r="I40" s="41" t="e">
        <f>GETPIVOTDATA("Ecoute active/implication.",'TCD FO'!$A$3,"MOIS",$J$4)</f>
        <v>#REF!</v>
      </c>
      <c r="J40" s="41" t="e">
        <f>GETPIVOTDATA("Ton, débit, volume, empathie.",'TCD FO'!$A$3,"MOIS",$J$4)</f>
        <v>#REF!</v>
      </c>
      <c r="K40" s="41" t="e">
        <f>GETPIVOTDATA("Vocabulaire, jargon, utilisation du JE et du présent, syntaxe.",'TCD FO'!$A$3,"MOIS",$J$4)</f>
        <v>#REF!</v>
      </c>
      <c r="L40" s="41" t="e">
        <f>GETPIVOTDATA("Amabilité, courtoisie, sourire.",'TCD FO'!$A$3,"MOIS",$J$4)</f>
        <v>#REF!</v>
      </c>
      <c r="M40" s="41" t="e">
        <f>GETPIVOTDATA("Reformulation.",'TCD FO'!$A$3,"MOIS",$J$4)</f>
        <v>#REF!</v>
      </c>
      <c r="N40" s="41" t="e">
        <f>GETPIVOTDATA("Questionnement.",'TCD FO'!$A$3,"MOIS",$J$4)</f>
        <v>#REF!</v>
      </c>
      <c r="O40" s="41" t="e">
        <f>GETPIVOTDATA("Réponse correcte et complète - Résolution au premier contact.",'TCD FO'!$A$3,"MOIS",$J$4)</f>
        <v>#REF!</v>
      </c>
      <c r="P40" s="41" t="e">
        <f>GETPIVOTDATA("Traitement des objections.",'TCD FO'!$A$3,"MOIS",$J$4)</f>
        <v>#REF!</v>
      </c>
      <c r="Q40" s="41" t="e">
        <f>GETPIVOTDATA("Fiabilisation.",'TCD FO'!$A$3,"MOIS",$J$4)</f>
        <v>#REF!</v>
      </c>
      <c r="R40" s="41" t="e">
        <f>GETPIVOTDATA("Mise en attente.",'TCD FO'!$A$3,"MOIS",$J$4)</f>
        <v>#REF!</v>
      </c>
      <c r="S40" s="41" t="e">
        <f>GETPIVOTDATA("Actions nécessaires effectuées - Respect des procédures.",'TCD FO'!$A$3,"MOIS",$J$4)</f>
        <v>#REF!</v>
      </c>
      <c r="T40" s="41" t="e">
        <f>GETPIVOTDATA("Actions nécessaires effectuées - Respect des procédures.",'TCD FO'!$A$3,"MOIS",$J$4)</f>
        <v>#REF!</v>
      </c>
      <c r="U40" s="41" t="e">
        <f>GETPIVOTDATA("Utilisation de l'historique client.",'TCD FO'!$A$3,"MOIS",$J$4)</f>
        <v>#REF!</v>
      </c>
      <c r="V40" s="41" t="e">
        <f>GETPIVOTDATA("Accompagnement et valorisation du client.",'TCD FO'!$A$3,"MOIS",$J$4)</f>
        <v>#REF!</v>
      </c>
      <c r="W40" s="41" t="e">
        <f>GETPIVOTDATA("Valorisation du service et/ou du produit.",'TCD FO'!$A$3,"MOIS",$J$4)</f>
        <v>#REF!</v>
      </c>
      <c r="X40" s="41" t="e">
        <f>GETPIVOTDATA("MAJ des connaissances produit (intranet, etc.).",'TCD FO'!$A$3,"MOIS",$J$4)</f>
        <v>#REF!</v>
      </c>
      <c r="Y40" s="41" t="e">
        <f>GETPIVOTDATA("Verrouillage.",'TCD FO'!$A$3,"MOIS",$J$4)</f>
        <v>#REF!</v>
      </c>
      <c r="Z40" s="41" t="e">
        <f>GETPIVOTDATA("Remerciement.",'TCD FO'!$A$3,"MOIS",$J$4)</f>
        <v>#REF!</v>
      </c>
      <c r="AA40" s="41" t="e">
        <f>GETPIVOTDATA("Souhaite quelque chose d'agréable.",'TCD FO'!$A$3,"MOIS",$J$4)</f>
        <v>#REF!</v>
      </c>
      <c r="AB40" s="41" t="e">
        <f>GETPIVOTDATA("Pose du contact - PRN.",'TCD FO'!$A$3,"MOIS",$J$4)</f>
        <v>#REF!</v>
      </c>
      <c r="AC40" s="41" t="e">
        <f>GETPIVOTDATA("Commentaires de contacts.",'TCD FO'!$A$3,"MOIS",$J$4)</f>
        <v>#REF!</v>
      </c>
      <c r="AD40" s="41" t="e">
        <f>GETPIVOTDATA("Communication sortante.",'TCD FO'!$A$3,"MOIS",$J$4)</f>
        <v>#REF!</v>
      </c>
    </row>
    <row r="41" spans="2:30" ht="15" x14ac:dyDescent="0.2">
      <c r="B41" s="42" t="str">
        <f>CONCATENATE(B3," ",K4)</f>
        <v>MOIS : Novembre</v>
      </c>
      <c r="C41" s="41" t="e">
        <f>GETPIVOTDATA("Phrase d'accueil et présentation complète.",'TCD FO'!$A$3,"MOIS",$K$4)</f>
        <v>#REF!</v>
      </c>
      <c r="D41" s="41" t="e">
        <f>GETPIVOTDATA("Identification client.",'TCD FO'!$A$3,"MOIS",$K$4)</f>
        <v>#REF!</v>
      </c>
      <c r="E41" s="41" t="e">
        <f>GETPIVOTDATA("Vérification et MAJ de l'adresse électronique.",'TCD FO'!$A$3,"MOIS",$K$4)</f>
        <v>#REF!</v>
      </c>
      <c r="F41" s="41" t="e">
        <f>GETPIVOTDATA("Vérification et MAJ du numéro de téléphone.",'TCD FO'!$A$3,"MOIS",$K$4)</f>
        <v>#REF!</v>
      </c>
      <c r="G41" s="41" t="e">
        <f>GETPIVOTDATA("Vérification et MAJ de l'adresse postale.",'TCD FO'!$A$3,"MOIS",$K$4)</f>
        <v>#REF!</v>
      </c>
      <c r="H41" s="41" t="e">
        <f>GETPIVOTDATA("Directivité - Maîtrise de l'entretien.",'TCD FO'!$A$3,"MOIS",$K$4)</f>
        <v>#REF!</v>
      </c>
      <c r="I41" s="41" t="e">
        <f>GETPIVOTDATA("Ecoute active/implication.",'TCD FO'!$A$3,"MOIS",$K$4)</f>
        <v>#REF!</v>
      </c>
      <c r="J41" s="41" t="e">
        <f>GETPIVOTDATA("Ton, débit, volume, empathie.",'TCD FO'!$A$3,"MOIS",$K$4)</f>
        <v>#REF!</v>
      </c>
      <c r="K41" s="41" t="e">
        <f>GETPIVOTDATA("Vocabulaire, jargon, utilisation du JE et du présent, syntaxe.",'TCD FO'!$A$3,"MOIS",$K$4)</f>
        <v>#REF!</v>
      </c>
      <c r="L41" s="41" t="e">
        <f>GETPIVOTDATA("Amabilité, courtoisie, sourire.",'TCD FO'!$A$3,"MOIS",$K$4)</f>
        <v>#REF!</v>
      </c>
      <c r="M41" s="41" t="e">
        <f>GETPIVOTDATA("Reformulation.",'TCD FO'!$A$3,"MOIS",$K$4)</f>
        <v>#REF!</v>
      </c>
      <c r="N41" s="41" t="e">
        <f>GETPIVOTDATA("Questionnement.",'TCD FO'!$A$3,"MOIS",$K$4)</f>
        <v>#REF!</v>
      </c>
      <c r="O41" s="41" t="e">
        <f>GETPIVOTDATA("Réponse correcte et complète - Résolution au premier contact.",'TCD FO'!$A$3,"MOIS",$K$4)</f>
        <v>#REF!</v>
      </c>
      <c r="P41" s="41" t="e">
        <f>GETPIVOTDATA("Traitement des objections.",'TCD FO'!$A$3,"MOIS",$K$4)</f>
        <v>#REF!</v>
      </c>
      <c r="Q41" s="41" t="e">
        <f>GETPIVOTDATA("Fiabilisation.",'TCD FO'!$A$3,"MOIS",$K$4)</f>
        <v>#REF!</v>
      </c>
      <c r="R41" s="41" t="e">
        <f>GETPIVOTDATA("Mise en attente.",'TCD FO'!$A$3,"MOIS",$K$4)</f>
        <v>#REF!</v>
      </c>
      <c r="S41" s="41" t="e">
        <f>GETPIVOTDATA("Actions nécessaires effectuées - Respect des procédures.",'TCD FO'!$A$3,"MOIS",$K$4)</f>
        <v>#REF!</v>
      </c>
      <c r="T41" s="41" t="e">
        <f>GETPIVOTDATA("Actions nécessaires effectuées - Respect des procédures.",'TCD FO'!$A$3,"MOIS",$K$4)</f>
        <v>#REF!</v>
      </c>
      <c r="U41" s="41" t="e">
        <f>GETPIVOTDATA("Utilisation de l'historique client.",'TCD FO'!$A$3,"MOIS",$K$4)</f>
        <v>#REF!</v>
      </c>
      <c r="V41" s="41" t="e">
        <f>GETPIVOTDATA("Accompagnement et valorisation du client.",'TCD FO'!$A$3,"MOIS",$K$4)</f>
        <v>#REF!</v>
      </c>
      <c r="W41" s="41" t="e">
        <f>GETPIVOTDATA("Valorisation du service et/ou du produit.",'TCD FO'!$A$3,"MOIS",$K$4)</f>
        <v>#REF!</v>
      </c>
      <c r="X41" s="41" t="e">
        <f>GETPIVOTDATA("MAJ des connaissances produit (intranet, etc.).",'TCD FO'!$A$3,"MOIS",$K$4)</f>
        <v>#REF!</v>
      </c>
      <c r="Y41" s="41" t="e">
        <f>GETPIVOTDATA("Verrouillage.",'TCD FO'!$A$3,"MOIS",$K$4)</f>
        <v>#REF!</v>
      </c>
      <c r="Z41" s="41" t="e">
        <f>GETPIVOTDATA("Remerciement.",'TCD FO'!$A$3,"MOIS",$K$4)</f>
        <v>#REF!</v>
      </c>
      <c r="AA41" s="41" t="e">
        <f>GETPIVOTDATA("Souhaite quelque chose d'agréable.",'TCD FO'!$A$3,"MOIS",$K$4)</f>
        <v>#REF!</v>
      </c>
      <c r="AB41" s="41" t="e">
        <f>GETPIVOTDATA("Pose du contact - PRN.",'TCD FO'!$A$3,"MOIS",$K$4)</f>
        <v>#REF!</v>
      </c>
      <c r="AC41" s="41" t="e">
        <f>GETPIVOTDATA("Commentaires de contacts.",'TCD FO'!$A$3,"MOIS",$K$4)</f>
        <v>#REF!</v>
      </c>
      <c r="AD41" s="41" t="e">
        <f>GETPIVOTDATA("Communication sortante.",'TCD FO'!$A$3,"MOIS",$K$4)</f>
        <v>#REF!</v>
      </c>
    </row>
    <row r="42" spans="2:30" x14ac:dyDescent="0.2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</row>
    <row r="43" spans="2:30" x14ac:dyDescent="0.2"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</row>
    <row r="44" spans="2:30" ht="20.25" x14ac:dyDescent="0.3">
      <c r="B44" s="39"/>
      <c r="C44" s="126" t="str">
        <f>D3</f>
        <v>Janvier</v>
      </c>
      <c r="D44" s="127"/>
      <c r="E44" s="126" t="str">
        <f>J4</f>
        <v>Décembre</v>
      </c>
      <c r="F44" s="127"/>
      <c r="G44" s="126" t="str">
        <f>K4</f>
        <v>Novembre</v>
      </c>
      <c r="H44" s="127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2:30" ht="20.25" x14ac:dyDescent="0.3">
      <c r="B45" s="38" t="s">
        <v>148</v>
      </c>
      <c r="C45" s="128">
        <f>AVERAGE($C39:$G39)</f>
        <v>0.92497586163469203</v>
      </c>
      <c r="D45" s="129"/>
      <c r="E45" s="128" t="e">
        <f>AVERAGE($C40:$G40)</f>
        <v>#REF!</v>
      </c>
      <c r="F45" s="129"/>
      <c r="G45" s="128" t="e">
        <f>AVERAGE($C41:$G41)</f>
        <v>#REF!</v>
      </c>
      <c r="H45" s="129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2:30" ht="20.25" x14ac:dyDescent="0.3">
      <c r="B46" s="37" t="s">
        <v>149</v>
      </c>
      <c r="C46" s="128">
        <f>AVERAGE($H39:$L39)</f>
        <v>0.96046511627906983</v>
      </c>
      <c r="D46" s="129"/>
      <c r="E46" s="128" t="e">
        <f>AVERAGE($H40:$L40)</f>
        <v>#REF!</v>
      </c>
      <c r="F46" s="129"/>
      <c r="G46" s="128" t="e">
        <f>AVERAGE($H41:$L41)</f>
        <v>#REF!</v>
      </c>
      <c r="H46" s="129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2:30" ht="20.25" x14ac:dyDescent="0.3">
      <c r="B47" s="37" t="s">
        <v>150</v>
      </c>
      <c r="C47" s="128">
        <f>AVERAGE($M39:$S39)</f>
        <v>0.88025941897696647</v>
      </c>
      <c r="D47" s="129"/>
      <c r="E47" s="128" t="e">
        <f>AVERAGE($M40:$S40)</f>
        <v>#REF!</v>
      </c>
      <c r="F47" s="129"/>
      <c r="G47" s="128" t="e">
        <f>AVERAGE($M41:$S41)</f>
        <v>#REF!</v>
      </c>
      <c r="H47" s="129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2:30" ht="20.25" x14ac:dyDescent="0.3">
      <c r="B48" s="37" t="s">
        <v>151</v>
      </c>
      <c r="C48" s="130" t="e">
        <f>AVERAGE($T39:$X39)</f>
        <v>#REF!</v>
      </c>
      <c r="D48" s="130"/>
      <c r="E48" s="130" t="e">
        <f>AVERAGE($T40:$X40)</f>
        <v>#REF!</v>
      </c>
      <c r="F48" s="130"/>
      <c r="G48" s="130" t="e">
        <f>AVERAGE($T41:$X41)</f>
        <v>#REF!</v>
      </c>
      <c r="H48" s="130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2:29" ht="20.25" x14ac:dyDescent="0.3">
      <c r="B49" s="37" t="s">
        <v>152</v>
      </c>
      <c r="C49" s="130">
        <f>AVERAGE($Y39:$AA39)</f>
        <v>0.92785427423981648</v>
      </c>
      <c r="D49" s="130"/>
      <c r="E49" s="130" t="e">
        <f>AVERAGE($Y40:$AA40)</f>
        <v>#REF!</v>
      </c>
      <c r="F49" s="130"/>
      <c r="G49" s="130" t="e">
        <f>AVERAGE($Y41:$AA41)</f>
        <v>#REF!</v>
      </c>
      <c r="H49" s="130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2:29" ht="20.25" x14ac:dyDescent="0.3">
      <c r="B50" s="37" t="s">
        <v>153</v>
      </c>
      <c r="C50" s="130">
        <f>AVERAGE($AB39:$AD39)</f>
        <v>0.92370766488413547</v>
      </c>
      <c r="D50" s="130"/>
      <c r="E50" s="130" t="e">
        <f>AVERAGE($AB40:$AD40)</f>
        <v>#REF!</v>
      </c>
      <c r="F50" s="130"/>
      <c r="G50" s="130" t="e">
        <f>AVERAGE($AB41:$AD41)</f>
        <v>#REF!</v>
      </c>
      <c r="H50" s="130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</row>
    <row r="51" spans="2:29" x14ac:dyDescent="0.2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</row>
    <row r="52" spans="2:29" x14ac:dyDescent="0.2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</row>
    <row r="53" spans="2:29" x14ac:dyDescent="0.2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</row>
    <row r="54" spans="2:29" ht="23.25" customHeight="1" x14ac:dyDescent="0.3">
      <c r="B54" s="45" t="s">
        <v>145</v>
      </c>
      <c r="C54" s="45"/>
      <c r="D54" s="45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</row>
    <row r="55" spans="2:29" ht="23.25" customHeight="1" x14ac:dyDescent="0.3">
      <c r="B55" s="46"/>
      <c r="C55" s="46"/>
      <c r="D55" s="46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</row>
    <row r="56" spans="2:29" ht="23.25" customHeight="1" x14ac:dyDescent="0.3">
      <c r="B56" s="46"/>
      <c r="C56" s="131" t="s">
        <v>146</v>
      </c>
      <c r="D56" s="131"/>
      <c r="E56" s="131" t="s">
        <v>147</v>
      </c>
      <c r="F56" s="131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</row>
    <row r="57" spans="2:29" ht="23.25" customHeight="1" x14ac:dyDescent="0.3">
      <c r="B57" s="47" t="str">
        <f>D3</f>
        <v>Janvier</v>
      </c>
      <c r="C57" s="132">
        <f>COUNTIF('RESULTATS FO'!C:C,'Bilan mensuel sur 3 mois'!B57)</f>
        <v>86</v>
      </c>
      <c r="D57" s="132" t="e">
        <f>#REF!</f>
        <v>#REF!</v>
      </c>
      <c r="E57" s="133">
        <f>GETPIVOTDATA("Moyenne de note",'TCD FO'!$A$3,"MOIS",B57)/100</f>
        <v>0.91362386063548851</v>
      </c>
      <c r="F57" s="133"/>
    </row>
    <row r="58" spans="2:29" ht="23.25" customHeight="1" x14ac:dyDescent="0.3">
      <c r="B58" s="47" t="str">
        <f>J4</f>
        <v>Décembre</v>
      </c>
      <c r="C58" s="132">
        <f>COUNTIF('RESULTATS FO'!C:C,'Bilan mensuel sur 3 mois'!B58)</f>
        <v>0</v>
      </c>
      <c r="D58" s="132" t="e">
        <f>#REF!</f>
        <v>#REF!</v>
      </c>
      <c r="E58" s="133" t="e">
        <f>GETPIVOTDATA("Moyenne de note",'TCD FO'!$A$3,"MOIS",B58)/100</f>
        <v>#REF!</v>
      </c>
      <c r="F58" s="133"/>
    </row>
    <row r="59" spans="2:29" ht="20.25" x14ac:dyDescent="0.3">
      <c r="B59" s="47" t="str">
        <f>K4</f>
        <v>Novembre</v>
      </c>
      <c r="C59" s="132">
        <f>COUNTIF('RESULTATS FO'!C:C,'Bilan mensuel sur 3 mois'!B59)</f>
        <v>0</v>
      </c>
      <c r="D59" s="132" t="e">
        <f>#REF!</f>
        <v>#REF!</v>
      </c>
      <c r="E59" s="133" t="e">
        <f>GETPIVOTDATA("Moyenne de note",'TCD FO'!$A$3,"MOIS",B59)/100</f>
        <v>#REF!</v>
      </c>
      <c r="F59" s="133"/>
    </row>
  </sheetData>
  <mergeCells count="63">
    <mergeCell ref="C26:D26"/>
    <mergeCell ref="G49:H49"/>
    <mergeCell ref="G50:H50"/>
    <mergeCell ref="C59:D59"/>
    <mergeCell ref="E59:F59"/>
    <mergeCell ref="G44:H44"/>
    <mergeCell ref="G45:H45"/>
    <mergeCell ref="G46:H46"/>
    <mergeCell ref="G47:H47"/>
    <mergeCell ref="G48:H48"/>
    <mergeCell ref="C48:D48"/>
    <mergeCell ref="E48:F48"/>
    <mergeCell ref="C57:D57"/>
    <mergeCell ref="E57:F57"/>
    <mergeCell ref="C58:D58"/>
    <mergeCell ref="E58:F58"/>
    <mergeCell ref="G20:H20"/>
    <mergeCell ref="C18:D18"/>
    <mergeCell ref="E18:F18"/>
    <mergeCell ref="C19:D19"/>
    <mergeCell ref="E19:F19"/>
    <mergeCell ref="C20:D20"/>
    <mergeCell ref="E20:F20"/>
    <mergeCell ref="G15:H15"/>
    <mergeCell ref="G16:H16"/>
    <mergeCell ref="G17:H17"/>
    <mergeCell ref="G18:H18"/>
    <mergeCell ref="G19:H19"/>
    <mergeCell ref="E49:F49"/>
    <mergeCell ref="C50:D50"/>
    <mergeCell ref="E50:F50"/>
    <mergeCell ref="C56:D56"/>
    <mergeCell ref="E56:F56"/>
    <mergeCell ref="C49:D49"/>
    <mergeCell ref="C46:D46"/>
    <mergeCell ref="E46:F46"/>
    <mergeCell ref="C47:D47"/>
    <mergeCell ref="E47:F47"/>
    <mergeCell ref="C45:D45"/>
    <mergeCell ref="E45:F45"/>
    <mergeCell ref="B35:AC35"/>
    <mergeCell ref="C44:D44"/>
    <mergeCell ref="C15:D15"/>
    <mergeCell ref="E15:F15"/>
    <mergeCell ref="C16:D16"/>
    <mergeCell ref="E16:F16"/>
    <mergeCell ref="C17:D17"/>
    <mergeCell ref="E17:F17"/>
    <mergeCell ref="E26:F26"/>
    <mergeCell ref="C27:D27"/>
    <mergeCell ref="E27:F27"/>
    <mergeCell ref="C28:D28"/>
    <mergeCell ref="E28:F28"/>
    <mergeCell ref="E44:F44"/>
    <mergeCell ref="C29:D29"/>
    <mergeCell ref="E29:F29"/>
    <mergeCell ref="B6:AC6"/>
    <mergeCell ref="B1:AD1"/>
    <mergeCell ref="B3:C3"/>
    <mergeCell ref="D3:G3"/>
    <mergeCell ref="C14:D14"/>
    <mergeCell ref="E14:F14"/>
    <mergeCell ref="G14:H14"/>
  </mergeCells>
  <conditionalFormatting sqref="C9:W11">
    <cfRule type="cellIs" dxfId="150" priority="7" operator="lessThan">
      <formula>0.9</formula>
    </cfRule>
    <cfRule type="cellIs" dxfId="149" priority="8" operator="equal">
      <formula>1</formula>
    </cfRule>
  </conditionalFormatting>
  <conditionalFormatting sqref="C39:W41 Y39:AD41">
    <cfRule type="cellIs" dxfId="148" priority="5" operator="lessThan">
      <formula>0.9</formula>
    </cfRule>
    <cfRule type="cellIs" dxfId="147" priority="6" operator="equal">
      <formula>1</formula>
    </cfRule>
  </conditionalFormatting>
  <conditionalFormatting sqref="X39:X41">
    <cfRule type="cellIs" dxfId="146" priority="1" operator="lessThan">
      <formula>0.9</formula>
    </cfRule>
    <cfRule type="cellIs" dxfId="145" priority="2" operator="equal">
      <formula>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B1:AD57"/>
  <sheetViews>
    <sheetView topLeftCell="A10" zoomScale="70" zoomScaleNormal="70" workbookViewId="0">
      <selection activeCell="C8" sqref="C8"/>
    </sheetView>
  </sheetViews>
  <sheetFormatPr baseColWidth="10" defaultRowHeight="12.75" x14ac:dyDescent="0.2"/>
  <cols>
    <col min="1" max="1" width="1.7109375" customWidth="1"/>
    <col min="2" max="2" width="53.42578125" bestFit="1" customWidth="1"/>
    <col min="4" max="4" width="11.7109375" bestFit="1" customWidth="1"/>
  </cols>
  <sheetData>
    <row r="1" spans="2:30" ht="45.75" customHeight="1" x14ac:dyDescent="0.6">
      <c r="B1" s="124" t="s">
        <v>560</v>
      </c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</row>
    <row r="3" spans="2:30" ht="27" x14ac:dyDescent="0.2">
      <c r="B3" s="125" t="s">
        <v>428</v>
      </c>
      <c r="C3" s="125"/>
      <c r="D3" s="125" t="s">
        <v>410</v>
      </c>
      <c r="E3" s="125"/>
      <c r="F3" s="125"/>
      <c r="G3" s="125"/>
    </row>
    <row r="4" spans="2:30" ht="27" x14ac:dyDescent="0.2">
      <c r="B4" s="125" t="s">
        <v>429</v>
      </c>
      <c r="C4" s="125"/>
      <c r="D4" s="125">
        <v>1</v>
      </c>
      <c r="E4" s="125"/>
      <c r="F4" s="125"/>
      <c r="G4" s="125"/>
    </row>
    <row r="5" spans="2:30" ht="27" x14ac:dyDescent="0.2">
      <c r="B5" s="54"/>
      <c r="C5" s="54"/>
      <c r="D5" s="54"/>
      <c r="E5" s="54"/>
      <c r="F5" s="54"/>
      <c r="G5" s="54"/>
    </row>
    <row r="6" spans="2:30" ht="27" x14ac:dyDescent="0.2">
      <c r="B6" s="123" t="str">
        <f>CONCATENATE("Suivi BO de ",D3," - Semaine ",D4)</f>
        <v>Suivi BO de Janvier - Semaine 1</v>
      </c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</row>
    <row r="7" spans="2:30" ht="25.5" customHeight="1" x14ac:dyDescent="0.2"/>
    <row r="8" spans="2:30" ht="313.5" customHeight="1" x14ac:dyDescent="0.2">
      <c r="B8" s="36"/>
      <c r="C8" s="44" t="s">
        <v>430</v>
      </c>
      <c r="D8" s="43" t="s">
        <v>431</v>
      </c>
      <c r="E8" s="43" t="s">
        <v>432</v>
      </c>
      <c r="F8" s="43" t="s">
        <v>433</v>
      </c>
      <c r="G8" s="43" t="s">
        <v>451</v>
      </c>
      <c r="H8" s="43" t="s">
        <v>434</v>
      </c>
      <c r="I8" s="43" t="s">
        <v>435</v>
      </c>
      <c r="J8" s="43" t="s">
        <v>436</v>
      </c>
      <c r="K8" s="43" t="s">
        <v>437</v>
      </c>
      <c r="L8" s="43" t="s">
        <v>438</v>
      </c>
      <c r="M8" s="43" t="s">
        <v>439</v>
      </c>
      <c r="N8" s="43" t="s">
        <v>440</v>
      </c>
      <c r="O8" s="43" t="s">
        <v>441</v>
      </c>
      <c r="P8" s="43" t="s">
        <v>442</v>
      </c>
      <c r="Q8" s="43" t="s">
        <v>449</v>
      </c>
      <c r="R8" s="43" t="s">
        <v>443</v>
      </c>
      <c r="S8" s="43" t="s">
        <v>444</v>
      </c>
      <c r="T8" s="43" t="s">
        <v>445</v>
      </c>
      <c r="U8" s="43" t="s">
        <v>446</v>
      </c>
      <c r="V8" s="43" t="s">
        <v>447</v>
      </c>
      <c r="W8" s="43" t="s">
        <v>448</v>
      </c>
    </row>
    <row r="9" spans="2:30" ht="15" x14ac:dyDescent="0.2">
      <c r="B9" s="40" t="str">
        <f>CONCATENATE(B3," ",D3)</f>
        <v>MOIS : Janvier</v>
      </c>
      <c r="C9" s="41">
        <f>GETPIVOTDATA("Identification (ou création) du dossier.",'TCD BO'!$A$4,"MOIS",$D$3)</f>
        <v>1</v>
      </c>
      <c r="D9" s="41">
        <f>GETPIVOTDATA("MAJ des coordonnées postales.",'TCD BO'!$A$4,"MOIS",$D$3)</f>
        <v>0.97916666666666663</v>
      </c>
      <c r="E9" s="41">
        <f>GETPIVOTDATA("MAJ des moyens de communication (téléphone, adresse électronique).",'TCD BO'!$A$4,"MOIS",$D$3)</f>
        <v>0.84313725490196079</v>
      </c>
      <c r="F9" s="41">
        <f>GETPIVOTDATA("Analyse de la demande, des commandes et de l'historique des échanges.",'TCD BO'!$A$4,"MOIS",$D$3)</f>
        <v>0.96511627906976749</v>
      </c>
      <c r="G9" s="41">
        <f>GETPIVOTDATA("MAJ des con issances produit (intranet, etc.).",'TCD BO'!$A$4,"MOIS",$D$3)</f>
        <v>1</v>
      </c>
      <c r="H9" s="41">
        <f>GETPIVOTDATA("Respect des procédures.",'TCD BO'!$A$4,"MOIS",$D$3)</f>
        <v>0.97674418604651159</v>
      </c>
      <c r="I9" s="41">
        <f>GETPIVOTDATA("Respect des règles de gestion (cm, anomalie portage, etc.).",'TCD BO'!$A$4,"MOIS",$D$3)</f>
        <v>0.96932515337423308</v>
      </c>
      <c r="J9" s="41">
        <f>GETPIVOTDATA("Appel à l'assistance/cellule prio - Escalade vers le niveau 2.",'TCD BO'!$A$4,"MOIS",$D$3)</f>
        <v>1</v>
      </c>
      <c r="K9" s="41">
        <f>GETPIVOTDATA("Choix du modèle-type.",'TCD BO'!$A$4,"MOIS",$D$3)</f>
        <v>0.98136645962732916</v>
      </c>
      <c r="L9" s="41">
        <f>GETPIVOTDATA("Réponse correcte et complète - Résolution au premier contact.",'TCD BO'!$A$4,"MOIS",$D$3)</f>
        <v>0.85882352941176465</v>
      </c>
      <c r="M9" s="41">
        <f>GETPIVOTDATA("Aucune faute de grammaire ou d'orthographe.",'TCD BO'!$A$4,"MOIS",$D$3)</f>
        <v>0.97484276729559749</v>
      </c>
      <c r="N9" s="41">
        <f>GETPIVOTDATA("Syntaxe claire et ponctuée.",'TCD BO'!$A$4,"MOIS",$D$3)</f>
        <v>0.96855345911949686</v>
      </c>
      <c r="O9" s="41">
        <f>GETPIVOTDATA("Adresse mail expéditeur et destinataire.",'TCD BO'!$A$4,"MOIS",$D$3)</f>
        <v>1</v>
      </c>
      <c r="P9" s="41">
        <f>GETPIVOTDATA("Personnalisation de la réponse.",'TCD BO'!$A$4,"MOIS",$D$3)</f>
        <v>0.94339622641509435</v>
      </c>
      <c r="Q9" s="41">
        <f>GETPIVOTDATA("Entête nominative - formule de politesse et prise de congé adaptées.",'TCD BO'!$A$4,"MOIS",$D$3)</f>
        <v>0.98717948717948723</v>
      </c>
      <c r="R9" s="41">
        <f>GETPIVOTDATA("Accompagnement client - sens du service.",'TCD BO'!$A$4,"MOIS",$D$3)</f>
        <v>0.98550724637681164</v>
      </c>
      <c r="S9" s="41">
        <f>GETPIVOTDATA("Présentation et mise en valeur des offres.",'TCD BO'!$A$4,"MOIS",$D$3)</f>
        <v>1</v>
      </c>
      <c r="T9" s="41">
        <f>GETPIVOTDATA("Valorisation des gestes co/dédommagement - valorisation de la marque.",'TCD BO'!$A$4,"MOIS",$D$3)</f>
        <v>1</v>
      </c>
      <c r="U9" s="41">
        <f>GETPIVOTDATA("Valorisation client.",'TCD BO'!$A$4,"MOIS",$D$3)</f>
        <v>1</v>
      </c>
      <c r="V9" s="41">
        <f>GETPIVOTDATA("Pose du contact - PRN.",'TCD BO'!$A$4,"MOIS",$D$3)</f>
        <v>0.96531791907514453</v>
      </c>
      <c r="W9" s="41">
        <f>GETPIVOTDATA("Commentaire.",'TCD BO'!$A$4,"MOIS",$D$3)</f>
        <v>0.97687861271676302</v>
      </c>
    </row>
    <row r="10" spans="2:30" ht="15" x14ac:dyDescent="0.2">
      <c r="B10" s="42" t="str">
        <f>CONCATENATE(B4," ",D4)</f>
        <v>Semaine : 1</v>
      </c>
      <c r="C10" s="41">
        <f>GETPIVOTDATA("Identification (ou création) du dossier.",'TCD BO'!$A$4,"SEMAINE",$D$4,"MOIS",$D$3)</f>
        <v>1</v>
      </c>
      <c r="D10" s="41">
        <f>GETPIVOTDATA("MAJ des coordonnées postales.",'TCD BO'!$A$4,"SEMAINE",$D$4,"MOIS",$D$3)</f>
        <v>0.9285714285714286</v>
      </c>
      <c r="E10" s="41">
        <f>GETPIVOTDATA("MAJ des moyens de communication (téléphone, adresse électronique).",'TCD BO'!$A$4,"SEMAINE",$D$4,"MOIS",$D$3)</f>
        <v>0.95454545454545459</v>
      </c>
      <c r="F10" s="41">
        <f>GETPIVOTDATA("Analyse de la demande, des commandes et de l'historique des échanges.",'TCD BO'!$A$4,"SEMAINE",$D$4,"MOIS",$D$3)</f>
        <v>0.97142857142857142</v>
      </c>
      <c r="G10" s="41">
        <f>GETPIVOTDATA("MAJ des con issances produit (intranet, etc.).",'TCD BO'!$A$4,"SEMAINE",$D$4,"MOIS",$D$3)</f>
        <v>1</v>
      </c>
      <c r="H10" s="41">
        <f>GETPIVOTDATA("Respect des procédures.",'TCD BO'!$A$4,"SEMAINE",$D$4,"MOIS",$D$3)</f>
        <v>1</v>
      </c>
      <c r="I10" s="41">
        <f>GETPIVOTDATA("Respect des règles de gestion (cm, anomalie portage, etc.).",'TCD BO'!$A$4,"SEMAINE",$D$4,"MOIS",$D$3)</f>
        <v>1</v>
      </c>
      <c r="J10" s="41" t="str">
        <f>GETPIVOTDATA("Appel à l'assistance/cellule prio - Escalade vers le niveau 2.",'TCD BO'!$A$4,"SEMAINE",$D$4,"MOIS",$D$3)</f>
        <v>NA</v>
      </c>
      <c r="K10" s="41">
        <f>GETPIVOTDATA("Choix du modèle-type.",'TCD BO'!$A$4,"SEMAINE",$D$4,"MOIS",$D$3)</f>
        <v>1</v>
      </c>
      <c r="L10" s="41">
        <f>GETPIVOTDATA("Réponse correcte et complète - Résolution au premier contact.",'TCD BO'!$A$4,"SEMAINE",$D$4,"MOIS",$D$3)</f>
        <v>0.94444444444444442</v>
      </c>
      <c r="M10" s="41">
        <f>GETPIVOTDATA("Aucune faute de grammaire ou d'orthographe.",'TCD BO'!$A$4,"SEMAINE",$D$4,"MOIS",$D$3)</f>
        <v>1</v>
      </c>
      <c r="N10" s="41">
        <f>GETPIVOTDATA("Syntaxe claire et ponctuée.",'TCD BO'!$A$4,"SEMAINE",$D$4,"MOIS",$D$3)</f>
        <v>1</v>
      </c>
      <c r="O10" s="41">
        <f>GETPIVOTDATA("Adresse mail expéditeur et destinataire.",'TCD BO'!$A$4,"SEMAINE",$D$4,"MOIS",$D$3)</f>
        <v>1</v>
      </c>
      <c r="P10" s="41">
        <f>GETPIVOTDATA("Personnalisation de la réponse.",'TCD BO'!$A$4,"SEMAINE",$D$4,"MOIS",$D$3)</f>
        <v>0.88888888888888884</v>
      </c>
      <c r="Q10" s="41">
        <f>GETPIVOTDATA("Entête nominative - formule de politesse et prise de congé adaptées.",'TCD BO'!$A$4,"SEMAINE",$D$4,"MOIS",$D$3)</f>
        <v>1</v>
      </c>
      <c r="R10" s="41">
        <f>GETPIVOTDATA("Accompagnement client - sens du service.",'TCD BO'!$A$4,"SEMAINE",$D$4,"MOIS",$D$3)</f>
        <v>1</v>
      </c>
      <c r="S10" s="41">
        <f>GETPIVOTDATA("Présentation et mise en valeur des offres.",'TCD BO'!$A$4,"SEMAINE",$D$4,"MOIS",$D$3)</f>
        <v>1</v>
      </c>
      <c r="T10" s="41">
        <f>GETPIVOTDATA("Valorisation des gestes co/dédommagement - valorisation de la marque.",'TCD BO'!$A$4,"SEMAINE",$D$4,"MOIS",$D$3)</f>
        <v>1</v>
      </c>
      <c r="U10" s="41">
        <f>GETPIVOTDATA("Valorisation client.",'TCD BO'!$A$4,"SEMAINE",$D$4,"MOIS",$D$3)</f>
        <v>1</v>
      </c>
      <c r="V10" s="41">
        <f>GETPIVOTDATA("Pose du contact - PRN.",'TCD BO'!$A$4,"SEMAINE",$D$4,"MOIS",$D$3)</f>
        <v>1</v>
      </c>
      <c r="W10" s="41">
        <f>GETPIVOTDATA("Commentaire.",'TCD BO'!$A$4,"SEMAINE",$D$4,"MOIS",$D$3)</f>
        <v>0.97222222222222221</v>
      </c>
    </row>
    <row r="11" spans="2:30" x14ac:dyDescent="0.2"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2:30" x14ac:dyDescent="0.2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2:30" ht="20.25" x14ac:dyDescent="0.3">
      <c r="B13" s="39"/>
      <c r="C13" s="126" t="str">
        <f>D3</f>
        <v>Janvier</v>
      </c>
      <c r="D13" s="127"/>
      <c r="E13" s="126" t="str">
        <f>IF(D4&lt;10,CONCATENATE("Semaine 0",D4),CONCATENATE("Semaine ",D4))</f>
        <v>Semaine 01</v>
      </c>
      <c r="F13" s="127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4" spans="2:30" ht="20.25" x14ac:dyDescent="0.3">
      <c r="B14" s="38" t="s">
        <v>295</v>
      </c>
      <c r="C14" s="128">
        <f>AVERAGE(C9:E9)</f>
        <v>0.94076797385620914</v>
      </c>
      <c r="D14" s="129"/>
      <c r="E14" s="128">
        <f>AVERAGE(C10:E10)</f>
        <v>0.96103896103896103</v>
      </c>
      <c r="F14" s="129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2:30" ht="20.25" x14ac:dyDescent="0.3">
      <c r="B15" s="37" t="s">
        <v>296</v>
      </c>
      <c r="C15" s="128">
        <f>AVERAGE(F9:G9)</f>
        <v>0.98255813953488369</v>
      </c>
      <c r="D15" s="129"/>
      <c r="E15" s="128">
        <f>AVERAGE(F10:G10)</f>
        <v>0.98571428571428577</v>
      </c>
      <c r="F15" s="129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2:30" ht="20.25" x14ac:dyDescent="0.3">
      <c r="B16" s="37" t="s">
        <v>297</v>
      </c>
      <c r="C16" s="128">
        <f>AVERAGE(H9:J9)</f>
        <v>0.98202311314024815</v>
      </c>
      <c r="D16" s="129"/>
      <c r="E16" s="128">
        <f>AVERAGE(H10:J10)</f>
        <v>1</v>
      </c>
      <c r="F16" s="129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</row>
    <row r="17" spans="2:29" ht="20.25" x14ac:dyDescent="0.3">
      <c r="B17" s="37" t="s">
        <v>298</v>
      </c>
      <c r="C17" s="130">
        <f>AVERAGE(K9:L9)</f>
        <v>0.9200949945195469</v>
      </c>
      <c r="D17" s="130"/>
      <c r="E17" s="130">
        <f>AVERAGE(K10:L10)</f>
        <v>0.97222222222222221</v>
      </c>
      <c r="F17" s="130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</row>
    <row r="18" spans="2:29" ht="20.25" x14ac:dyDescent="0.3">
      <c r="B18" s="37" t="s">
        <v>378</v>
      </c>
      <c r="C18" s="130">
        <f>AVERAGE(M9:U9)</f>
        <v>0.98438657626516524</v>
      </c>
      <c r="D18" s="130"/>
      <c r="E18" s="130">
        <f>AVERAGE(M10:U10)</f>
        <v>0.98765432098765438</v>
      </c>
      <c r="F18" s="130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</row>
    <row r="19" spans="2:29" ht="20.25" x14ac:dyDescent="0.3">
      <c r="B19" s="37" t="s">
        <v>299</v>
      </c>
      <c r="C19" s="130">
        <f>AVERAGE(V9:W9)</f>
        <v>0.97109826589595372</v>
      </c>
      <c r="D19" s="130"/>
      <c r="E19" s="130">
        <f>AVERAGE(V10:W10)</f>
        <v>0.98611111111111116</v>
      </c>
      <c r="F19" s="130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</row>
    <row r="20" spans="2:29" x14ac:dyDescent="0.2"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</row>
    <row r="21" spans="2:29" x14ac:dyDescent="0.2"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</row>
    <row r="22" spans="2:29" x14ac:dyDescent="0.2"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</row>
    <row r="23" spans="2:29" ht="20.25" x14ac:dyDescent="0.3">
      <c r="B23" s="45" t="s">
        <v>145</v>
      </c>
      <c r="C23" s="45"/>
      <c r="D23" s="45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</row>
    <row r="24" spans="2:29" ht="20.25" x14ac:dyDescent="0.3">
      <c r="B24" s="46"/>
      <c r="C24" s="46"/>
      <c r="D24" s="46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</row>
    <row r="25" spans="2:29" ht="20.25" x14ac:dyDescent="0.3">
      <c r="B25" s="46"/>
      <c r="C25" s="131" t="s">
        <v>146</v>
      </c>
      <c r="D25" s="131"/>
      <c r="E25" s="131" t="s">
        <v>147</v>
      </c>
      <c r="F25" s="131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</row>
    <row r="26" spans="2:29" ht="20.25" x14ac:dyDescent="0.3">
      <c r="B26" s="47" t="str">
        <f>D3</f>
        <v>Janvier</v>
      </c>
      <c r="C26" s="132">
        <f>COUNTIF('RESULTATS BO'!C:C,'Bilan Hebdomadaire'!B26)</f>
        <v>173</v>
      </c>
      <c r="D26" s="132"/>
      <c r="E26" s="133">
        <f>GETPIVOTDATA("Moyenne de note",'TCD BO'!$A$4,"MOIS",D3)/100</f>
        <v>0.95427330774138508</v>
      </c>
      <c r="F26" s="133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</row>
    <row r="27" spans="2:29" ht="20.25" x14ac:dyDescent="0.3">
      <c r="B27" s="47" t="str">
        <f>IF(D4&lt;10,CONCATENATE("Semaine 0",D4),CONCATENATE("Semaine ",D4))</f>
        <v>Semaine 01</v>
      </c>
      <c r="C27" s="132">
        <f>COUNTIF('RESULTATS BO'!A:A,'Bilan Hebdomadaire'!D4)</f>
        <v>36</v>
      </c>
      <c r="D27" s="132"/>
      <c r="E27" s="133">
        <f>GETPIVOTDATA("Moyenne de note",'TCD BO'!$A$4,"SEMAINE",D4,"MOIS",D3)/100</f>
        <v>0.98311193853427892</v>
      </c>
      <c r="F27" s="133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</row>
    <row r="28" spans="2:29" x14ac:dyDescent="0.2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</row>
    <row r="29" spans="2:29" x14ac:dyDescent="0.2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</row>
    <row r="30" spans="2:29" x14ac:dyDescent="0.2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</row>
    <row r="31" spans="2:29" x14ac:dyDescent="0.2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</row>
    <row r="32" spans="2:29" x14ac:dyDescent="0.2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</row>
    <row r="34" spans="2:30" ht="36" customHeight="1" x14ac:dyDescent="0.2">
      <c r="B34" s="123" t="str">
        <f>CONCATENATE("Suivi FO de ",D3," - Semaine ",D4)</f>
        <v>Suivi FO de Janvier - Semaine 1</v>
      </c>
      <c r="C34" s="123"/>
      <c r="D34" s="123"/>
      <c r="E34" s="123"/>
      <c r="F34" s="123"/>
      <c r="G34" s="123"/>
      <c r="H34" s="123"/>
      <c r="I34" s="123"/>
      <c r="J34" s="123"/>
      <c r="K34" s="123"/>
      <c r="L34" s="123"/>
      <c r="M34" s="123"/>
      <c r="N34" s="123"/>
      <c r="O34" s="123"/>
      <c r="P34" s="123"/>
      <c r="Q34" s="123"/>
      <c r="R34" s="123"/>
      <c r="S34" s="123"/>
      <c r="T34" s="123"/>
      <c r="U34" s="123"/>
      <c r="V34" s="123"/>
      <c r="W34" s="123"/>
      <c r="X34" s="123"/>
      <c r="Y34" s="123"/>
      <c r="Z34" s="123"/>
      <c r="AA34" s="123"/>
      <c r="AB34" s="123"/>
      <c r="AC34" s="123"/>
    </row>
    <row r="37" spans="2:30" ht="243.75" x14ac:dyDescent="0.2">
      <c r="B37" s="36"/>
      <c r="C37" s="44" t="s">
        <v>455</v>
      </c>
      <c r="D37" s="43" t="s">
        <v>456</v>
      </c>
      <c r="E37" s="43" t="s">
        <v>457</v>
      </c>
      <c r="F37" s="43" t="s">
        <v>458</v>
      </c>
      <c r="G37" s="43" t="s">
        <v>459</v>
      </c>
      <c r="H37" s="43" t="s">
        <v>460</v>
      </c>
      <c r="I37" s="43" t="s">
        <v>461</v>
      </c>
      <c r="J37" s="43" t="s">
        <v>462</v>
      </c>
      <c r="K37" s="43" t="s">
        <v>463</v>
      </c>
      <c r="L37" s="43" t="s">
        <v>464</v>
      </c>
      <c r="M37" s="43" t="s">
        <v>465</v>
      </c>
      <c r="N37" s="43" t="s">
        <v>466</v>
      </c>
      <c r="O37" s="43" t="s">
        <v>438</v>
      </c>
      <c r="P37" s="43" t="s">
        <v>467</v>
      </c>
      <c r="Q37" s="43" t="s">
        <v>468</v>
      </c>
      <c r="R37" s="43" t="s">
        <v>469</v>
      </c>
      <c r="S37" s="43" t="s">
        <v>470</v>
      </c>
      <c r="T37" s="43" t="s">
        <v>471</v>
      </c>
      <c r="U37" s="43" t="s">
        <v>472</v>
      </c>
      <c r="V37" s="43" t="s">
        <v>473</v>
      </c>
      <c r="W37" s="43" t="s">
        <v>474</v>
      </c>
      <c r="X37" s="36" t="s">
        <v>481</v>
      </c>
      <c r="Y37" s="44" t="s">
        <v>475</v>
      </c>
      <c r="Z37" s="43" t="s">
        <v>476</v>
      </c>
      <c r="AA37" s="43" t="s">
        <v>477</v>
      </c>
      <c r="AB37" s="43" t="s">
        <v>447</v>
      </c>
      <c r="AC37" s="43" t="s">
        <v>478</v>
      </c>
      <c r="AD37" s="43" t="s">
        <v>479</v>
      </c>
    </row>
    <row r="38" spans="2:30" ht="15" x14ac:dyDescent="0.2">
      <c r="B38" s="40" t="str">
        <f>CONCATENATE(B3," ",D3)</f>
        <v>MOIS : Janvier</v>
      </c>
      <c r="C38" s="41">
        <f>GETPIVOTDATA("Phrase d'accueil et présentation complète.",'TCD FO'!$A$3,"MOIS",$D$3)</f>
        <v>1</v>
      </c>
      <c r="D38" s="41">
        <f>GETPIVOTDATA("Identification client.",'TCD FO'!$A$3,"MOIS",$D$3)</f>
        <v>1</v>
      </c>
      <c r="E38" s="41">
        <f>GETPIVOTDATA("Vérification et MAJ de l'adresse électronique.",'TCD FO'!$A$3,"MOIS",$D$3)</f>
        <v>0.83132530120481929</v>
      </c>
      <c r="F38" s="41">
        <f>GETPIVOTDATA("Vérification et MAJ du numéro de téléphone.",'TCD FO'!$A$3,"MOIS",$D$3)</f>
        <v>0.82926829268292679</v>
      </c>
      <c r="G38" s="41">
        <f>GETPIVOTDATA("Vérification et MAJ de l'adresse postale.",'TCD FO'!$A$3,"MOIS",$D$3)</f>
        <v>0.9642857142857143</v>
      </c>
      <c r="H38" s="41">
        <f>GETPIVOTDATA("Directivité - Maîtrise de l'entretien.",'TCD FO'!$A$3,"MOIS",$D$3)</f>
        <v>0.95348837209302328</v>
      </c>
      <c r="I38" s="41">
        <f>GETPIVOTDATA("Ecoute active/implication.",'TCD FO'!$A$3,"MOIS",$D$3)</f>
        <v>0.95348837209302328</v>
      </c>
      <c r="J38" s="41">
        <f>GETPIVOTDATA("Ton, débit, volume, empathie.",'TCD FO'!$A$3,"MOIS",$D$3)</f>
        <v>0.94186046511627908</v>
      </c>
      <c r="K38" s="41">
        <f>GETPIVOTDATA("Vocabulaire, jargon, utilisation du JE et du présent, syntaxe.",'TCD FO'!$A$3,"MOIS",$D$3)</f>
        <v>0.97674418604651159</v>
      </c>
      <c r="L38" s="41">
        <f>GETPIVOTDATA("Amabilité, courtoisie, sourire.",'TCD FO'!$A$3,"MOIS",$D$3)</f>
        <v>0.97674418604651159</v>
      </c>
      <c r="M38" s="41">
        <f>GETPIVOTDATA("Reformulation.",'TCD FO'!$A$3,"MOIS",$D$3)</f>
        <v>0.62790697674418605</v>
      </c>
      <c r="N38" s="41">
        <f>GETPIVOTDATA("Questionnement.",'TCD FO'!$A$3,"MOIS",$D$3)</f>
        <v>0.91860465116279066</v>
      </c>
      <c r="O38" s="41">
        <f>GETPIVOTDATA("Réponse correcte et complète - Résolution au premier contact.",'TCD FO'!$A$3,"MOIS",$D$3)</f>
        <v>0.90697674418604646</v>
      </c>
      <c r="P38" s="41">
        <f>GETPIVOTDATA("Traitement des objections.",'TCD FO'!$A$3,"MOIS",$D$3)</f>
        <v>0.88372093023255816</v>
      </c>
      <c r="Q38" s="41">
        <f>GETPIVOTDATA("Fiabilisation.",'TCD FO'!$A$3,"MOIS",$D$3)</f>
        <v>0.98780487804878048</v>
      </c>
      <c r="R38" s="41">
        <f>GETPIVOTDATA("Mise en attente.",'TCD FO'!$A$3,"MOIS",$D$3)</f>
        <v>0.90909090909090906</v>
      </c>
      <c r="S38" s="41">
        <f>GETPIVOTDATA("Actions nécessaires effectuées - Respect des procédures.",'TCD FO'!$A$3,"MOIS",$D$3)</f>
        <v>0.92771084337349397</v>
      </c>
      <c r="T38" s="41">
        <f>GETPIVOTDATA("Actions nécessaires effectuées - Respect des procédures.",'TCD FO'!$A$3,"MOIS",$D$3)</f>
        <v>0.92771084337349397</v>
      </c>
      <c r="U38" s="41">
        <f>GETPIVOTDATA("Utilisation de l'historique client.",'TCD FO'!$A$3,"MOIS",$D$3)</f>
        <v>0.93827160493827155</v>
      </c>
      <c r="V38" s="41">
        <f>GETPIVOTDATA("Accompagnement et valorisation du client.",'TCD FO'!$A$3,"MOIS",$D$3)</f>
        <v>0.92682926829268297</v>
      </c>
      <c r="W38" s="41">
        <f>GETPIVOTDATA("Valorisation du service et/ou du produit.",'TCD FO'!$A$3,"MOIS",$D$3)</f>
        <v>0.80246913580246915</v>
      </c>
      <c r="X38" s="40" t="e">
        <f>GETPIVOTDATA("MAJ des connaissances produit (intranet, etc.).",'TCD FO'!$A$3,"MOIS",$D$3)</f>
        <v>#REF!</v>
      </c>
      <c r="Y38" s="41">
        <f>GETPIVOTDATA("Verrouillage.",'TCD FO'!$A$3,"MOIS",$D$3)</f>
        <v>0.81927710843373491</v>
      </c>
      <c r="Z38" s="41">
        <f>GETPIVOTDATA("Remerciement.",'TCD FO'!$A$3,"MOIS",$D$3)</f>
        <v>0.97619047619047616</v>
      </c>
      <c r="AA38" s="41">
        <f>GETPIVOTDATA("Souhaite quelque chose d'agréable.",'TCD FO'!$A$3,"MOIS",$D$3)</f>
        <v>0.98809523809523814</v>
      </c>
      <c r="AB38" s="41">
        <f>GETPIVOTDATA("Pose du contact - PRN.",'TCD FO'!$A$3,"MOIS",$D$3)</f>
        <v>1</v>
      </c>
      <c r="AC38" s="41">
        <f>GETPIVOTDATA("Commentaires de contacts.",'TCD FO'!$A$3,"MOIS",$D$3)</f>
        <v>0.95294117647058818</v>
      </c>
      <c r="AD38" s="41">
        <f>GETPIVOTDATA("Communication sortante.",'TCD FO'!$A$3,"MOIS",$D$3)</f>
        <v>0.81818181818181823</v>
      </c>
    </row>
    <row r="39" spans="2:30" ht="15" x14ac:dyDescent="0.2">
      <c r="B39" s="42" t="str">
        <f>CONCATENATE(B4," ",D4)</f>
        <v>Semaine : 1</v>
      </c>
      <c r="C39" s="41">
        <f>GETPIVOTDATA("Phrase d'accueil et présentation complète.",'TCD FO'!$A$3,"SEMAINE",$D$4,"MOIS",$D$3)</f>
        <v>1</v>
      </c>
      <c r="D39" s="41">
        <f>GETPIVOTDATA("Identification client.",'TCD FO'!$A$3,"SEMAINE",$D$4,"MOIS",$D$3)</f>
        <v>1</v>
      </c>
      <c r="E39" s="41">
        <f>GETPIVOTDATA("Vérification et MAJ de l'adresse électronique.",'TCD FO'!$A$3,"SEMAINE",$D$4,"MOIS",$D$3)</f>
        <v>0.77777777777777779</v>
      </c>
      <c r="F39" s="41">
        <f>GETPIVOTDATA("Vérification et MAJ du numéro de téléphone.",'TCD FO'!$A$3,"SEMAINE",$D$4,"MOIS",$D$3)</f>
        <v>0.81481481481481477</v>
      </c>
      <c r="G39" s="41">
        <f>GETPIVOTDATA("Vérification et MAJ de l'adresse postale.",'TCD FO'!$A$3,"SEMAINE",$D$4,"MOIS",$D$3)</f>
        <v>0.9642857142857143</v>
      </c>
      <c r="H39" s="41">
        <f>GETPIVOTDATA("Directivité - Maîtrise de l'entretien.",'TCD FO'!$A$3,"SEMAINE",$D$4,"MOIS",$D$3)</f>
        <v>0.8928571428571429</v>
      </c>
      <c r="I39" s="41">
        <f>GETPIVOTDATA("Ecoute active/implication.",'TCD FO'!$A$3,"SEMAINE",$D$4,"MOIS",$D$3)</f>
        <v>0.9285714285714286</v>
      </c>
      <c r="J39" s="41">
        <f>GETPIVOTDATA("Ton, débit, volume, empathie.",'TCD FO'!$A$3,"SEMAINE",$D$4,"MOIS",$D$3)</f>
        <v>0.8928571428571429</v>
      </c>
      <c r="K39" s="41">
        <f>GETPIVOTDATA("Vocabulaire, jargon, utilisation du JE et du présent, syntaxe.",'TCD FO'!$A$3,"SEMAINE",$D$4,"MOIS",$D$3)</f>
        <v>1</v>
      </c>
      <c r="L39" s="41">
        <f>GETPIVOTDATA("Amabilité, courtoisie, sourire.",'TCD FO'!$A$3,"SEMAINE",$D$4,"MOIS",$D$3)</f>
        <v>0.9285714285714286</v>
      </c>
      <c r="M39" s="41">
        <f>GETPIVOTDATA("Reformulation.",'TCD FO'!$A$3,"SEMAINE",$D$4,"MOIS",$D$3)</f>
        <v>0.8571428571428571</v>
      </c>
      <c r="N39" s="41">
        <f>GETPIVOTDATA("Questionnement.",'TCD FO'!$A$3,"SEMAINE",$D$4,"MOIS",$D$3)</f>
        <v>1</v>
      </c>
      <c r="O39" s="41">
        <f>GETPIVOTDATA("Réponse correcte et complète - Résolution au premier contact.",'TCD FO'!$A$3,"SEMAINE",$D$4,"MOIS",$D$3)</f>
        <v>0.9642857142857143</v>
      </c>
      <c r="P39" s="41">
        <f>GETPIVOTDATA("Traitement des objections.",'TCD FO'!$A$3,"SEMAINE",$D$4,"MOIS",$D$3)</f>
        <v>0.76923076923076927</v>
      </c>
      <c r="Q39" s="41">
        <f>GETPIVOTDATA("Fiabilisation.",'TCD FO'!$A$3,"SEMAINE",$D$4,"MOIS",$D$3)</f>
        <v>1</v>
      </c>
      <c r="R39" s="41">
        <f>GETPIVOTDATA("Mise en attente.",'TCD FO'!$A$3,"SEMAINE",$D$4,"MOIS",$D$3)</f>
        <v>0.8</v>
      </c>
      <c r="S39" s="41">
        <f>GETPIVOTDATA("Actions nécessaires effectuées - Respect des procédures.",'TCD FO'!$A$3,"SEMAINE",$D$4,"MOIS",$D$3)</f>
        <v>1</v>
      </c>
      <c r="T39" s="41">
        <f>GETPIVOTDATA("Actions nécessaires effectuées - Respect des procédures.",'TCD FO'!$A$3,"SEMAINE",$D$4,"MOIS",$D$3)</f>
        <v>1</v>
      </c>
      <c r="U39" s="41">
        <f>GETPIVOTDATA("Utilisation de l'historique client.",'TCD FO'!$A$3,"SEMAINE",$D$4,"MOIS",$D$3)</f>
        <v>0.95833333333333337</v>
      </c>
      <c r="V39" s="41">
        <f>GETPIVOTDATA("Accompagnement et valorisation du client.",'TCD FO'!$A$3,"SEMAINE",$D$4,"MOIS",$D$3)</f>
        <v>0.92592592592592593</v>
      </c>
      <c r="W39" s="41">
        <f>GETPIVOTDATA("Valorisation du service et/ou du produit.",'TCD FO'!$A$3,"SEMAINE",$D$4,"MOIS",$D$3)</f>
        <v>0.73076923076923073</v>
      </c>
      <c r="X39" s="42" t="e">
        <f>GETPIVOTDATA("MAJ des connaissances produit (intranet, etc.).",'TCD FO'!$A$3,"SEMAINE",$D$4,"MOIS",$D$3)</f>
        <v>#REF!</v>
      </c>
      <c r="Y39" s="41">
        <f>GETPIVOTDATA("Verrouillage.",'TCD FO'!$A$3,"SEMAINE",$D$4,"MOIS",$D$3)</f>
        <v>0.81481481481481477</v>
      </c>
      <c r="Z39" s="41">
        <f>GETPIVOTDATA("Remerciement.",'TCD FO'!$A$3,"SEMAINE",$D$4,"MOIS",$D$3)</f>
        <v>1</v>
      </c>
      <c r="AA39" s="41">
        <f>GETPIVOTDATA("Souhaite quelque chose d'agréable.",'TCD FO'!$A$3,"SEMAINE",$D$4,"MOIS",$D$3)</f>
        <v>0.96296296296296291</v>
      </c>
      <c r="AB39" s="41">
        <f>GETPIVOTDATA("Pose du contact - PRN.",'TCD FO'!$A$3,"SEMAINE",$D$4,"MOIS",$D$3)</f>
        <v>1</v>
      </c>
      <c r="AC39" s="41">
        <f>GETPIVOTDATA("Commentaires de contacts.",'TCD FO'!$A$3,"SEMAINE",$D$4,"MOIS",$D$3)</f>
        <v>1</v>
      </c>
      <c r="AD39" s="41">
        <f>GETPIVOTDATA("Communication sortante.",'TCD FO'!$A$3,"SEMAINE",$D$4,"MOIS",$D$3)</f>
        <v>0.83333333333333337</v>
      </c>
    </row>
    <row r="40" spans="2:30" x14ac:dyDescent="0.2"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</row>
    <row r="41" spans="2:30" x14ac:dyDescent="0.2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</row>
    <row r="42" spans="2:30" x14ac:dyDescent="0.2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</row>
    <row r="43" spans="2:30" ht="20.25" x14ac:dyDescent="0.3">
      <c r="B43" s="39"/>
      <c r="C43" s="126" t="str">
        <f>D3</f>
        <v>Janvier</v>
      </c>
      <c r="D43" s="127"/>
      <c r="E43" s="126" t="str">
        <f>IF(D4&lt;10,CONCATENATE("Semaine 0",D4),CONCATENATE("Semaine ",D4))</f>
        <v>Semaine 01</v>
      </c>
      <c r="F43" s="127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</row>
    <row r="44" spans="2:30" ht="20.25" x14ac:dyDescent="0.3">
      <c r="B44" s="38" t="s">
        <v>148</v>
      </c>
      <c r="C44" s="128">
        <f>AVERAGE(C38:G38)</f>
        <v>0.92497586163469203</v>
      </c>
      <c r="D44" s="129"/>
      <c r="E44" s="128">
        <f>AVERAGE(C39:G39)</f>
        <v>0.91137566137566139</v>
      </c>
      <c r="F44" s="129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2:30" ht="20.25" x14ac:dyDescent="0.3">
      <c r="B45" s="37" t="s">
        <v>149</v>
      </c>
      <c r="C45" s="128">
        <f>AVERAGE(H38:L38)</f>
        <v>0.96046511627906983</v>
      </c>
      <c r="D45" s="129"/>
      <c r="E45" s="128">
        <f>AVERAGE(H39:L39)</f>
        <v>0.9285714285714286</v>
      </c>
      <c r="F45" s="129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2:30" ht="20.25" x14ac:dyDescent="0.3">
      <c r="B46" s="37" t="s">
        <v>150</v>
      </c>
      <c r="C46" s="128">
        <f>AVERAGE(M38:S38)</f>
        <v>0.88025941897696647</v>
      </c>
      <c r="D46" s="129"/>
      <c r="E46" s="128">
        <f>AVERAGE(M39:S39)</f>
        <v>0.91295133437990583</v>
      </c>
      <c r="F46" s="129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2:30" ht="20.25" x14ac:dyDescent="0.3">
      <c r="B47" s="37" t="s">
        <v>151</v>
      </c>
      <c r="C47" s="130" t="e">
        <f>AVERAGE(T38:X38)</f>
        <v>#REF!</v>
      </c>
      <c r="D47" s="130"/>
      <c r="E47" s="130" t="e">
        <f>AVERAGE(T39:X39)</f>
        <v>#REF!</v>
      </c>
      <c r="F47" s="130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2:30" ht="20.25" x14ac:dyDescent="0.3">
      <c r="B48" s="37" t="s">
        <v>152</v>
      </c>
      <c r="C48" s="130">
        <f>AVERAGE(Y38:AA38)</f>
        <v>0.92785427423981648</v>
      </c>
      <c r="D48" s="130"/>
      <c r="E48" s="130">
        <f>AVERAGE(Y39:AA39)</f>
        <v>0.92592592592592593</v>
      </c>
      <c r="F48" s="130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2:29" ht="20.25" x14ac:dyDescent="0.3">
      <c r="B49" s="37" t="s">
        <v>153</v>
      </c>
      <c r="C49" s="130">
        <f>AVERAGE(AB38:AD38)</f>
        <v>0.92370766488413547</v>
      </c>
      <c r="D49" s="130"/>
      <c r="E49" s="130">
        <f>AVERAGE(AB39:AD39)</f>
        <v>0.94444444444444453</v>
      </c>
      <c r="F49" s="130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2:29" x14ac:dyDescent="0.2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</row>
    <row r="51" spans="2:29" x14ac:dyDescent="0.2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</row>
    <row r="52" spans="2:29" x14ac:dyDescent="0.2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</row>
    <row r="53" spans="2:29" ht="23.25" customHeight="1" x14ac:dyDescent="0.3">
      <c r="B53" s="45" t="s">
        <v>145</v>
      </c>
      <c r="C53" s="45"/>
      <c r="D53" s="45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</row>
    <row r="54" spans="2:29" ht="23.25" customHeight="1" x14ac:dyDescent="0.3">
      <c r="B54" s="46"/>
      <c r="C54" s="46"/>
      <c r="D54" s="46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</row>
    <row r="55" spans="2:29" ht="23.25" customHeight="1" x14ac:dyDescent="0.3">
      <c r="B55" s="46"/>
      <c r="C55" s="131" t="s">
        <v>146</v>
      </c>
      <c r="D55" s="131"/>
      <c r="E55" s="131" t="s">
        <v>147</v>
      </c>
      <c r="F55" s="131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</row>
    <row r="56" spans="2:29" ht="23.25" customHeight="1" x14ac:dyDescent="0.3">
      <c r="B56" s="47" t="str">
        <f>D3</f>
        <v>Janvier</v>
      </c>
      <c r="C56" s="132">
        <f>COUNTIF('RESULTATS FO'!C:C,'Bilan Hebdomadaire'!B26)</f>
        <v>86</v>
      </c>
      <c r="D56" s="132" t="e">
        <f>#REF!</f>
        <v>#REF!</v>
      </c>
      <c r="E56" s="133">
        <f>GETPIVOTDATA("Moyenne de note",'TCD FO'!$A$3,"MOIS",D3)/100</f>
        <v>0.91362386063548851</v>
      </c>
      <c r="F56" s="133"/>
    </row>
    <row r="57" spans="2:29" ht="23.25" customHeight="1" x14ac:dyDescent="0.3">
      <c r="B57" s="47" t="str">
        <f>IF(D4&lt;10,CONCATENATE("Semaine 0",D4),CONCATENATE("Semaine ",D4))</f>
        <v>Semaine 01</v>
      </c>
      <c r="C57" s="132">
        <f>COUNTIF('RESULTATS FO'!A:A,'Bilan Hebdomadaire'!D4)</f>
        <v>28</v>
      </c>
      <c r="D57" s="132" t="e">
        <f>#REF!</f>
        <v>#REF!</v>
      </c>
      <c r="E57" s="133">
        <f>GETPIVOTDATA("Moyenne de note",'TCD FO'!$A$3,"SEMAINE",D4,"MOIS",D3)/100</f>
        <v>0.93238409209837769</v>
      </c>
      <c r="F57" s="133"/>
    </row>
  </sheetData>
  <mergeCells count="47">
    <mergeCell ref="C56:D56"/>
    <mergeCell ref="E56:F56"/>
    <mergeCell ref="C57:D57"/>
    <mergeCell ref="E57:F57"/>
    <mergeCell ref="B6:AC6"/>
    <mergeCell ref="B34:AC34"/>
    <mergeCell ref="E49:F49"/>
    <mergeCell ref="C49:D49"/>
    <mergeCell ref="C55:D55"/>
    <mergeCell ref="E55:F55"/>
    <mergeCell ref="E48:F48"/>
    <mergeCell ref="C48:D48"/>
    <mergeCell ref="E45:F45"/>
    <mergeCell ref="C45:D45"/>
    <mergeCell ref="E46:F46"/>
    <mergeCell ref="C46:D46"/>
    <mergeCell ref="E47:F47"/>
    <mergeCell ref="C47:D47"/>
    <mergeCell ref="E43:F43"/>
    <mergeCell ref="C43:D43"/>
    <mergeCell ref="E44:F44"/>
    <mergeCell ref="C44:D44"/>
    <mergeCell ref="B1:AD1"/>
    <mergeCell ref="B3:C3"/>
    <mergeCell ref="B4:C4"/>
    <mergeCell ref="D3:G3"/>
    <mergeCell ref="D4:G4"/>
    <mergeCell ref="C13:D13"/>
    <mergeCell ref="E13:F13"/>
    <mergeCell ref="C14:D14"/>
    <mergeCell ref="E14:F14"/>
    <mergeCell ref="C15:D15"/>
    <mergeCell ref="E15:F15"/>
    <mergeCell ref="C16:D16"/>
    <mergeCell ref="E16:F16"/>
    <mergeCell ref="C25:D25"/>
    <mergeCell ref="C26:D26"/>
    <mergeCell ref="C27:D27"/>
    <mergeCell ref="E25:F25"/>
    <mergeCell ref="E26:F26"/>
    <mergeCell ref="E27:F27"/>
    <mergeCell ref="E17:F17"/>
    <mergeCell ref="E18:F18"/>
    <mergeCell ref="E19:F19"/>
    <mergeCell ref="C18:D18"/>
    <mergeCell ref="C17:D17"/>
    <mergeCell ref="C19:D19"/>
  </mergeCells>
  <conditionalFormatting sqref="C9:W10">
    <cfRule type="cellIs" dxfId="144" priority="7" operator="lessThan">
      <formula>0.9</formula>
    </cfRule>
    <cfRule type="cellIs" dxfId="143" priority="8" operator="equal">
      <formula>1</formula>
    </cfRule>
  </conditionalFormatting>
  <conditionalFormatting sqref="C38:W39 Y38:AD39">
    <cfRule type="cellIs" dxfId="142" priority="1" operator="lessThan">
      <formula>0.9</formula>
    </cfRule>
    <cfRule type="cellIs" dxfId="141" priority="2" operator="equal">
      <formula>1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Correspondance!$E$3:$E$14</xm:f>
          </x14:formula1>
          <xm:sqref>D3:G3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>
    <tabColor theme="6" tint="-0.249977111117893"/>
  </sheetPr>
  <dimension ref="A1:AO400"/>
  <sheetViews>
    <sheetView showGridLines="0" topLeftCell="B1" zoomScale="85" zoomScaleNormal="85" workbookViewId="0">
      <pane ySplit="1" topLeftCell="A81" activePane="bottomLeft" state="frozen"/>
      <selection pane="bottomLeft" activeCell="H326" sqref="H326"/>
    </sheetView>
  </sheetViews>
  <sheetFormatPr baseColWidth="10" defaultColWidth="45.7109375" defaultRowHeight="12.75" x14ac:dyDescent="0.2"/>
  <cols>
    <col min="1" max="2" width="4.42578125" style="14" bestFit="1" customWidth="1"/>
    <col min="3" max="3" width="10.42578125" style="14" customWidth="1"/>
    <col min="4" max="4" width="8.28515625" style="14" customWidth="1"/>
    <col min="5" max="5" width="10.42578125" style="14" bestFit="1" customWidth="1"/>
    <col min="6" max="6" width="12" style="14" bestFit="1" customWidth="1"/>
    <col min="7" max="7" width="20.85546875" style="14" bestFit="1" customWidth="1"/>
    <col min="8" max="8" width="17.7109375" style="14" bestFit="1" customWidth="1"/>
    <col min="9" max="9" width="6" style="14" bestFit="1" customWidth="1"/>
    <col min="10" max="10" width="18.28515625" style="14" bestFit="1" customWidth="1"/>
    <col min="11" max="11" width="6.42578125" style="14" bestFit="1" customWidth="1"/>
    <col min="12" max="12" width="11" style="14" bestFit="1" customWidth="1"/>
    <col min="13" max="13" width="4.42578125" style="14" bestFit="1" customWidth="1"/>
    <col min="14" max="14" width="12.5703125" style="14" bestFit="1" customWidth="1"/>
    <col min="15" max="15" width="5.140625" style="14" bestFit="1" customWidth="1"/>
    <col min="16" max="16" width="43.7109375" style="14" bestFit="1" customWidth="1"/>
    <col min="17" max="17" width="7.85546875" style="14" bestFit="1" customWidth="1"/>
    <col min="18" max="26" width="4.42578125" style="14" bestFit="1" customWidth="1"/>
    <col min="27" max="27" width="4.5703125" style="14" bestFit="1" customWidth="1"/>
    <col min="28" max="40" width="4.42578125" style="14" bestFit="1" customWidth="1"/>
    <col min="41" max="41" width="10.42578125" style="14" bestFit="1" customWidth="1"/>
    <col min="42" max="44" width="45.7109375" style="14" customWidth="1"/>
    <col min="45" max="16384" width="45.7109375" style="14"/>
  </cols>
  <sheetData>
    <row r="1" spans="1:41" s="7" customFormat="1" ht="306.75" x14ac:dyDescent="0.2">
      <c r="A1" s="30" t="s">
        <v>142</v>
      </c>
      <c r="B1" s="30" t="s">
        <v>425</v>
      </c>
      <c r="C1" s="30" t="s">
        <v>143</v>
      </c>
      <c r="D1" s="31" t="s">
        <v>253</v>
      </c>
      <c r="E1" s="32" t="s">
        <v>0</v>
      </c>
      <c r="F1" s="32" t="s">
        <v>1</v>
      </c>
      <c r="G1" s="32" t="s">
        <v>2</v>
      </c>
      <c r="H1" s="32" t="s">
        <v>3</v>
      </c>
      <c r="I1" s="32" t="s">
        <v>4</v>
      </c>
      <c r="J1" s="32" t="s">
        <v>5</v>
      </c>
      <c r="K1" s="32" t="s">
        <v>6</v>
      </c>
      <c r="L1" s="32" t="s">
        <v>7</v>
      </c>
      <c r="M1" s="32" t="s">
        <v>154</v>
      </c>
      <c r="N1" s="32" t="s">
        <v>8</v>
      </c>
      <c r="O1" s="32" t="s">
        <v>1</v>
      </c>
      <c r="P1" s="32" t="s">
        <v>9</v>
      </c>
      <c r="Q1" s="32" t="s">
        <v>10</v>
      </c>
      <c r="R1" s="32" t="s">
        <v>155</v>
      </c>
      <c r="S1" s="32" t="s">
        <v>156</v>
      </c>
      <c r="T1" s="32" t="s">
        <v>292</v>
      </c>
      <c r="U1" s="32" t="s">
        <v>157</v>
      </c>
      <c r="V1" s="32" t="s">
        <v>13</v>
      </c>
      <c r="W1" s="32" t="s">
        <v>158</v>
      </c>
      <c r="X1" s="32" t="s">
        <v>16</v>
      </c>
      <c r="Y1" s="32" t="s">
        <v>139</v>
      </c>
      <c r="Z1" s="32" t="s">
        <v>159</v>
      </c>
      <c r="AA1" s="32" t="s">
        <v>23</v>
      </c>
      <c r="AB1" s="32" t="s">
        <v>160</v>
      </c>
      <c r="AC1" s="32" t="s">
        <v>26</v>
      </c>
      <c r="AD1" s="32" t="s">
        <v>161</v>
      </c>
      <c r="AE1" s="32" t="s">
        <v>162</v>
      </c>
      <c r="AF1" s="32" t="s">
        <v>163</v>
      </c>
      <c r="AG1" s="32" t="s">
        <v>293</v>
      </c>
      <c r="AH1" s="32" t="s">
        <v>164</v>
      </c>
      <c r="AI1" s="32" t="s">
        <v>427</v>
      </c>
      <c r="AJ1" s="32" t="s">
        <v>165</v>
      </c>
      <c r="AK1" s="32" t="s">
        <v>166</v>
      </c>
      <c r="AL1" s="32" t="s">
        <v>167</v>
      </c>
      <c r="AM1" s="32" t="s">
        <v>294</v>
      </c>
      <c r="AN1" s="32" t="s">
        <v>168</v>
      </c>
      <c r="AO1" s="32" t="s">
        <v>426</v>
      </c>
    </row>
    <row r="2" spans="1:41" hidden="1" x14ac:dyDescent="0.2">
      <c r="A2" s="13">
        <f t="shared" ref="A2:A52" si="0">WEEKNUM(E2)</f>
        <v>1</v>
      </c>
      <c r="B2" s="13">
        <f t="shared" ref="B2:B52" si="1">MONTH(E2)</f>
        <v>1</v>
      </c>
      <c r="C2" s="13" t="str">
        <f>VLOOKUP(B2,Correspondance!$D$3:$E$14,2,FALSE)</f>
        <v>Janvier</v>
      </c>
      <c r="D2" s="15" t="str">
        <f>VLOOKUP(G2,Correspondance!$A$3:$B$10,2,FALSE)</f>
        <v>ASF</v>
      </c>
      <c r="E2" s="1" t="s">
        <v>39</v>
      </c>
      <c r="F2" s="2" t="s">
        <v>169</v>
      </c>
      <c r="G2" s="3" t="s">
        <v>41</v>
      </c>
      <c r="H2" s="4" t="s">
        <v>905</v>
      </c>
      <c r="I2" s="4" t="s">
        <v>170</v>
      </c>
      <c r="J2" s="5" t="s">
        <v>41</v>
      </c>
      <c r="K2" s="6">
        <v>100</v>
      </c>
      <c r="L2" s="4" t="s">
        <v>171</v>
      </c>
      <c r="M2" s="4" t="s">
        <v>172</v>
      </c>
      <c r="N2" s="4" t="s">
        <v>66</v>
      </c>
      <c r="O2" s="4" t="s">
        <v>99</v>
      </c>
      <c r="P2" s="4" t="s">
        <v>92</v>
      </c>
      <c r="Q2" s="4" t="s">
        <v>49</v>
      </c>
      <c r="R2" s="4">
        <v>1</v>
      </c>
      <c r="S2" s="4">
        <v>1</v>
      </c>
      <c r="T2" s="4">
        <v>1</v>
      </c>
      <c r="U2" s="4">
        <v>1</v>
      </c>
      <c r="V2" s="4">
        <v>1</v>
      </c>
      <c r="W2" s="4">
        <v>1</v>
      </c>
      <c r="X2" s="4">
        <v>1</v>
      </c>
      <c r="Y2" s="4">
        <v>1</v>
      </c>
      <c r="Z2" s="4" t="s">
        <v>140</v>
      </c>
      <c r="AA2" s="4">
        <v>1</v>
      </c>
      <c r="AB2" s="4">
        <v>1</v>
      </c>
      <c r="AC2" s="4">
        <v>1</v>
      </c>
      <c r="AD2" s="4">
        <v>1</v>
      </c>
      <c r="AE2" s="4">
        <v>1</v>
      </c>
      <c r="AF2" s="4" t="s">
        <v>140</v>
      </c>
      <c r="AG2" s="4">
        <v>1</v>
      </c>
      <c r="AH2" s="4">
        <v>1</v>
      </c>
      <c r="AI2" s="4">
        <v>1</v>
      </c>
      <c r="AJ2" s="4">
        <v>1</v>
      </c>
      <c r="AK2" s="4">
        <v>1</v>
      </c>
      <c r="AL2" s="4">
        <v>1</v>
      </c>
      <c r="AM2" s="4" t="s">
        <v>140</v>
      </c>
      <c r="AN2" s="4" t="s">
        <v>140</v>
      </c>
      <c r="AO2" s="4" t="s">
        <v>60</v>
      </c>
    </row>
    <row r="3" spans="1:41" hidden="1" x14ac:dyDescent="0.2">
      <c r="A3" s="13">
        <f t="shared" si="0"/>
        <v>1</v>
      </c>
      <c r="B3" s="13">
        <f t="shared" si="1"/>
        <v>1</v>
      </c>
      <c r="C3" s="13" t="str">
        <f>VLOOKUP(B3,Correspondance!$D$3:$E$14,2,FALSE)</f>
        <v>Janvier</v>
      </c>
      <c r="D3" s="15" t="str">
        <f>VLOOKUP(G3,Correspondance!$A$3:$B$10,2,FALSE)</f>
        <v>ASF</v>
      </c>
      <c r="E3" s="1" t="s">
        <v>39</v>
      </c>
      <c r="F3" s="2" t="s">
        <v>169</v>
      </c>
      <c r="G3" s="3" t="s">
        <v>41</v>
      </c>
      <c r="H3" s="4" t="s">
        <v>78</v>
      </c>
      <c r="I3" s="4" t="s">
        <v>79</v>
      </c>
      <c r="J3" s="5" t="s">
        <v>41</v>
      </c>
      <c r="K3" s="6">
        <v>100</v>
      </c>
      <c r="L3" s="4" t="s">
        <v>173</v>
      </c>
      <c r="M3" s="4" t="s">
        <v>174</v>
      </c>
      <c r="N3" s="4" t="s">
        <v>66</v>
      </c>
      <c r="O3" s="4" t="s">
        <v>175</v>
      </c>
      <c r="P3" s="4" t="s">
        <v>176</v>
      </c>
      <c r="Q3" s="4" t="s">
        <v>49</v>
      </c>
      <c r="R3" s="4">
        <v>1</v>
      </c>
      <c r="S3" s="4">
        <v>1</v>
      </c>
      <c r="T3" s="4">
        <v>1</v>
      </c>
      <c r="U3" s="4">
        <v>1</v>
      </c>
      <c r="V3" s="4">
        <v>1</v>
      </c>
      <c r="W3" s="4">
        <v>1</v>
      </c>
      <c r="X3" s="4">
        <v>1</v>
      </c>
      <c r="Y3" s="4">
        <v>1</v>
      </c>
      <c r="Z3" s="4" t="s">
        <v>140</v>
      </c>
      <c r="AA3" s="4">
        <v>1</v>
      </c>
      <c r="AB3" s="4">
        <v>1</v>
      </c>
      <c r="AC3" s="4">
        <v>1</v>
      </c>
      <c r="AD3" s="4">
        <v>1</v>
      </c>
      <c r="AE3" s="4">
        <v>1</v>
      </c>
      <c r="AF3" s="4" t="s">
        <v>140</v>
      </c>
      <c r="AG3" s="4">
        <v>1</v>
      </c>
      <c r="AH3" s="4">
        <v>1</v>
      </c>
      <c r="AI3" s="4">
        <v>1</v>
      </c>
      <c r="AJ3" s="4">
        <v>1</v>
      </c>
      <c r="AK3" s="4">
        <v>1</v>
      </c>
      <c r="AL3" s="4">
        <v>1</v>
      </c>
      <c r="AM3" s="4" t="s">
        <v>140</v>
      </c>
      <c r="AN3" s="4" t="s">
        <v>140</v>
      </c>
      <c r="AO3" s="4" t="s">
        <v>60</v>
      </c>
    </row>
    <row r="4" spans="1:41" hidden="1" x14ac:dyDescent="0.2">
      <c r="A4" s="13">
        <f t="shared" si="0"/>
        <v>1</v>
      </c>
      <c r="B4" s="13">
        <f t="shared" si="1"/>
        <v>1</v>
      </c>
      <c r="C4" s="13" t="str">
        <f>VLOOKUP(B4,Correspondance!$D$3:$E$14,2,FALSE)</f>
        <v>Janvier</v>
      </c>
      <c r="D4" s="15" t="str">
        <f>VLOOKUP(G4,Correspondance!$A$3:$B$10,2,FALSE)</f>
        <v>ASF</v>
      </c>
      <c r="E4" s="1" t="s">
        <v>39</v>
      </c>
      <c r="F4" s="2" t="s">
        <v>169</v>
      </c>
      <c r="G4" s="3" t="s">
        <v>41</v>
      </c>
      <c r="H4" s="4" t="s">
        <v>78</v>
      </c>
      <c r="I4" s="4" t="s">
        <v>79</v>
      </c>
      <c r="J4" s="5" t="s">
        <v>41</v>
      </c>
      <c r="K4" s="6">
        <v>100</v>
      </c>
      <c r="L4" s="4" t="s">
        <v>177</v>
      </c>
      <c r="M4" s="4" t="s">
        <v>174</v>
      </c>
      <c r="N4" s="4" t="s">
        <v>66</v>
      </c>
      <c r="O4" s="4" t="s">
        <v>175</v>
      </c>
      <c r="P4" s="4" t="s">
        <v>178</v>
      </c>
      <c r="Q4" s="4" t="s">
        <v>49</v>
      </c>
      <c r="R4" s="4">
        <v>1</v>
      </c>
      <c r="S4" s="4">
        <v>1</v>
      </c>
      <c r="T4" s="4">
        <v>1</v>
      </c>
      <c r="U4" s="4">
        <v>1</v>
      </c>
      <c r="V4" s="4">
        <v>1</v>
      </c>
      <c r="W4" s="4">
        <v>1</v>
      </c>
      <c r="X4" s="4">
        <v>1</v>
      </c>
      <c r="Y4" s="4">
        <v>1</v>
      </c>
      <c r="Z4" s="4" t="s">
        <v>140</v>
      </c>
      <c r="AA4" s="4">
        <v>1</v>
      </c>
      <c r="AB4" s="4">
        <v>1</v>
      </c>
      <c r="AC4" s="4">
        <v>1</v>
      </c>
      <c r="AD4" s="4">
        <v>1</v>
      </c>
      <c r="AE4" s="4">
        <v>1</v>
      </c>
      <c r="AF4" s="4" t="s">
        <v>140</v>
      </c>
      <c r="AG4" s="4">
        <v>1</v>
      </c>
      <c r="AH4" s="4" t="s">
        <v>140</v>
      </c>
      <c r="AI4" s="4">
        <v>1</v>
      </c>
      <c r="AJ4" s="4" t="s">
        <v>140</v>
      </c>
      <c r="AK4" s="4">
        <v>1</v>
      </c>
      <c r="AL4" s="4">
        <v>1</v>
      </c>
      <c r="AM4" s="4">
        <v>1</v>
      </c>
      <c r="AN4" s="4">
        <v>1</v>
      </c>
      <c r="AO4" s="4" t="s">
        <v>60</v>
      </c>
    </row>
    <row r="5" spans="1:41" hidden="1" x14ac:dyDescent="0.2">
      <c r="A5" s="13">
        <f t="shared" si="0"/>
        <v>1</v>
      </c>
      <c r="B5" s="13">
        <f t="shared" si="1"/>
        <v>1</v>
      </c>
      <c r="C5" s="13" t="str">
        <f>VLOOKUP(B5,Correspondance!$D$3:$E$14,2,FALSE)</f>
        <v>Janvier</v>
      </c>
      <c r="D5" s="15" t="str">
        <f>VLOOKUP(G5,Correspondance!$A$3:$B$10,2,FALSE)</f>
        <v>ASF</v>
      </c>
      <c r="E5" s="1" t="s">
        <v>39</v>
      </c>
      <c r="F5" s="2" t="s">
        <v>169</v>
      </c>
      <c r="G5" s="3" t="s">
        <v>41</v>
      </c>
      <c r="H5" s="4" t="s">
        <v>179</v>
      </c>
      <c r="I5" s="4" t="s">
        <v>180</v>
      </c>
      <c r="J5" s="5" t="s">
        <v>41</v>
      </c>
      <c r="K5" s="6">
        <v>98</v>
      </c>
      <c r="L5" s="4" t="s">
        <v>181</v>
      </c>
      <c r="M5" s="4" t="s">
        <v>174</v>
      </c>
      <c r="N5" s="4" t="s">
        <v>66</v>
      </c>
      <c r="O5" s="4" t="s">
        <v>99</v>
      </c>
      <c r="P5" s="4" t="s">
        <v>182</v>
      </c>
      <c r="Q5" s="4" t="s">
        <v>49</v>
      </c>
      <c r="R5" s="4">
        <v>1</v>
      </c>
      <c r="S5" s="4">
        <v>1</v>
      </c>
      <c r="T5" s="4">
        <v>1</v>
      </c>
      <c r="U5" s="4">
        <v>1</v>
      </c>
      <c r="V5" s="4">
        <v>1</v>
      </c>
      <c r="W5" s="4">
        <v>1</v>
      </c>
      <c r="X5" s="4">
        <v>1</v>
      </c>
      <c r="Y5" s="4">
        <v>1</v>
      </c>
      <c r="Z5" s="4">
        <v>0</v>
      </c>
      <c r="AA5" s="4">
        <v>1</v>
      </c>
      <c r="AB5" s="4">
        <v>1</v>
      </c>
      <c r="AC5" s="4">
        <v>1</v>
      </c>
      <c r="AD5" s="4">
        <v>1</v>
      </c>
      <c r="AE5" s="4">
        <v>1</v>
      </c>
      <c r="AF5" s="4" t="s">
        <v>140</v>
      </c>
      <c r="AG5" s="4">
        <v>1</v>
      </c>
      <c r="AH5" s="4">
        <v>1</v>
      </c>
      <c r="AI5" s="4">
        <v>1</v>
      </c>
      <c r="AJ5" s="4">
        <v>1</v>
      </c>
      <c r="AK5" s="4">
        <v>1</v>
      </c>
      <c r="AL5" s="4" t="s">
        <v>140</v>
      </c>
      <c r="AM5" s="4" t="s">
        <v>140</v>
      </c>
      <c r="AN5" s="4" t="s">
        <v>140</v>
      </c>
      <c r="AO5" s="4" t="s">
        <v>60</v>
      </c>
    </row>
    <row r="6" spans="1:41" hidden="1" x14ac:dyDescent="0.2">
      <c r="A6" s="13">
        <f t="shared" si="0"/>
        <v>1</v>
      </c>
      <c r="B6" s="13">
        <f t="shared" si="1"/>
        <v>1</v>
      </c>
      <c r="C6" s="13" t="str">
        <f>VLOOKUP(B6,Correspondance!$D$3:$E$14,2,FALSE)</f>
        <v>Janvier</v>
      </c>
      <c r="D6" s="15" t="str">
        <f>VLOOKUP(G6,Correspondance!$A$3:$B$10,2,FALSE)</f>
        <v>ASF</v>
      </c>
      <c r="E6" s="1" t="s">
        <v>39</v>
      </c>
      <c r="F6" s="2" t="s">
        <v>169</v>
      </c>
      <c r="G6" s="3" t="s">
        <v>41</v>
      </c>
      <c r="H6" s="4" t="s">
        <v>179</v>
      </c>
      <c r="I6" s="4" t="s">
        <v>180</v>
      </c>
      <c r="J6" s="5" t="s">
        <v>41</v>
      </c>
      <c r="K6" s="6">
        <v>100</v>
      </c>
      <c r="L6" s="4" t="s">
        <v>183</v>
      </c>
      <c r="M6" s="4" t="s">
        <v>184</v>
      </c>
      <c r="N6" s="4" t="s">
        <v>66</v>
      </c>
      <c r="O6" s="4" t="s">
        <v>99</v>
      </c>
      <c r="P6" s="4" t="s">
        <v>185</v>
      </c>
      <c r="Q6" s="4" t="s">
        <v>49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 t="s">
        <v>140</v>
      </c>
      <c r="AA6" s="4">
        <v>1</v>
      </c>
      <c r="AB6" s="4">
        <v>1</v>
      </c>
      <c r="AC6" s="4">
        <v>1</v>
      </c>
      <c r="AD6" s="4">
        <v>1</v>
      </c>
      <c r="AE6" s="4">
        <v>1</v>
      </c>
      <c r="AF6" s="4" t="s">
        <v>140</v>
      </c>
      <c r="AG6" s="4">
        <v>1</v>
      </c>
      <c r="AH6" s="4" t="s">
        <v>140</v>
      </c>
      <c r="AI6" s="4">
        <v>1</v>
      </c>
      <c r="AJ6" s="4">
        <v>1</v>
      </c>
      <c r="AK6" s="4">
        <v>1</v>
      </c>
      <c r="AL6" s="4">
        <v>1</v>
      </c>
      <c r="AM6" s="4" t="s">
        <v>140</v>
      </c>
      <c r="AN6" s="4" t="s">
        <v>140</v>
      </c>
      <c r="AO6" s="4" t="s">
        <v>60</v>
      </c>
    </row>
    <row r="7" spans="1:41" hidden="1" x14ac:dyDescent="0.2">
      <c r="A7" s="13">
        <f t="shared" si="0"/>
        <v>1</v>
      </c>
      <c r="B7" s="13">
        <f t="shared" si="1"/>
        <v>1</v>
      </c>
      <c r="C7" s="13" t="str">
        <f>VLOOKUP(B7,Correspondance!$D$3:$E$14,2,FALSE)</f>
        <v>Janvier</v>
      </c>
      <c r="D7" s="15" t="str">
        <f>VLOOKUP(G7,Correspondance!$A$3:$B$10,2,FALSE)</f>
        <v>ASF</v>
      </c>
      <c r="E7" s="1" t="s">
        <v>39</v>
      </c>
      <c r="F7" s="2" t="s">
        <v>169</v>
      </c>
      <c r="G7" s="3" t="s">
        <v>41</v>
      </c>
      <c r="H7" s="4" t="s">
        <v>82</v>
      </c>
      <c r="I7" s="4" t="s">
        <v>83</v>
      </c>
      <c r="J7" s="5" t="s">
        <v>57</v>
      </c>
      <c r="K7" s="6">
        <v>100</v>
      </c>
      <c r="L7" s="4" t="s">
        <v>186</v>
      </c>
      <c r="M7" s="4" t="s">
        <v>174</v>
      </c>
      <c r="N7" s="4" t="s">
        <v>46</v>
      </c>
      <c r="O7" s="4" t="s">
        <v>175</v>
      </c>
      <c r="P7" s="4" t="s">
        <v>187</v>
      </c>
      <c r="Q7" s="4" t="s">
        <v>49</v>
      </c>
      <c r="R7" s="4">
        <v>1</v>
      </c>
      <c r="S7" s="4">
        <v>1</v>
      </c>
      <c r="T7" s="4">
        <v>1</v>
      </c>
      <c r="U7" s="4">
        <v>1</v>
      </c>
      <c r="V7" s="4">
        <v>1</v>
      </c>
      <c r="W7" s="4">
        <v>1</v>
      </c>
      <c r="X7" s="4">
        <v>1</v>
      </c>
      <c r="Y7" s="4" t="s">
        <v>140</v>
      </c>
      <c r="Z7" s="4">
        <v>1</v>
      </c>
      <c r="AA7" s="4">
        <v>1</v>
      </c>
      <c r="AB7" s="4">
        <v>1</v>
      </c>
      <c r="AC7" s="4">
        <v>1</v>
      </c>
      <c r="AD7" s="4">
        <v>1</v>
      </c>
      <c r="AE7" s="4">
        <v>1</v>
      </c>
      <c r="AF7" s="4" t="s">
        <v>140</v>
      </c>
      <c r="AG7" s="4">
        <v>1</v>
      </c>
      <c r="AH7" s="4">
        <v>1</v>
      </c>
      <c r="AI7" s="4">
        <v>1</v>
      </c>
      <c r="AJ7" s="4">
        <v>1</v>
      </c>
      <c r="AK7" s="4">
        <v>1</v>
      </c>
      <c r="AL7" s="4">
        <v>1</v>
      </c>
      <c r="AM7" s="4">
        <v>1</v>
      </c>
      <c r="AN7" s="4">
        <v>1</v>
      </c>
      <c r="AO7" s="4" t="s">
        <v>72</v>
      </c>
    </row>
    <row r="8" spans="1:41" hidden="1" x14ac:dyDescent="0.2">
      <c r="A8" s="13">
        <f t="shared" si="0"/>
        <v>1</v>
      </c>
      <c r="B8" s="13">
        <f t="shared" si="1"/>
        <v>1</v>
      </c>
      <c r="C8" s="13" t="str">
        <f>VLOOKUP(B8,Correspondance!$D$3:$E$14,2,FALSE)</f>
        <v>Janvier</v>
      </c>
      <c r="D8" s="15" t="str">
        <f>VLOOKUP(G8,Correspondance!$A$3:$B$10,2,FALSE)</f>
        <v>ASF</v>
      </c>
      <c r="E8" s="1" t="s">
        <v>39</v>
      </c>
      <c r="F8" s="2" t="s">
        <v>169</v>
      </c>
      <c r="G8" s="3" t="s">
        <v>41</v>
      </c>
      <c r="H8" s="4" t="s">
        <v>82</v>
      </c>
      <c r="I8" s="4" t="s">
        <v>83</v>
      </c>
      <c r="J8" s="5" t="s">
        <v>41</v>
      </c>
      <c r="K8" s="6">
        <v>100</v>
      </c>
      <c r="L8" s="4" t="s">
        <v>186</v>
      </c>
      <c r="M8" s="4" t="s">
        <v>174</v>
      </c>
      <c r="N8" s="4" t="s">
        <v>66</v>
      </c>
      <c r="O8" s="4" t="s">
        <v>175</v>
      </c>
      <c r="P8" s="4" t="s">
        <v>188</v>
      </c>
      <c r="Q8" s="4" t="s">
        <v>49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s="4">
        <v>1</v>
      </c>
      <c r="AF8" s="4" t="s">
        <v>140</v>
      </c>
      <c r="AG8" s="4">
        <v>1</v>
      </c>
      <c r="AH8" s="4">
        <v>1</v>
      </c>
      <c r="AI8" s="4">
        <v>1</v>
      </c>
      <c r="AJ8" s="4">
        <v>1</v>
      </c>
      <c r="AK8" s="4">
        <v>1</v>
      </c>
      <c r="AL8" s="4">
        <v>1</v>
      </c>
      <c r="AM8" s="4" t="s">
        <v>140</v>
      </c>
      <c r="AN8" s="4" t="s">
        <v>140</v>
      </c>
      <c r="AO8" s="4" t="s">
        <v>60</v>
      </c>
    </row>
    <row r="9" spans="1:41" hidden="1" x14ac:dyDescent="0.2">
      <c r="A9" s="13">
        <f t="shared" si="0"/>
        <v>1</v>
      </c>
      <c r="B9" s="13">
        <f t="shared" si="1"/>
        <v>1</v>
      </c>
      <c r="C9" s="13" t="str">
        <f>VLOOKUP(B9,Correspondance!$D$3:$E$14,2,FALSE)</f>
        <v>Janvier</v>
      </c>
      <c r="D9" s="15" t="str">
        <f>VLOOKUP(G9,Correspondance!$A$3:$B$10,2,FALSE)</f>
        <v>ASF</v>
      </c>
      <c r="E9" s="1" t="s">
        <v>39</v>
      </c>
      <c r="F9" s="2" t="s">
        <v>169</v>
      </c>
      <c r="G9" s="3" t="s">
        <v>41</v>
      </c>
      <c r="H9" s="4" t="s">
        <v>82</v>
      </c>
      <c r="I9" s="4" t="s">
        <v>83</v>
      </c>
      <c r="J9" s="5" t="s">
        <v>41</v>
      </c>
      <c r="K9" s="6">
        <v>100</v>
      </c>
      <c r="L9" s="4" t="s">
        <v>189</v>
      </c>
      <c r="M9" s="4" t="s">
        <v>190</v>
      </c>
      <c r="N9" s="4" t="s">
        <v>66</v>
      </c>
      <c r="O9" s="4" t="s">
        <v>175</v>
      </c>
      <c r="P9" s="4" t="s">
        <v>188</v>
      </c>
      <c r="Q9" s="4" t="s">
        <v>49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>
        <v>1</v>
      </c>
      <c r="AE9" s="4">
        <v>1</v>
      </c>
      <c r="AF9" s="4" t="s">
        <v>140</v>
      </c>
      <c r="AG9" s="4">
        <v>1</v>
      </c>
      <c r="AH9" s="4">
        <v>1</v>
      </c>
      <c r="AI9" s="4">
        <v>1</v>
      </c>
      <c r="AJ9" s="4">
        <v>1</v>
      </c>
      <c r="AK9" s="4">
        <v>1</v>
      </c>
      <c r="AL9" s="4">
        <v>1</v>
      </c>
      <c r="AM9" s="4">
        <v>1</v>
      </c>
      <c r="AN9" s="4">
        <v>1</v>
      </c>
      <c r="AO9" s="4" t="s">
        <v>60</v>
      </c>
    </row>
    <row r="10" spans="1:41" hidden="1" x14ac:dyDescent="0.2">
      <c r="A10" s="13">
        <f t="shared" si="0"/>
        <v>1</v>
      </c>
      <c r="B10" s="13">
        <f t="shared" si="1"/>
        <v>1</v>
      </c>
      <c r="C10" s="13" t="str">
        <f>VLOOKUP(B10,Correspondance!$D$3:$E$14,2,FALSE)</f>
        <v>Janvier</v>
      </c>
      <c r="D10" s="15" t="str">
        <f>VLOOKUP(G10,Correspondance!$A$3:$B$10,2,FALSE)</f>
        <v>ASF</v>
      </c>
      <c r="E10" s="1" t="s">
        <v>39</v>
      </c>
      <c r="F10" s="2" t="s">
        <v>169</v>
      </c>
      <c r="G10" s="3" t="s">
        <v>52</v>
      </c>
      <c r="H10" s="4" t="s">
        <v>191</v>
      </c>
      <c r="I10" s="4" t="s">
        <v>192</v>
      </c>
      <c r="J10" s="5" t="s">
        <v>57</v>
      </c>
      <c r="K10" s="6">
        <v>100</v>
      </c>
      <c r="L10" s="4" t="s">
        <v>193</v>
      </c>
      <c r="M10" s="4" t="s">
        <v>174</v>
      </c>
      <c r="N10" s="4" t="s">
        <v>46</v>
      </c>
      <c r="O10" s="4" t="s">
        <v>175</v>
      </c>
      <c r="P10" s="4" t="s">
        <v>187</v>
      </c>
      <c r="Q10" s="4" t="s">
        <v>49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 t="s">
        <v>140</v>
      </c>
      <c r="Z10" s="4">
        <v>1</v>
      </c>
      <c r="AA10" s="4">
        <v>1</v>
      </c>
      <c r="AB10" s="4">
        <v>1</v>
      </c>
      <c r="AC10" s="4">
        <v>1</v>
      </c>
      <c r="AD10" s="4">
        <v>1</v>
      </c>
      <c r="AE10" s="4">
        <v>1</v>
      </c>
      <c r="AF10" s="4" t="s">
        <v>140</v>
      </c>
      <c r="AG10" s="4">
        <v>1</v>
      </c>
      <c r="AH10" s="4">
        <v>1</v>
      </c>
      <c r="AI10" s="4">
        <v>1</v>
      </c>
      <c r="AJ10" s="4">
        <v>1</v>
      </c>
      <c r="AK10" s="4">
        <v>1</v>
      </c>
      <c r="AL10" s="4">
        <v>1</v>
      </c>
      <c r="AM10" s="4">
        <v>1</v>
      </c>
      <c r="AN10" s="4">
        <v>1</v>
      </c>
      <c r="AO10" s="4" t="s">
        <v>72</v>
      </c>
    </row>
    <row r="11" spans="1:41" hidden="1" x14ac:dyDescent="0.2">
      <c r="A11" s="13">
        <f t="shared" si="0"/>
        <v>1</v>
      </c>
      <c r="B11" s="13">
        <f t="shared" si="1"/>
        <v>1</v>
      </c>
      <c r="C11" s="13" t="str">
        <f>VLOOKUP(B11,Correspondance!$D$3:$E$14,2,FALSE)</f>
        <v>Janvier</v>
      </c>
      <c r="D11" s="15" t="str">
        <f>VLOOKUP(G11,Correspondance!$A$3:$B$10,2,FALSE)</f>
        <v>ASF</v>
      </c>
      <c r="E11" s="1" t="s">
        <v>39</v>
      </c>
      <c r="F11" s="2" t="s">
        <v>169</v>
      </c>
      <c r="G11" s="3" t="s">
        <v>52</v>
      </c>
      <c r="H11" s="4" t="s">
        <v>1203</v>
      </c>
      <c r="I11" s="4" t="s">
        <v>194</v>
      </c>
      <c r="J11" s="5" t="s">
        <v>44</v>
      </c>
      <c r="K11" s="6">
        <v>100</v>
      </c>
      <c r="L11" s="4" t="s">
        <v>195</v>
      </c>
      <c r="M11" s="4" t="s">
        <v>174</v>
      </c>
      <c r="N11" s="4" t="s">
        <v>46</v>
      </c>
      <c r="O11" s="4" t="s">
        <v>99</v>
      </c>
      <c r="P11" s="4" t="s">
        <v>196</v>
      </c>
      <c r="Q11" s="4" t="s">
        <v>49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 t="s">
        <v>140</v>
      </c>
      <c r="Z11" s="4" t="s">
        <v>140</v>
      </c>
      <c r="AA11" s="4">
        <v>1</v>
      </c>
      <c r="AB11" s="4">
        <v>1</v>
      </c>
      <c r="AC11" s="4">
        <v>1</v>
      </c>
      <c r="AD11" s="4">
        <v>1</v>
      </c>
      <c r="AE11" s="4">
        <v>1</v>
      </c>
      <c r="AF11" s="4" t="s">
        <v>140</v>
      </c>
      <c r="AG11" s="4">
        <v>1</v>
      </c>
      <c r="AH11" s="4">
        <v>1</v>
      </c>
      <c r="AI11" s="4">
        <v>1</v>
      </c>
      <c r="AJ11" s="4">
        <v>1</v>
      </c>
      <c r="AK11" s="4">
        <v>1</v>
      </c>
      <c r="AL11" s="4" t="s">
        <v>140</v>
      </c>
      <c r="AM11" s="4" t="s">
        <v>140</v>
      </c>
      <c r="AN11" s="4">
        <v>1</v>
      </c>
      <c r="AO11" s="4" t="s">
        <v>72</v>
      </c>
    </row>
    <row r="12" spans="1:41" hidden="1" x14ac:dyDescent="0.2">
      <c r="A12" s="13">
        <f t="shared" si="0"/>
        <v>1</v>
      </c>
      <c r="B12" s="13">
        <f t="shared" si="1"/>
        <v>1</v>
      </c>
      <c r="C12" s="13" t="str">
        <f>VLOOKUP(B12,Correspondance!$D$3:$E$14,2,FALSE)</f>
        <v>Janvier</v>
      </c>
      <c r="D12" s="15" t="str">
        <f>VLOOKUP(G12,Correspondance!$A$3:$B$10,2,FALSE)</f>
        <v>ASF</v>
      </c>
      <c r="E12" s="1" t="s">
        <v>39</v>
      </c>
      <c r="F12" s="2" t="s">
        <v>169</v>
      </c>
      <c r="G12" s="3" t="s">
        <v>61</v>
      </c>
      <c r="H12" s="4" t="s">
        <v>197</v>
      </c>
      <c r="I12" s="4" t="s">
        <v>198</v>
      </c>
      <c r="J12" s="5" t="s">
        <v>61</v>
      </c>
      <c r="K12" s="6">
        <v>94.72</v>
      </c>
      <c r="L12" s="4" t="s">
        <v>199</v>
      </c>
      <c r="M12" s="4" t="s">
        <v>174</v>
      </c>
      <c r="N12" s="4" t="s">
        <v>66</v>
      </c>
      <c r="O12" s="4" t="s">
        <v>99</v>
      </c>
      <c r="P12" s="4" t="s">
        <v>200</v>
      </c>
      <c r="Q12" s="4" t="s">
        <v>49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 t="s">
        <v>140</v>
      </c>
      <c r="Z12" s="4" t="s">
        <v>140</v>
      </c>
      <c r="AA12" s="4">
        <v>0</v>
      </c>
      <c r="AB12" s="4">
        <v>1</v>
      </c>
      <c r="AC12" s="4">
        <v>1</v>
      </c>
      <c r="AD12" s="4">
        <v>1</v>
      </c>
      <c r="AE12" s="4">
        <v>1</v>
      </c>
      <c r="AF12" s="4" t="s">
        <v>140</v>
      </c>
      <c r="AG12" s="4">
        <v>1</v>
      </c>
      <c r="AH12" s="4">
        <v>1</v>
      </c>
      <c r="AI12" s="4">
        <v>0</v>
      </c>
      <c r="AJ12" s="4">
        <v>1</v>
      </c>
      <c r="AK12" s="4">
        <v>1</v>
      </c>
      <c r="AL12" s="4" t="s">
        <v>140</v>
      </c>
      <c r="AM12" s="4" t="s">
        <v>140</v>
      </c>
      <c r="AN12" s="4" t="s">
        <v>140</v>
      </c>
      <c r="AO12" s="4" t="s">
        <v>1066</v>
      </c>
    </row>
    <row r="13" spans="1:41" hidden="1" x14ac:dyDescent="0.2">
      <c r="A13" s="13">
        <f t="shared" si="0"/>
        <v>1</v>
      </c>
      <c r="B13" s="13">
        <f t="shared" si="1"/>
        <v>1</v>
      </c>
      <c r="C13" s="13" t="str">
        <f>VLOOKUP(B13,Correspondance!$D$3:$E$14,2,FALSE)</f>
        <v>Janvier</v>
      </c>
      <c r="D13" s="15" t="str">
        <f>VLOOKUP(G13,Correspondance!$A$3:$B$10,2,FALSE)</f>
        <v>ASF</v>
      </c>
      <c r="E13" s="1" t="s">
        <v>39</v>
      </c>
      <c r="F13" s="2" t="s">
        <v>169</v>
      </c>
      <c r="G13" s="3" t="s">
        <v>61</v>
      </c>
      <c r="H13" s="4" t="s">
        <v>201</v>
      </c>
      <c r="I13" s="4" t="s">
        <v>202</v>
      </c>
      <c r="J13" s="5" t="s">
        <v>57</v>
      </c>
      <c r="K13" s="6">
        <v>95.6</v>
      </c>
      <c r="L13" s="4" t="s">
        <v>203</v>
      </c>
      <c r="M13" s="4" t="s">
        <v>174</v>
      </c>
      <c r="N13" s="4" t="s">
        <v>46</v>
      </c>
      <c r="O13" s="4" t="s">
        <v>175</v>
      </c>
      <c r="P13" s="4" t="s">
        <v>204</v>
      </c>
      <c r="Q13" s="4" t="s">
        <v>49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 t="s">
        <v>140</v>
      </c>
      <c r="Z13" s="4">
        <v>1</v>
      </c>
      <c r="AA13" s="4">
        <v>1</v>
      </c>
      <c r="AB13" s="4">
        <v>1</v>
      </c>
      <c r="AC13" s="4">
        <v>1</v>
      </c>
      <c r="AD13" s="4">
        <v>1</v>
      </c>
      <c r="AE13" s="4">
        <v>1</v>
      </c>
      <c r="AF13" s="4" t="s">
        <v>140</v>
      </c>
      <c r="AG13" s="4">
        <v>1</v>
      </c>
      <c r="AH13" s="4">
        <v>1</v>
      </c>
      <c r="AI13" s="4">
        <v>0</v>
      </c>
      <c r="AJ13" s="4">
        <v>1</v>
      </c>
      <c r="AK13" s="4">
        <v>1</v>
      </c>
      <c r="AL13" s="4">
        <v>1</v>
      </c>
      <c r="AM13" s="4" t="s">
        <v>140</v>
      </c>
      <c r="AN13" s="4">
        <v>1</v>
      </c>
      <c r="AO13" s="4" t="s">
        <v>134</v>
      </c>
    </row>
    <row r="14" spans="1:41" hidden="1" x14ac:dyDescent="0.2">
      <c r="A14" s="13">
        <f t="shared" si="0"/>
        <v>1</v>
      </c>
      <c r="B14" s="13">
        <f t="shared" si="1"/>
        <v>1</v>
      </c>
      <c r="C14" s="13" t="str">
        <f>VLOOKUP(B14,Correspondance!$D$3:$E$14,2,FALSE)</f>
        <v>Janvier</v>
      </c>
      <c r="D14" s="15" t="str">
        <f>VLOOKUP(G14,Correspondance!$A$3:$B$10,2,FALSE)</f>
        <v>ASF</v>
      </c>
      <c r="E14" s="1" t="s">
        <v>39</v>
      </c>
      <c r="F14" s="2" t="s">
        <v>169</v>
      </c>
      <c r="G14" s="3" t="s">
        <v>61</v>
      </c>
      <c r="H14" s="4" t="s">
        <v>201</v>
      </c>
      <c r="I14" s="4" t="s">
        <v>202</v>
      </c>
      <c r="J14" s="5" t="s">
        <v>44</v>
      </c>
      <c r="K14" s="6">
        <v>100</v>
      </c>
      <c r="L14" s="4" t="s">
        <v>205</v>
      </c>
      <c r="M14" s="4" t="s">
        <v>206</v>
      </c>
      <c r="N14" s="4" t="s">
        <v>46</v>
      </c>
      <c r="O14" s="4" t="s">
        <v>47</v>
      </c>
      <c r="P14" s="4" t="s">
        <v>207</v>
      </c>
      <c r="Q14" s="4" t="s">
        <v>49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 t="s">
        <v>140</v>
      </c>
      <c r="Z14" s="4" t="s">
        <v>140</v>
      </c>
      <c r="AA14" s="4">
        <v>1</v>
      </c>
      <c r="AB14" s="4">
        <v>1</v>
      </c>
      <c r="AC14" s="4">
        <v>1</v>
      </c>
      <c r="AD14" s="4">
        <v>1</v>
      </c>
      <c r="AE14" s="4">
        <v>1</v>
      </c>
      <c r="AF14" s="4" t="s">
        <v>140</v>
      </c>
      <c r="AG14" s="4">
        <v>1</v>
      </c>
      <c r="AH14" s="4" t="s">
        <v>140</v>
      </c>
      <c r="AI14" s="4">
        <v>1</v>
      </c>
      <c r="AJ14" s="4">
        <v>1</v>
      </c>
      <c r="AK14" s="4">
        <v>1</v>
      </c>
      <c r="AL14" s="4" t="s">
        <v>140</v>
      </c>
      <c r="AM14" s="4">
        <v>1</v>
      </c>
      <c r="AN14" s="4">
        <v>1</v>
      </c>
      <c r="AO14" s="4" t="s">
        <v>72</v>
      </c>
    </row>
    <row r="15" spans="1:41" hidden="1" x14ac:dyDescent="0.2">
      <c r="A15" s="13">
        <f t="shared" si="0"/>
        <v>1</v>
      </c>
      <c r="B15" s="13">
        <f t="shared" si="1"/>
        <v>1</v>
      </c>
      <c r="C15" s="13" t="str">
        <f>VLOOKUP(B15,Correspondance!$D$3:$E$14,2,FALSE)</f>
        <v>Janvier</v>
      </c>
      <c r="D15" s="15" t="str">
        <f>VLOOKUP(G15,Correspondance!$A$3:$B$10,2,FALSE)</f>
        <v>ASF</v>
      </c>
      <c r="E15" s="1" t="s">
        <v>39</v>
      </c>
      <c r="F15" s="2" t="s">
        <v>169</v>
      </c>
      <c r="G15" s="3" t="s">
        <v>61</v>
      </c>
      <c r="H15" s="4" t="s">
        <v>1204</v>
      </c>
      <c r="I15" s="4" t="s">
        <v>208</v>
      </c>
      <c r="J15" s="5" t="s">
        <v>61</v>
      </c>
      <c r="K15" s="6">
        <v>100</v>
      </c>
      <c r="L15" s="4" t="s">
        <v>209</v>
      </c>
      <c r="M15" s="4" t="s">
        <v>174</v>
      </c>
      <c r="N15" s="4" t="s">
        <v>66</v>
      </c>
      <c r="O15" s="4" t="s">
        <v>99</v>
      </c>
      <c r="P15" s="4" t="s">
        <v>200</v>
      </c>
      <c r="Q15" s="4" t="s">
        <v>49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 t="s">
        <v>140</v>
      </c>
      <c r="Z15" s="4" t="s">
        <v>140</v>
      </c>
      <c r="AA15" s="4">
        <v>1</v>
      </c>
      <c r="AB15" s="4">
        <v>1</v>
      </c>
      <c r="AC15" s="4">
        <v>1</v>
      </c>
      <c r="AD15" s="4">
        <v>1</v>
      </c>
      <c r="AE15" s="4">
        <v>1</v>
      </c>
      <c r="AF15" s="4" t="s">
        <v>140</v>
      </c>
      <c r="AG15" s="4">
        <v>1</v>
      </c>
      <c r="AH15" s="4">
        <v>1</v>
      </c>
      <c r="AI15" s="4">
        <v>1</v>
      </c>
      <c r="AJ15" s="4">
        <v>1</v>
      </c>
      <c r="AK15" s="4">
        <v>1</v>
      </c>
      <c r="AL15" s="4" t="s">
        <v>140</v>
      </c>
      <c r="AM15" s="4" t="s">
        <v>140</v>
      </c>
      <c r="AN15" s="4" t="s">
        <v>140</v>
      </c>
      <c r="AO15" s="4" t="s">
        <v>565</v>
      </c>
    </row>
    <row r="16" spans="1:41" hidden="1" x14ac:dyDescent="0.2">
      <c r="A16" s="13">
        <f t="shared" si="0"/>
        <v>1</v>
      </c>
      <c r="B16" s="13">
        <f t="shared" si="1"/>
        <v>1</v>
      </c>
      <c r="C16" s="13" t="str">
        <f>VLOOKUP(B16,Correspondance!$D$3:$E$14,2,FALSE)</f>
        <v>Janvier</v>
      </c>
      <c r="D16" s="15" t="str">
        <f>VLOOKUP(G16,Correspondance!$A$3:$B$10,2,FALSE)</f>
        <v>ASF</v>
      </c>
      <c r="E16" s="1" t="s">
        <v>72</v>
      </c>
      <c r="F16" s="2" t="s">
        <v>169</v>
      </c>
      <c r="G16" s="3" t="s">
        <v>41</v>
      </c>
      <c r="H16" s="4" t="s">
        <v>905</v>
      </c>
      <c r="I16" s="4" t="s">
        <v>170</v>
      </c>
      <c r="J16" s="5" t="s">
        <v>41</v>
      </c>
      <c r="K16" s="6">
        <v>100</v>
      </c>
      <c r="L16" s="4" t="s">
        <v>210</v>
      </c>
      <c r="M16" s="4" t="s">
        <v>211</v>
      </c>
      <c r="N16" s="4" t="s">
        <v>66</v>
      </c>
      <c r="O16" s="4" t="s">
        <v>99</v>
      </c>
      <c r="P16" s="4" t="s">
        <v>212</v>
      </c>
      <c r="Q16" s="4" t="s">
        <v>49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 t="s">
        <v>140</v>
      </c>
      <c r="Z16" s="4" t="s">
        <v>140</v>
      </c>
      <c r="AA16" s="4">
        <v>1</v>
      </c>
      <c r="AB16" s="4">
        <v>1</v>
      </c>
      <c r="AC16" s="4">
        <v>1</v>
      </c>
      <c r="AD16" s="4">
        <v>1</v>
      </c>
      <c r="AE16" s="4">
        <v>1</v>
      </c>
      <c r="AF16" s="4" t="s">
        <v>140</v>
      </c>
      <c r="AG16" s="4">
        <v>1</v>
      </c>
      <c r="AH16" s="4" t="s">
        <v>140</v>
      </c>
      <c r="AI16" s="4">
        <v>1</v>
      </c>
      <c r="AJ16" s="4">
        <v>1</v>
      </c>
      <c r="AK16" s="4">
        <v>1</v>
      </c>
      <c r="AL16" s="4">
        <v>1</v>
      </c>
      <c r="AM16" s="4" t="s">
        <v>140</v>
      </c>
      <c r="AN16" s="4" t="s">
        <v>140</v>
      </c>
      <c r="AO16" s="4" t="s">
        <v>60</v>
      </c>
    </row>
    <row r="17" spans="1:41" hidden="1" x14ac:dyDescent="0.2">
      <c r="A17" s="13">
        <f t="shared" si="0"/>
        <v>1</v>
      </c>
      <c r="B17" s="13">
        <f t="shared" si="1"/>
        <v>1</v>
      </c>
      <c r="C17" s="13" t="str">
        <f>VLOOKUP(B17,Correspondance!$D$3:$E$14,2,FALSE)</f>
        <v>Janvier</v>
      </c>
      <c r="D17" s="15" t="str">
        <f>VLOOKUP(G17,Correspondance!$A$3:$B$10,2,FALSE)</f>
        <v>ASF</v>
      </c>
      <c r="E17" s="1" t="s">
        <v>72</v>
      </c>
      <c r="F17" s="2" t="s">
        <v>169</v>
      </c>
      <c r="G17" s="3" t="s">
        <v>41</v>
      </c>
      <c r="H17" s="4" t="s">
        <v>42</v>
      </c>
      <c r="I17" s="4" t="s">
        <v>43</v>
      </c>
      <c r="J17" s="5" t="s">
        <v>57</v>
      </c>
      <c r="K17" s="6">
        <v>100</v>
      </c>
      <c r="L17" s="4" t="s">
        <v>213</v>
      </c>
      <c r="M17" s="4" t="s">
        <v>174</v>
      </c>
      <c r="N17" s="4" t="s">
        <v>46</v>
      </c>
      <c r="O17" s="4" t="s">
        <v>175</v>
      </c>
      <c r="P17" s="4" t="s">
        <v>187</v>
      </c>
      <c r="Q17" s="4" t="s">
        <v>49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 t="s">
        <v>140</v>
      </c>
      <c r="Z17" s="4">
        <v>1</v>
      </c>
      <c r="AA17" s="4">
        <v>1</v>
      </c>
      <c r="AB17" s="4">
        <v>1</v>
      </c>
      <c r="AC17" s="4">
        <v>1</v>
      </c>
      <c r="AD17" s="4">
        <v>1</v>
      </c>
      <c r="AE17" s="4">
        <v>1</v>
      </c>
      <c r="AF17" s="4" t="s">
        <v>140</v>
      </c>
      <c r="AG17" s="4">
        <v>1</v>
      </c>
      <c r="AH17" s="4">
        <v>1</v>
      </c>
      <c r="AI17" s="4">
        <v>1</v>
      </c>
      <c r="AJ17" s="4">
        <v>1</v>
      </c>
      <c r="AK17" s="4">
        <v>1</v>
      </c>
      <c r="AL17" s="4">
        <v>1</v>
      </c>
      <c r="AM17" s="4">
        <v>1</v>
      </c>
      <c r="AN17" s="4">
        <v>1</v>
      </c>
      <c r="AO17" s="4" t="s">
        <v>60</v>
      </c>
    </row>
    <row r="18" spans="1:41" hidden="1" x14ac:dyDescent="0.2">
      <c r="A18" s="13">
        <f t="shared" si="0"/>
        <v>1</v>
      </c>
      <c r="B18" s="13">
        <f t="shared" si="1"/>
        <v>1</v>
      </c>
      <c r="C18" s="13" t="str">
        <f>VLOOKUP(B18,Correspondance!$D$3:$E$14,2,FALSE)</f>
        <v>Janvier</v>
      </c>
      <c r="D18" s="15" t="str">
        <f>VLOOKUP(G18,Correspondance!$A$3:$B$10,2,FALSE)</f>
        <v>ASF</v>
      </c>
      <c r="E18" s="1" t="s">
        <v>72</v>
      </c>
      <c r="F18" s="2" t="s">
        <v>169</v>
      </c>
      <c r="G18" s="3" t="s">
        <v>41</v>
      </c>
      <c r="H18" s="4" t="s">
        <v>78</v>
      </c>
      <c r="I18" s="4" t="s">
        <v>79</v>
      </c>
      <c r="J18" s="5" t="s">
        <v>57</v>
      </c>
      <c r="K18" s="6">
        <v>100</v>
      </c>
      <c r="L18" s="4" t="s">
        <v>214</v>
      </c>
      <c r="M18" s="4" t="s">
        <v>215</v>
      </c>
      <c r="N18" s="4" t="s">
        <v>46</v>
      </c>
      <c r="O18" s="4" t="s">
        <v>175</v>
      </c>
      <c r="P18" s="4" t="s">
        <v>216</v>
      </c>
      <c r="Q18" s="4" t="s">
        <v>49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 t="s">
        <v>140</v>
      </c>
      <c r="Z18" s="4">
        <v>1</v>
      </c>
      <c r="AA18" s="4">
        <v>1</v>
      </c>
      <c r="AB18" s="4">
        <v>1</v>
      </c>
      <c r="AC18" s="4">
        <v>1</v>
      </c>
      <c r="AD18" s="4">
        <v>1</v>
      </c>
      <c r="AE18" s="4">
        <v>1</v>
      </c>
      <c r="AF18" s="4" t="s">
        <v>140</v>
      </c>
      <c r="AG18" s="4">
        <v>1</v>
      </c>
      <c r="AH18" s="4">
        <v>1</v>
      </c>
      <c r="AI18" s="4">
        <v>1</v>
      </c>
      <c r="AJ18" s="4">
        <v>1</v>
      </c>
      <c r="AK18" s="4">
        <v>1</v>
      </c>
      <c r="AL18" s="4">
        <v>1</v>
      </c>
      <c r="AM18" s="4">
        <v>1</v>
      </c>
      <c r="AN18" s="4">
        <v>1</v>
      </c>
      <c r="AO18" s="4" t="s">
        <v>60</v>
      </c>
    </row>
    <row r="19" spans="1:41" hidden="1" x14ac:dyDescent="0.2">
      <c r="A19" s="13">
        <f t="shared" si="0"/>
        <v>1</v>
      </c>
      <c r="B19" s="13">
        <f t="shared" si="1"/>
        <v>1</v>
      </c>
      <c r="C19" s="13" t="str">
        <f>VLOOKUP(B19,Correspondance!$D$3:$E$14,2,FALSE)</f>
        <v>Janvier</v>
      </c>
      <c r="D19" s="15" t="str">
        <f>VLOOKUP(G19,Correspondance!$A$3:$B$10,2,FALSE)</f>
        <v>ASF</v>
      </c>
      <c r="E19" s="1" t="s">
        <v>72</v>
      </c>
      <c r="F19" s="2" t="s">
        <v>169</v>
      </c>
      <c r="G19" s="3" t="s">
        <v>52</v>
      </c>
      <c r="H19" s="4" t="s">
        <v>1203</v>
      </c>
      <c r="I19" s="4" t="s">
        <v>194</v>
      </c>
      <c r="J19" s="5" t="s">
        <v>57</v>
      </c>
      <c r="K19" s="6">
        <v>100</v>
      </c>
      <c r="L19" s="4" t="s">
        <v>217</v>
      </c>
      <c r="M19" s="4" t="s">
        <v>215</v>
      </c>
      <c r="N19" s="4" t="s">
        <v>46</v>
      </c>
      <c r="O19" s="4" t="s">
        <v>99</v>
      </c>
      <c r="P19" s="4" t="s">
        <v>187</v>
      </c>
      <c r="Q19" s="4" t="s">
        <v>49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 t="s">
        <v>140</v>
      </c>
      <c r="Z19" s="4">
        <v>1</v>
      </c>
      <c r="AA19" s="4">
        <v>1</v>
      </c>
      <c r="AB19" s="4">
        <v>1</v>
      </c>
      <c r="AC19" s="4">
        <v>1</v>
      </c>
      <c r="AD19" s="4">
        <v>1</v>
      </c>
      <c r="AE19" s="4">
        <v>1</v>
      </c>
      <c r="AF19" s="4" t="s">
        <v>140</v>
      </c>
      <c r="AG19" s="4">
        <v>1</v>
      </c>
      <c r="AH19" s="4">
        <v>1</v>
      </c>
      <c r="AI19" s="4">
        <v>1</v>
      </c>
      <c r="AJ19" s="4">
        <v>1</v>
      </c>
      <c r="AK19" s="4">
        <v>1</v>
      </c>
      <c r="AL19" s="4">
        <v>1</v>
      </c>
      <c r="AM19" s="4">
        <v>1</v>
      </c>
      <c r="AN19" s="4">
        <v>1</v>
      </c>
      <c r="AO19" s="4" t="s">
        <v>60</v>
      </c>
    </row>
    <row r="20" spans="1:41" hidden="1" x14ac:dyDescent="0.2">
      <c r="A20" s="13">
        <f t="shared" si="0"/>
        <v>1</v>
      </c>
      <c r="B20" s="13">
        <f t="shared" si="1"/>
        <v>1</v>
      </c>
      <c r="C20" s="13" t="str">
        <f>VLOOKUP(B20,Correspondance!$D$3:$E$14,2,FALSE)</f>
        <v>Janvier</v>
      </c>
      <c r="D20" s="15" t="str">
        <f>VLOOKUP(G20,Correspondance!$A$3:$B$10,2,FALSE)</f>
        <v>ASF</v>
      </c>
      <c r="E20" s="1" t="s">
        <v>60</v>
      </c>
      <c r="F20" s="2" t="s">
        <v>169</v>
      </c>
      <c r="G20" s="3" t="s">
        <v>61</v>
      </c>
      <c r="H20" s="4" t="s">
        <v>96</v>
      </c>
      <c r="I20" s="4" t="s">
        <v>97</v>
      </c>
      <c r="J20" s="5" t="s">
        <v>57</v>
      </c>
      <c r="K20" s="6">
        <v>100</v>
      </c>
      <c r="L20" s="4" t="s">
        <v>218</v>
      </c>
      <c r="M20" s="4" t="s">
        <v>174</v>
      </c>
      <c r="N20" s="4" t="s">
        <v>46</v>
      </c>
      <c r="O20" s="4" t="s">
        <v>99</v>
      </c>
      <c r="P20" s="4" t="s">
        <v>219</v>
      </c>
      <c r="Q20" s="4" t="s">
        <v>49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 t="s">
        <v>140</v>
      </c>
      <c r="Z20" s="4">
        <v>1</v>
      </c>
      <c r="AA20" s="4">
        <v>1</v>
      </c>
      <c r="AB20" s="4">
        <v>1</v>
      </c>
      <c r="AC20" s="4">
        <v>1</v>
      </c>
      <c r="AD20" s="4">
        <v>1</v>
      </c>
      <c r="AE20" s="4">
        <v>1</v>
      </c>
      <c r="AF20" s="4" t="s">
        <v>140</v>
      </c>
      <c r="AG20" s="4">
        <v>1</v>
      </c>
      <c r="AH20" s="4">
        <v>1</v>
      </c>
      <c r="AI20" s="4">
        <v>1</v>
      </c>
      <c r="AJ20" s="4">
        <v>1</v>
      </c>
      <c r="AK20" s="4">
        <v>1</v>
      </c>
      <c r="AL20" s="4">
        <v>1</v>
      </c>
      <c r="AM20" s="4">
        <v>1</v>
      </c>
      <c r="AN20" s="4">
        <v>1</v>
      </c>
      <c r="AO20" s="4" t="s">
        <v>304</v>
      </c>
    </row>
    <row r="21" spans="1:41" hidden="1" x14ac:dyDescent="0.2">
      <c r="A21" s="13">
        <f t="shared" si="0"/>
        <v>1</v>
      </c>
      <c r="B21" s="13">
        <f t="shared" si="1"/>
        <v>1</v>
      </c>
      <c r="C21" s="13" t="str">
        <f>VLOOKUP(B21,Correspondance!$D$3:$E$14,2,FALSE)</f>
        <v>Janvier</v>
      </c>
      <c r="D21" s="15" t="str">
        <f>VLOOKUP(G21,Correspondance!$A$3:$B$10,2,FALSE)</f>
        <v>ASF</v>
      </c>
      <c r="E21" s="1" t="s">
        <v>127</v>
      </c>
      <c r="F21" s="2" t="s">
        <v>169</v>
      </c>
      <c r="G21" s="3" t="s">
        <v>41</v>
      </c>
      <c r="H21" s="4" t="s">
        <v>78</v>
      </c>
      <c r="I21" s="4" t="s">
        <v>79</v>
      </c>
      <c r="J21" s="5" t="s">
        <v>57</v>
      </c>
      <c r="K21" s="6">
        <v>100</v>
      </c>
      <c r="L21" s="4" t="s">
        <v>220</v>
      </c>
      <c r="M21" s="4" t="s">
        <v>174</v>
      </c>
      <c r="N21" s="4" t="s">
        <v>46</v>
      </c>
      <c r="O21" s="4" t="s">
        <v>175</v>
      </c>
      <c r="P21" s="4" t="s">
        <v>221</v>
      </c>
      <c r="Q21" s="4" t="s">
        <v>49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 t="s">
        <v>140</v>
      </c>
      <c r="Z21" s="4">
        <v>1</v>
      </c>
      <c r="AA21" s="4">
        <v>1</v>
      </c>
      <c r="AB21" s="4">
        <v>1</v>
      </c>
      <c r="AC21" s="4">
        <v>1</v>
      </c>
      <c r="AD21" s="4">
        <v>1</v>
      </c>
      <c r="AE21" s="4">
        <v>1</v>
      </c>
      <c r="AF21" s="4" t="s">
        <v>140</v>
      </c>
      <c r="AG21" s="4">
        <v>1</v>
      </c>
      <c r="AH21" s="4">
        <v>1</v>
      </c>
      <c r="AI21" s="4">
        <v>1</v>
      </c>
      <c r="AJ21" s="4">
        <v>1</v>
      </c>
      <c r="AK21" s="4">
        <v>1</v>
      </c>
      <c r="AL21" s="4">
        <v>1</v>
      </c>
      <c r="AM21" s="4">
        <v>1</v>
      </c>
      <c r="AN21" s="4">
        <v>1</v>
      </c>
      <c r="AO21" s="4" t="s">
        <v>304</v>
      </c>
    </row>
    <row r="22" spans="1:41" hidden="1" x14ac:dyDescent="0.2">
      <c r="A22" s="13">
        <f t="shared" si="0"/>
        <v>1</v>
      </c>
      <c r="B22" s="13">
        <f t="shared" si="1"/>
        <v>1</v>
      </c>
      <c r="C22" s="13" t="str">
        <f>VLOOKUP(B22,Correspondance!$D$3:$E$14,2,FALSE)</f>
        <v>Janvier</v>
      </c>
      <c r="D22" s="15" t="str">
        <f>VLOOKUP(G22,Correspondance!$A$3:$B$10,2,FALSE)</f>
        <v>ASF</v>
      </c>
      <c r="E22" s="1" t="s">
        <v>127</v>
      </c>
      <c r="F22" s="2" t="s">
        <v>169</v>
      </c>
      <c r="G22" s="3" t="s">
        <v>41</v>
      </c>
      <c r="H22" s="4" t="s">
        <v>82</v>
      </c>
      <c r="I22" s="4" t="s">
        <v>83</v>
      </c>
      <c r="J22" s="5" t="s">
        <v>57</v>
      </c>
      <c r="K22" s="6">
        <v>98</v>
      </c>
      <c r="L22" s="4" t="s">
        <v>222</v>
      </c>
      <c r="M22" s="4" t="s">
        <v>223</v>
      </c>
      <c r="N22" s="4" t="s">
        <v>46</v>
      </c>
      <c r="O22" s="4" t="s">
        <v>175</v>
      </c>
      <c r="P22" s="4" t="s">
        <v>224</v>
      </c>
      <c r="Q22" s="4" t="s">
        <v>49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 t="s">
        <v>140</v>
      </c>
      <c r="Z22" s="4">
        <v>1</v>
      </c>
      <c r="AA22" s="4">
        <v>1</v>
      </c>
      <c r="AB22" s="4">
        <v>1</v>
      </c>
      <c r="AC22" s="4">
        <v>1</v>
      </c>
      <c r="AD22" s="4">
        <v>1</v>
      </c>
      <c r="AE22" s="4">
        <v>1</v>
      </c>
      <c r="AF22" s="4" t="s">
        <v>140</v>
      </c>
      <c r="AG22" s="4">
        <v>1</v>
      </c>
      <c r="AH22" s="4">
        <v>0</v>
      </c>
      <c r="AI22" s="4">
        <v>1</v>
      </c>
      <c r="AJ22" s="4">
        <v>1</v>
      </c>
      <c r="AK22" s="4">
        <v>1</v>
      </c>
      <c r="AL22" s="4">
        <v>1</v>
      </c>
      <c r="AM22" s="4">
        <v>1</v>
      </c>
      <c r="AN22" s="4">
        <v>1</v>
      </c>
      <c r="AO22" s="4" t="s">
        <v>563</v>
      </c>
    </row>
    <row r="23" spans="1:41" hidden="1" x14ac:dyDescent="0.2">
      <c r="A23" s="13">
        <f t="shared" si="0"/>
        <v>1</v>
      </c>
      <c r="B23" s="13">
        <f t="shared" si="1"/>
        <v>1</v>
      </c>
      <c r="C23" s="13" t="str">
        <f>VLOOKUP(B23,Correspondance!$D$3:$E$14,2,FALSE)</f>
        <v>Janvier</v>
      </c>
      <c r="D23" s="15" t="str">
        <f>VLOOKUP(G23,Correspondance!$A$3:$B$10,2,FALSE)</f>
        <v>ASF</v>
      </c>
      <c r="E23" s="1" t="s">
        <v>127</v>
      </c>
      <c r="F23" s="2" t="s">
        <v>169</v>
      </c>
      <c r="G23" s="3" t="s">
        <v>52</v>
      </c>
      <c r="H23" s="4" t="s">
        <v>53</v>
      </c>
      <c r="I23" s="4" t="s">
        <v>54</v>
      </c>
      <c r="J23" s="5" t="s">
        <v>57</v>
      </c>
      <c r="K23" s="6">
        <v>100</v>
      </c>
      <c r="L23" s="4" t="s">
        <v>225</v>
      </c>
      <c r="M23" s="4" t="s">
        <v>215</v>
      </c>
      <c r="N23" s="4" t="s">
        <v>46</v>
      </c>
      <c r="O23" s="4" t="s">
        <v>175</v>
      </c>
      <c r="P23" s="4" t="s">
        <v>226</v>
      </c>
      <c r="Q23" s="4" t="s">
        <v>49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 t="s">
        <v>140</v>
      </c>
      <c r="Z23" s="4">
        <v>1</v>
      </c>
      <c r="AA23" s="4">
        <v>1</v>
      </c>
      <c r="AB23" s="4">
        <v>1</v>
      </c>
      <c r="AC23" s="4">
        <v>1</v>
      </c>
      <c r="AD23" s="4">
        <v>1</v>
      </c>
      <c r="AE23" s="4">
        <v>1</v>
      </c>
      <c r="AF23" s="4" t="s">
        <v>140</v>
      </c>
      <c r="AG23" s="4">
        <v>1</v>
      </c>
      <c r="AH23" s="4">
        <v>1</v>
      </c>
      <c r="AI23" s="4">
        <v>1</v>
      </c>
      <c r="AJ23" s="4">
        <v>1</v>
      </c>
      <c r="AK23" s="4">
        <v>1</v>
      </c>
      <c r="AL23" s="4">
        <v>1</v>
      </c>
      <c r="AM23" s="4">
        <v>1</v>
      </c>
      <c r="AN23" s="4">
        <v>1</v>
      </c>
      <c r="AO23" s="4" t="s">
        <v>567</v>
      </c>
    </row>
    <row r="24" spans="1:41" hidden="1" x14ac:dyDescent="0.2">
      <c r="A24" s="13">
        <f t="shared" si="0"/>
        <v>1</v>
      </c>
      <c r="B24" s="13">
        <f t="shared" si="1"/>
        <v>1</v>
      </c>
      <c r="C24" s="13" t="str">
        <f>VLOOKUP(B24,Correspondance!$D$3:$E$14,2,FALSE)</f>
        <v>Janvier</v>
      </c>
      <c r="D24" s="15" t="str">
        <f>VLOOKUP(G24,Correspondance!$A$3:$B$10,2,FALSE)</f>
        <v>ASF</v>
      </c>
      <c r="E24" s="1" t="s">
        <v>127</v>
      </c>
      <c r="F24" s="2" t="s">
        <v>169</v>
      </c>
      <c r="G24" s="3" t="s">
        <v>61</v>
      </c>
      <c r="H24" s="4" t="s">
        <v>96</v>
      </c>
      <c r="I24" s="4" t="s">
        <v>97</v>
      </c>
      <c r="J24" s="5" t="s">
        <v>57</v>
      </c>
      <c r="K24" s="6">
        <v>100</v>
      </c>
      <c r="L24" s="4" t="s">
        <v>227</v>
      </c>
      <c r="M24" s="4" t="s">
        <v>215</v>
      </c>
      <c r="N24" s="4" t="s">
        <v>46</v>
      </c>
      <c r="O24" s="4" t="s">
        <v>47</v>
      </c>
      <c r="P24" s="4" t="s">
        <v>228</v>
      </c>
      <c r="Q24" s="4" t="s">
        <v>49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 t="s">
        <v>140</v>
      </c>
      <c r="Z24" s="4">
        <v>1</v>
      </c>
      <c r="AA24" s="4">
        <v>1</v>
      </c>
      <c r="AB24" s="4">
        <v>1</v>
      </c>
      <c r="AC24" s="4">
        <v>1</v>
      </c>
      <c r="AD24" s="4">
        <v>1</v>
      </c>
      <c r="AE24" s="4">
        <v>1</v>
      </c>
      <c r="AF24" s="4" t="s">
        <v>140</v>
      </c>
      <c r="AG24" s="4">
        <v>1</v>
      </c>
      <c r="AH24" s="4">
        <v>1</v>
      </c>
      <c r="AI24" s="4">
        <v>1</v>
      </c>
      <c r="AJ24" s="4">
        <v>1</v>
      </c>
      <c r="AK24" s="4">
        <v>1</v>
      </c>
      <c r="AL24" s="4">
        <v>1</v>
      </c>
      <c r="AM24" s="4">
        <v>1</v>
      </c>
      <c r="AN24" s="4">
        <v>1</v>
      </c>
      <c r="AO24" s="4" t="s">
        <v>304</v>
      </c>
    </row>
    <row r="25" spans="1:41" hidden="1" x14ac:dyDescent="0.2">
      <c r="A25" s="13">
        <f t="shared" si="0"/>
        <v>1</v>
      </c>
      <c r="B25" s="13">
        <f t="shared" si="1"/>
        <v>1</v>
      </c>
      <c r="C25" s="13" t="str">
        <f>VLOOKUP(B25,Correspondance!$D$3:$E$14,2,FALSE)</f>
        <v>Janvier</v>
      </c>
      <c r="D25" s="15" t="str">
        <f>VLOOKUP(G25,Correspondance!$A$3:$B$10,2,FALSE)</f>
        <v>ASF</v>
      </c>
      <c r="E25" s="1" t="s">
        <v>127</v>
      </c>
      <c r="F25" s="2" t="s">
        <v>169</v>
      </c>
      <c r="G25" s="3" t="s">
        <v>61</v>
      </c>
      <c r="H25" s="4" t="s">
        <v>229</v>
      </c>
      <c r="I25" s="4" t="s">
        <v>230</v>
      </c>
      <c r="J25" s="5" t="s">
        <v>57</v>
      </c>
      <c r="K25" s="6">
        <v>100</v>
      </c>
      <c r="L25" s="4" t="s">
        <v>231</v>
      </c>
      <c r="M25" s="4" t="s">
        <v>174</v>
      </c>
      <c r="N25" s="4" t="s">
        <v>46</v>
      </c>
      <c r="O25" s="4" t="s">
        <v>99</v>
      </c>
      <c r="P25" s="4" t="s">
        <v>232</v>
      </c>
      <c r="Q25" s="4" t="s">
        <v>49</v>
      </c>
      <c r="R25" s="4" t="s">
        <v>140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 t="s">
        <v>140</v>
      </c>
      <c r="Z25" s="4" t="s">
        <v>140</v>
      </c>
      <c r="AA25" s="4">
        <v>1</v>
      </c>
      <c r="AB25" s="4">
        <v>1</v>
      </c>
      <c r="AC25" s="4">
        <v>1</v>
      </c>
      <c r="AD25" s="4">
        <v>1</v>
      </c>
      <c r="AE25" s="4">
        <v>1</v>
      </c>
      <c r="AF25" s="4" t="s">
        <v>140</v>
      </c>
      <c r="AG25" s="4">
        <v>1</v>
      </c>
      <c r="AH25" s="4">
        <v>1</v>
      </c>
      <c r="AI25" s="4">
        <v>1</v>
      </c>
      <c r="AJ25" s="4">
        <v>1</v>
      </c>
      <c r="AK25" s="4">
        <v>1</v>
      </c>
      <c r="AL25" s="4">
        <v>1</v>
      </c>
      <c r="AM25" s="4">
        <v>1</v>
      </c>
      <c r="AN25" s="4">
        <v>1</v>
      </c>
      <c r="AO25" s="4" t="s">
        <v>304</v>
      </c>
    </row>
    <row r="26" spans="1:41" hidden="1" x14ac:dyDescent="0.2">
      <c r="A26" s="13">
        <f t="shared" si="0"/>
        <v>2</v>
      </c>
      <c r="B26" s="13">
        <f t="shared" si="1"/>
        <v>1</v>
      </c>
      <c r="C26" s="13" t="str">
        <f>VLOOKUP(B26,Correspondance!$D$3:$E$14,2,FALSE)</f>
        <v>Janvier</v>
      </c>
      <c r="D26" s="15" t="str">
        <f>VLOOKUP(G26,Correspondance!$A$3:$B$10,2,FALSE)</f>
        <v>ASF</v>
      </c>
      <c r="E26" s="1" t="s">
        <v>134</v>
      </c>
      <c r="F26" s="2" t="s">
        <v>169</v>
      </c>
      <c r="G26" s="3" t="s">
        <v>41</v>
      </c>
      <c r="H26" s="4" t="s">
        <v>300</v>
      </c>
      <c r="I26" s="4" t="s">
        <v>301</v>
      </c>
      <c r="J26" s="5" t="s">
        <v>52</v>
      </c>
      <c r="K26" s="6">
        <v>100</v>
      </c>
      <c r="L26" s="4" t="s">
        <v>302</v>
      </c>
      <c r="M26" s="4" t="s">
        <v>215</v>
      </c>
      <c r="N26" s="4" t="s">
        <v>114</v>
      </c>
      <c r="O26" s="4" t="s">
        <v>99</v>
      </c>
      <c r="P26" s="4" t="s">
        <v>303</v>
      </c>
      <c r="Q26" s="4" t="s">
        <v>49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 t="s">
        <v>140</v>
      </c>
      <c r="Z26" s="4" t="s">
        <v>140</v>
      </c>
      <c r="AA26" s="4">
        <v>1</v>
      </c>
      <c r="AB26" s="4">
        <v>1</v>
      </c>
      <c r="AC26" s="4">
        <v>1</v>
      </c>
      <c r="AD26" s="4">
        <v>1</v>
      </c>
      <c r="AE26" s="4">
        <v>1</v>
      </c>
      <c r="AF26" s="4" t="s">
        <v>140</v>
      </c>
      <c r="AG26" s="4">
        <v>1</v>
      </c>
      <c r="AH26" s="4" t="s">
        <v>140</v>
      </c>
      <c r="AI26" s="4">
        <v>1</v>
      </c>
      <c r="AJ26" s="4">
        <v>1</v>
      </c>
      <c r="AK26" s="4" t="s">
        <v>140</v>
      </c>
      <c r="AL26" s="4" t="s">
        <v>140</v>
      </c>
      <c r="AM26" s="4" t="s">
        <v>140</v>
      </c>
      <c r="AN26" s="4" t="s">
        <v>140</v>
      </c>
      <c r="AO26" s="4" t="s">
        <v>304</v>
      </c>
    </row>
    <row r="27" spans="1:41" hidden="1" x14ac:dyDescent="0.2">
      <c r="A27" s="13">
        <f t="shared" si="0"/>
        <v>2</v>
      </c>
      <c r="B27" s="13">
        <f t="shared" si="1"/>
        <v>1</v>
      </c>
      <c r="C27" s="13" t="str">
        <f>VLOOKUP(B27,Correspondance!$D$3:$E$14,2,FALSE)</f>
        <v>Janvier</v>
      </c>
      <c r="D27" s="15" t="str">
        <f>VLOOKUP(G27,Correspondance!$A$3:$B$10,2,FALSE)</f>
        <v>ASF</v>
      </c>
      <c r="E27" s="1" t="s">
        <v>134</v>
      </c>
      <c r="F27" s="2" t="s">
        <v>169</v>
      </c>
      <c r="G27" s="3" t="s">
        <v>41</v>
      </c>
      <c r="H27" s="4" t="s">
        <v>179</v>
      </c>
      <c r="I27" s="4" t="s">
        <v>180</v>
      </c>
      <c r="J27" s="5" t="s">
        <v>57</v>
      </c>
      <c r="K27" s="6">
        <v>100</v>
      </c>
      <c r="L27" s="4" t="s">
        <v>305</v>
      </c>
      <c r="M27" s="4" t="s">
        <v>174</v>
      </c>
      <c r="N27" s="4" t="s">
        <v>46</v>
      </c>
      <c r="O27" s="4" t="s">
        <v>99</v>
      </c>
      <c r="P27" s="4" t="s">
        <v>306</v>
      </c>
      <c r="Q27" s="4" t="s">
        <v>49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 t="s">
        <v>140</v>
      </c>
      <c r="AA27" s="4">
        <v>1</v>
      </c>
      <c r="AB27" s="4">
        <v>1</v>
      </c>
      <c r="AC27" s="4">
        <v>1</v>
      </c>
      <c r="AD27" s="4">
        <v>1</v>
      </c>
      <c r="AE27" s="4">
        <v>1</v>
      </c>
      <c r="AF27" s="4" t="s">
        <v>140</v>
      </c>
      <c r="AG27" s="4">
        <v>1</v>
      </c>
      <c r="AH27" s="4">
        <v>1</v>
      </c>
      <c r="AI27" s="4">
        <v>1</v>
      </c>
      <c r="AJ27" s="4">
        <v>1</v>
      </c>
      <c r="AK27" s="4">
        <v>1</v>
      </c>
      <c r="AL27" s="4">
        <v>1</v>
      </c>
      <c r="AM27" s="4">
        <v>1</v>
      </c>
      <c r="AN27" s="4">
        <v>1</v>
      </c>
      <c r="AO27" s="4" t="s">
        <v>563</v>
      </c>
    </row>
    <row r="28" spans="1:41" hidden="1" x14ac:dyDescent="0.2">
      <c r="A28" s="13">
        <f t="shared" si="0"/>
        <v>2</v>
      </c>
      <c r="B28" s="13">
        <f t="shared" si="1"/>
        <v>1</v>
      </c>
      <c r="C28" s="13" t="str">
        <f>VLOOKUP(B28,Correspondance!$D$3:$E$14,2,FALSE)</f>
        <v>Janvier</v>
      </c>
      <c r="D28" s="15" t="str">
        <f>VLOOKUP(G28,Correspondance!$A$3:$B$10,2,FALSE)</f>
        <v>ASF</v>
      </c>
      <c r="E28" s="1" t="s">
        <v>134</v>
      </c>
      <c r="F28" s="2" t="s">
        <v>169</v>
      </c>
      <c r="G28" s="3" t="s">
        <v>41</v>
      </c>
      <c r="H28" s="4" t="s">
        <v>179</v>
      </c>
      <c r="I28" s="4" t="s">
        <v>180</v>
      </c>
      <c r="J28" s="5" t="s">
        <v>52</v>
      </c>
      <c r="K28" s="6">
        <v>100</v>
      </c>
      <c r="L28" s="4" t="s">
        <v>307</v>
      </c>
      <c r="M28" s="4" t="s">
        <v>215</v>
      </c>
      <c r="N28" s="4" t="s">
        <v>114</v>
      </c>
      <c r="O28" s="4" t="s">
        <v>99</v>
      </c>
      <c r="P28" s="4" t="s">
        <v>308</v>
      </c>
      <c r="Q28" s="4" t="s">
        <v>49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 t="s">
        <v>140</v>
      </c>
      <c r="AA28" s="4">
        <v>1</v>
      </c>
      <c r="AB28" s="4">
        <v>1</v>
      </c>
      <c r="AC28" s="4">
        <v>1</v>
      </c>
      <c r="AD28" s="4">
        <v>1</v>
      </c>
      <c r="AE28" s="4">
        <v>1</v>
      </c>
      <c r="AF28" s="4">
        <v>1</v>
      </c>
      <c r="AG28" s="4">
        <v>1</v>
      </c>
      <c r="AH28" s="4" t="s">
        <v>140</v>
      </c>
      <c r="AI28" s="4">
        <v>1</v>
      </c>
      <c r="AJ28" s="4">
        <v>1</v>
      </c>
      <c r="AK28" s="4" t="s">
        <v>140</v>
      </c>
      <c r="AL28" s="4" t="s">
        <v>140</v>
      </c>
      <c r="AM28" s="4" t="s">
        <v>140</v>
      </c>
      <c r="AN28" s="4" t="s">
        <v>140</v>
      </c>
      <c r="AO28" s="4" t="s">
        <v>309</v>
      </c>
    </row>
    <row r="29" spans="1:41" hidden="1" x14ac:dyDescent="0.2">
      <c r="A29" s="13">
        <f t="shared" si="0"/>
        <v>2</v>
      </c>
      <c r="B29" s="13">
        <f t="shared" si="1"/>
        <v>1</v>
      </c>
      <c r="C29" s="13" t="str">
        <f>VLOOKUP(B29,Correspondance!$D$3:$E$14,2,FALSE)</f>
        <v>Janvier</v>
      </c>
      <c r="D29" s="15" t="str">
        <f>VLOOKUP(G29,Correspondance!$A$3:$B$10,2,FALSE)</f>
        <v>ASF</v>
      </c>
      <c r="E29" s="1" t="s">
        <v>134</v>
      </c>
      <c r="F29" s="2" t="s">
        <v>169</v>
      </c>
      <c r="G29" s="3" t="s">
        <v>52</v>
      </c>
      <c r="H29" s="4" t="s">
        <v>233</v>
      </c>
      <c r="I29" s="4" t="s">
        <v>234</v>
      </c>
      <c r="J29" s="5" t="s">
        <v>235</v>
      </c>
      <c r="K29" s="6">
        <v>90.4</v>
      </c>
      <c r="L29" s="4" t="s">
        <v>236</v>
      </c>
      <c r="M29" s="4" t="s">
        <v>237</v>
      </c>
      <c r="N29" s="4" t="s">
        <v>238</v>
      </c>
      <c r="O29" s="4" t="s">
        <v>99</v>
      </c>
      <c r="P29" s="4" t="s">
        <v>239</v>
      </c>
      <c r="Q29" s="4" t="s">
        <v>49</v>
      </c>
      <c r="R29" s="4">
        <v>1</v>
      </c>
      <c r="S29" s="4">
        <v>0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 t="s">
        <v>140</v>
      </c>
      <c r="AA29" s="4">
        <v>1</v>
      </c>
      <c r="AB29" s="4">
        <v>1</v>
      </c>
      <c r="AC29" s="4">
        <v>1</v>
      </c>
      <c r="AD29" s="4">
        <v>1</v>
      </c>
      <c r="AE29" s="4">
        <v>1</v>
      </c>
      <c r="AF29" s="4" t="s">
        <v>140</v>
      </c>
      <c r="AG29" s="4">
        <v>1</v>
      </c>
      <c r="AH29" s="4">
        <v>0</v>
      </c>
      <c r="AI29" s="4">
        <v>1</v>
      </c>
      <c r="AJ29" s="4">
        <v>1</v>
      </c>
      <c r="AK29" s="4">
        <v>1</v>
      </c>
      <c r="AL29" s="4" t="s">
        <v>140</v>
      </c>
      <c r="AM29" s="4" t="s">
        <v>140</v>
      </c>
      <c r="AN29" s="4" t="s">
        <v>140</v>
      </c>
      <c r="AO29" s="4" t="s">
        <v>564</v>
      </c>
    </row>
    <row r="30" spans="1:41" hidden="1" x14ac:dyDescent="0.2">
      <c r="A30" s="13">
        <f t="shared" si="0"/>
        <v>2</v>
      </c>
      <c r="B30" s="13">
        <f t="shared" si="1"/>
        <v>1</v>
      </c>
      <c r="C30" s="13" t="str">
        <f>VLOOKUP(B30,Correspondance!$D$3:$E$14,2,FALSE)</f>
        <v>Janvier</v>
      </c>
      <c r="D30" s="15" t="str">
        <f>VLOOKUP(G30,Correspondance!$A$3:$B$10,2,FALSE)</f>
        <v>ASF</v>
      </c>
      <c r="E30" s="1" t="s">
        <v>134</v>
      </c>
      <c r="F30" s="2" t="s">
        <v>169</v>
      </c>
      <c r="G30" s="3" t="s">
        <v>52</v>
      </c>
      <c r="H30" s="4" t="s">
        <v>233</v>
      </c>
      <c r="I30" s="4" t="s">
        <v>234</v>
      </c>
      <c r="J30" s="5" t="s">
        <v>235</v>
      </c>
      <c r="K30" s="6">
        <v>100</v>
      </c>
      <c r="L30" s="4" t="s">
        <v>240</v>
      </c>
      <c r="M30" s="4" t="s">
        <v>215</v>
      </c>
      <c r="N30" s="4" t="s">
        <v>238</v>
      </c>
      <c r="O30" s="4" t="s">
        <v>99</v>
      </c>
      <c r="P30" s="4" t="s">
        <v>241</v>
      </c>
      <c r="Q30" s="4" t="s">
        <v>49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 t="s">
        <v>140</v>
      </c>
      <c r="AA30" s="4">
        <v>1</v>
      </c>
      <c r="AB30" s="4">
        <v>1</v>
      </c>
      <c r="AC30" s="4">
        <v>1</v>
      </c>
      <c r="AD30" s="4">
        <v>1</v>
      </c>
      <c r="AE30" s="4">
        <v>1</v>
      </c>
      <c r="AF30" s="4">
        <v>1</v>
      </c>
      <c r="AG30" s="4">
        <v>1</v>
      </c>
      <c r="AH30" s="4" t="s">
        <v>140</v>
      </c>
      <c r="AI30" s="4">
        <v>1</v>
      </c>
      <c r="AJ30" s="4">
        <v>1</v>
      </c>
      <c r="AK30" s="4">
        <v>1</v>
      </c>
      <c r="AL30" s="4" t="s">
        <v>140</v>
      </c>
      <c r="AM30" s="4" t="s">
        <v>140</v>
      </c>
      <c r="AN30" s="4" t="s">
        <v>140</v>
      </c>
      <c r="AO30" s="4" t="s">
        <v>564</v>
      </c>
    </row>
    <row r="31" spans="1:41" hidden="1" x14ac:dyDescent="0.2">
      <c r="A31" s="13">
        <f t="shared" si="0"/>
        <v>2</v>
      </c>
      <c r="B31" s="13">
        <f t="shared" si="1"/>
        <v>1</v>
      </c>
      <c r="C31" s="13" t="str">
        <f>VLOOKUP(B31,Correspondance!$D$3:$E$14,2,FALSE)</f>
        <v>Janvier</v>
      </c>
      <c r="D31" s="15" t="str">
        <f>VLOOKUP(G31,Correspondance!$A$3:$B$10,2,FALSE)</f>
        <v>ASF</v>
      </c>
      <c r="E31" s="1" t="s">
        <v>134</v>
      </c>
      <c r="F31" s="2" t="s">
        <v>169</v>
      </c>
      <c r="G31" s="3" t="s">
        <v>52</v>
      </c>
      <c r="H31" s="4" t="s">
        <v>1203</v>
      </c>
      <c r="I31" s="4" t="s">
        <v>194</v>
      </c>
      <c r="J31" s="5" t="s">
        <v>52</v>
      </c>
      <c r="K31" s="6">
        <v>100</v>
      </c>
      <c r="L31" s="4" t="s">
        <v>310</v>
      </c>
      <c r="M31" s="4" t="s">
        <v>174</v>
      </c>
      <c r="N31" s="4" t="s">
        <v>114</v>
      </c>
      <c r="O31" s="4" t="s">
        <v>99</v>
      </c>
      <c r="P31" s="4" t="s">
        <v>311</v>
      </c>
      <c r="Q31" s="4" t="s">
        <v>49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 t="s">
        <v>140</v>
      </c>
      <c r="Z31" s="4" t="s">
        <v>140</v>
      </c>
      <c r="AA31" s="4">
        <v>1</v>
      </c>
      <c r="AB31" s="4">
        <v>1</v>
      </c>
      <c r="AC31" s="4">
        <v>1</v>
      </c>
      <c r="AD31" s="4">
        <v>1</v>
      </c>
      <c r="AE31" s="4">
        <v>1</v>
      </c>
      <c r="AF31" s="4" t="s">
        <v>140</v>
      </c>
      <c r="AG31" s="4">
        <v>1</v>
      </c>
      <c r="AH31" s="4" t="s">
        <v>140</v>
      </c>
      <c r="AI31" s="4">
        <v>1</v>
      </c>
      <c r="AJ31" s="4">
        <v>1</v>
      </c>
      <c r="AK31" s="4" t="s">
        <v>140</v>
      </c>
      <c r="AL31" s="4" t="s">
        <v>140</v>
      </c>
      <c r="AM31" s="4" t="s">
        <v>140</v>
      </c>
      <c r="AN31" s="4" t="s">
        <v>140</v>
      </c>
      <c r="AO31" s="4" t="s">
        <v>309</v>
      </c>
    </row>
    <row r="32" spans="1:41" hidden="1" x14ac:dyDescent="0.2">
      <c r="A32" s="13">
        <f t="shared" si="0"/>
        <v>2</v>
      </c>
      <c r="B32" s="13">
        <f t="shared" si="1"/>
        <v>1</v>
      </c>
      <c r="C32" s="13" t="str">
        <f>VLOOKUP(B32,Correspondance!$D$3:$E$14,2,FALSE)</f>
        <v>Janvier</v>
      </c>
      <c r="D32" s="15" t="str">
        <f>VLOOKUP(G32,Correspondance!$A$3:$B$10,2,FALSE)</f>
        <v>ASF</v>
      </c>
      <c r="E32" s="1" t="s">
        <v>134</v>
      </c>
      <c r="F32" s="2" t="s">
        <v>169</v>
      </c>
      <c r="G32" s="3" t="s">
        <v>52</v>
      </c>
      <c r="H32" s="4" t="s">
        <v>1203</v>
      </c>
      <c r="I32" s="4" t="s">
        <v>194</v>
      </c>
      <c r="J32" s="5" t="s">
        <v>52</v>
      </c>
      <c r="K32" s="6">
        <v>100</v>
      </c>
      <c r="L32" s="4" t="s">
        <v>312</v>
      </c>
      <c r="M32" s="4" t="s">
        <v>215</v>
      </c>
      <c r="N32" s="4" t="s">
        <v>114</v>
      </c>
      <c r="O32" s="4" t="s">
        <v>99</v>
      </c>
      <c r="P32" s="4" t="s">
        <v>311</v>
      </c>
      <c r="Q32" s="4" t="s">
        <v>49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 t="s">
        <v>140</v>
      </c>
      <c r="Z32" s="4" t="s">
        <v>140</v>
      </c>
      <c r="AA32" s="4">
        <v>1</v>
      </c>
      <c r="AB32" s="4">
        <v>1</v>
      </c>
      <c r="AC32" s="4">
        <v>1</v>
      </c>
      <c r="AD32" s="4">
        <v>1</v>
      </c>
      <c r="AE32" s="4">
        <v>1</v>
      </c>
      <c r="AF32" s="4" t="s">
        <v>140</v>
      </c>
      <c r="AG32" s="4">
        <v>1</v>
      </c>
      <c r="AH32" s="4" t="s">
        <v>140</v>
      </c>
      <c r="AI32" s="4">
        <v>1</v>
      </c>
      <c r="AJ32" s="4">
        <v>1</v>
      </c>
      <c r="AK32" s="4" t="s">
        <v>140</v>
      </c>
      <c r="AL32" s="4" t="s">
        <v>140</v>
      </c>
      <c r="AM32" s="4" t="s">
        <v>140</v>
      </c>
      <c r="AN32" s="4" t="s">
        <v>140</v>
      </c>
      <c r="AO32" s="4" t="s">
        <v>309</v>
      </c>
    </row>
    <row r="33" spans="1:41" x14ac:dyDescent="0.2">
      <c r="A33" s="13">
        <f t="shared" si="0"/>
        <v>2</v>
      </c>
      <c r="B33" s="13">
        <f t="shared" si="1"/>
        <v>1</v>
      </c>
      <c r="C33" s="13" t="str">
        <f>VLOOKUP(B33,Correspondance!$D$3:$E$14,2,FALSE)</f>
        <v>Janvier</v>
      </c>
      <c r="D33" s="15" t="str">
        <f>VLOOKUP(G33,Correspondance!$A$3:$B$10,2,FALSE)</f>
        <v>ASF</v>
      </c>
      <c r="E33" s="1" t="s">
        <v>134</v>
      </c>
      <c r="F33" s="2" t="s">
        <v>169</v>
      </c>
      <c r="G33" s="3" t="s">
        <v>61</v>
      </c>
      <c r="H33" s="4" t="s">
        <v>96</v>
      </c>
      <c r="I33" s="4" t="s">
        <v>97</v>
      </c>
      <c r="J33" s="5" t="s">
        <v>52</v>
      </c>
      <c r="K33" s="6">
        <v>31.111111111111111</v>
      </c>
      <c r="L33" s="4" t="s">
        <v>313</v>
      </c>
      <c r="M33" s="4" t="s">
        <v>215</v>
      </c>
      <c r="N33" s="4" t="s">
        <v>114</v>
      </c>
      <c r="O33" s="4" t="s">
        <v>99</v>
      </c>
      <c r="P33" s="4" t="s">
        <v>314</v>
      </c>
      <c r="Q33" s="4" t="s">
        <v>49</v>
      </c>
      <c r="R33" s="4">
        <v>0</v>
      </c>
      <c r="S33" s="4" t="s">
        <v>140</v>
      </c>
      <c r="T33" s="4">
        <v>0</v>
      </c>
      <c r="U33" s="4">
        <v>1</v>
      </c>
      <c r="V33" s="4">
        <v>1</v>
      </c>
      <c r="W33" s="4" t="s">
        <v>140</v>
      </c>
      <c r="X33" s="4">
        <v>1</v>
      </c>
      <c r="Y33" s="4" t="s">
        <v>140</v>
      </c>
      <c r="Z33" s="4" t="s">
        <v>140</v>
      </c>
      <c r="AA33" s="4">
        <v>1</v>
      </c>
      <c r="AB33" s="4">
        <v>1</v>
      </c>
      <c r="AC33" s="4">
        <v>0</v>
      </c>
      <c r="AD33" s="4" t="s">
        <v>140</v>
      </c>
      <c r="AE33" s="4" t="s">
        <v>140</v>
      </c>
      <c r="AF33" s="4" t="s">
        <v>140</v>
      </c>
      <c r="AG33" s="4" t="s">
        <v>140</v>
      </c>
      <c r="AH33" s="4" t="s">
        <v>140</v>
      </c>
      <c r="AI33" s="4" t="s">
        <v>140</v>
      </c>
      <c r="AJ33" s="4" t="s">
        <v>140</v>
      </c>
      <c r="AK33" s="4" t="s">
        <v>140</v>
      </c>
      <c r="AL33" s="4" t="s">
        <v>140</v>
      </c>
      <c r="AM33" s="4" t="s">
        <v>140</v>
      </c>
      <c r="AN33" s="4" t="s">
        <v>140</v>
      </c>
      <c r="AO33" s="4" t="s">
        <v>309</v>
      </c>
    </row>
    <row r="34" spans="1:41" x14ac:dyDescent="0.2">
      <c r="A34" s="13">
        <f t="shared" si="0"/>
        <v>2</v>
      </c>
      <c r="B34" s="13">
        <f t="shared" si="1"/>
        <v>1</v>
      </c>
      <c r="C34" s="13" t="str">
        <f>VLOOKUP(B34,Correspondance!$D$3:$E$14,2,FALSE)</f>
        <v>Janvier</v>
      </c>
      <c r="D34" s="15" t="str">
        <f>VLOOKUP(G34,Correspondance!$A$3:$B$10,2,FALSE)</f>
        <v>ASF</v>
      </c>
      <c r="E34" s="1" t="s">
        <v>134</v>
      </c>
      <c r="F34" s="2" t="s">
        <v>169</v>
      </c>
      <c r="G34" s="3" t="s">
        <v>61</v>
      </c>
      <c r="H34" s="4" t="s">
        <v>96</v>
      </c>
      <c r="I34" s="4" t="s">
        <v>97</v>
      </c>
      <c r="J34" s="5" t="s">
        <v>235</v>
      </c>
      <c r="K34" s="6">
        <v>80.72</v>
      </c>
      <c r="L34" s="4" t="s">
        <v>242</v>
      </c>
      <c r="M34" s="4" t="s">
        <v>174</v>
      </c>
      <c r="N34" s="4" t="s">
        <v>238</v>
      </c>
      <c r="O34" s="4" t="s">
        <v>99</v>
      </c>
      <c r="P34" s="4" t="s">
        <v>200</v>
      </c>
      <c r="Q34" s="4" t="s">
        <v>49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 t="s">
        <v>140</v>
      </c>
      <c r="Z34" s="4" t="s">
        <v>140</v>
      </c>
      <c r="AA34" s="4">
        <v>1</v>
      </c>
      <c r="AB34" s="4">
        <v>0</v>
      </c>
      <c r="AC34" s="4">
        <v>0</v>
      </c>
      <c r="AD34" s="4">
        <v>1</v>
      </c>
      <c r="AE34" s="4">
        <v>1</v>
      </c>
      <c r="AF34" s="4" t="s">
        <v>140</v>
      </c>
      <c r="AG34" s="4">
        <v>1</v>
      </c>
      <c r="AH34" s="4" t="s">
        <v>140</v>
      </c>
      <c r="AI34" s="4">
        <v>0</v>
      </c>
      <c r="AJ34" s="4">
        <v>1</v>
      </c>
      <c r="AK34" s="4">
        <v>1</v>
      </c>
      <c r="AL34" s="4" t="s">
        <v>140</v>
      </c>
      <c r="AM34" s="4" t="s">
        <v>140</v>
      </c>
      <c r="AN34" s="4" t="s">
        <v>140</v>
      </c>
      <c r="AO34" s="4" t="s">
        <v>561</v>
      </c>
    </row>
    <row r="35" spans="1:41" hidden="1" x14ac:dyDescent="0.2">
      <c r="A35" s="13">
        <f t="shared" si="0"/>
        <v>2</v>
      </c>
      <c r="B35" s="13">
        <f t="shared" si="1"/>
        <v>1</v>
      </c>
      <c r="C35" s="13" t="str">
        <f>VLOOKUP(B35,Correspondance!$D$3:$E$14,2,FALSE)</f>
        <v>Janvier</v>
      </c>
      <c r="D35" s="15" t="str">
        <f>VLOOKUP(G35,Correspondance!$A$3:$B$10,2,FALSE)</f>
        <v>ASF</v>
      </c>
      <c r="E35" s="1" t="s">
        <v>134</v>
      </c>
      <c r="F35" s="2" t="s">
        <v>169</v>
      </c>
      <c r="G35" s="3" t="s">
        <v>61</v>
      </c>
      <c r="H35" s="4" t="s">
        <v>96</v>
      </c>
      <c r="I35" s="4" t="s">
        <v>97</v>
      </c>
      <c r="J35" s="5" t="s">
        <v>52</v>
      </c>
      <c r="K35" s="6">
        <v>93.4</v>
      </c>
      <c r="L35" s="4" t="s">
        <v>315</v>
      </c>
      <c r="M35" s="4" t="s">
        <v>174</v>
      </c>
      <c r="N35" s="4" t="s">
        <v>114</v>
      </c>
      <c r="O35" s="4" t="s">
        <v>99</v>
      </c>
      <c r="P35" s="4" t="s">
        <v>316</v>
      </c>
      <c r="Q35" s="4" t="s">
        <v>49</v>
      </c>
      <c r="R35" s="4">
        <v>1</v>
      </c>
      <c r="S35" s="4">
        <v>0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 t="s">
        <v>140</v>
      </c>
      <c r="Z35" s="4" t="s">
        <v>140</v>
      </c>
      <c r="AA35" s="4">
        <v>1</v>
      </c>
      <c r="AB35" s="4">
        <v>1</v>
      </c>
      <c r="AC35" s="4">
        <v>1</v>
      </c>
      <c r="AD35" s="4">
        <v>1</v>
      </c>
      <c r="AE35" s="4">
        <v>1</v>
      </c>
      <c r="AF35" s="4" t="s">
        <v>140</v>
      </c>
      <c r="AG35" s="4">
        <v>1</v>
      </c>
      <c r="AH35" s="4" t="s">
        <v>140</v>
      </c>
      <c r="AI35" s="4">
        <v>1</v>
      </c>
      <c r="AJ35" s="4">
        <v>1</v>
      </c>
      <c r="AK35" s="4">
        <v>1</v>
      </c>
      <c r="AL35" s="4" t="s">
        <v>140</v>
      </c>
      <c r="AM35" s="4" t="s">
        <v>140</v>
      </c>
      <c r="AN35" s="4" t="s">
        <v>140</v>
      </c>
      <c r="AO35" s="4" t="s">
        <v>309</v>
      </c>
    </row>
    <row r="36" spans="1:41" hidden="1" x14ac:dyDescent="0.2">
      <c r="A36" s="13">
        <f t="shared" si="0"/>
        <v>2</v>
      </c>
      <c r="B36" s="13">
        <f t="shared" si="1"/>
        <v>1</v>
      </c>
      <c r="C36" s="13" t="str">
        <f>VLOOKUP(B36,Correspondance!$D$3:$E$14,2,FALSE)</f>
        <v>Janvier</v>
      </c>
      <c r="D36" s="15" t="str">
        <f>VLOOKUP(G36,Correspondance!$A$3:$B$10,2,FALSE)</f>
        <v>ASF</v>
      </c>
      <c r="E36" s="1" t="s">
        <v>134</v>
      </c>
      <c r="F36" s="2" t="s">
        <v>169</v>
      </c>
      <c r="G36" s="3" t="s">
        <v>61</v>
      </c>
      <c r="H36" s="4" t="s">
        <v>96</v>
      </c>
      <c r="I36" s="4" t="s">
        <v>97</v>
      </c>
      <c r="J36" s="5" t="s">
        <v>235</v>
      </c>
      <c r="K36" s="6">
        <v>100</v>
      </c>
      <c r="L36" s="4" t="s">
        <v>218</v>
      </c>
      <c r="M36" s="4" t="s">
        <v>174</v>
      </c>
      <c r="N36" s="4" t="s">
        <v>238</v>
      </c>
      <c r="O36" s="4" t="s">
        <v>99</v>
      </c>
      <c r="P36" s="4" t="s">
        <v>243</v>
      </c>
      <c r="Q36" s="4" t="s">
        <v>49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 t="s">
        <v>140</v>
      </c>
      <c r="AA36" s="4">
        <v>1</v>
      </c>
      <c r="AB36" s="4">
        <v>1</v>
      </c>
      <c r="AC36" s="4">
        <v>1</v>
      </c>
      <c r="AD36" s="4">
        <v>1</v>
      </c>
      <c r="AE36" s="4">
        <v>1</v>
      </c>
      <c r="AF36" s="4" t="s">
        <v>140</v>
      </c>
      <c r="AG36" s="4">
        <v>1</v>
      </c>
      <c r="AH36" s="4" t="s">
        <v>140</v>
      </c>
      <c r="AI36" s="4">
        <v>1</v>
      </c>
      <c r="AJ36" s="4">
        <v>1</v>
      </c>
      <c r="AK36" s="4">
        <v>1</v>
      </c>
      <c r="AL36" s="4" t="s">
        <v>140</v>
      </c>
      <c r="AM36" s="4" t="s">
        <v>140</v>
      </c>
      <c r="AN36" s="4" t="s">
        <v>140</v>
      </c>
      <c r="AO36" s="4" t="s">
        <v>561</v>
      </c>
    </row>
    <row r="37" spans="1:41" hidden="1" x14ac:dyDescent="0.2">
      <c r="A37" s="13">
        <f t="shared" si="0"/>
        <v>2</v>
      </c>
      <c r="B37" s="13">
        <f t="shared" si="1"/>
        <v>1</v>
      </c>
      <c r="C37" s="13" t="str">
        <f>VLOOKUP(B37,Correspondance!$D$3:$E$14,2,FALSE)</f>
        <v>Janvier</v>
      </c>
      <c r="D37" s="15" t="str">
        <f>VLOOKUP(G37,Correspondance!$A$3:$B$10,2,FALSE)</f>
        <v>ASF</v>
      </c>
      <c r="E37" s="1" t="s">
        <v>134</v>
      </c>
      <c r="F37" s="2" t="s">
        <v>169</v>
      </c>
      <c r="G37" s="3" t="s">
        <v>61</v>
      </c>
      <c r="H37" s="4" t="s">
        <v>197</v>
      </c>
      <c r="I37" s="4" t="s">
        <v>198</v>
      </c>
      <c r="J37" s="5" t="s">
        <v>52</v>
      </c>
      <c r="K37" s="6">
        <v>100</v>
      </c>
      <c r="L37" s="4" t="s">
        <v>317</v>
      </c>
      <c r="M37" s="4" t="s">
        <v>223</v>
      </c>
      <c r="N37" s="4" t="s">
        <v>114</v>
      </c>
      <c r="O37" s="4" t="s">
        <v>99</v>
      </c>
      <c r="P37" s="4" t="s">
        <v>316</v>
      </c>
      <c r="Q37" s="4" t="s">
        <v>49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 t="s">
        <v>140</v>
      </c>
      <c r="Z37" s="4" t="s">
        <v>140</v>
      </c>
      <c r="AA37" s="4">
        <v>1</v>
      </c>
      <c r="AB37" s="4">
        <v>1</v>
      </c>
      <c r="AC37" s="4">
        <v>1</v>
      </c>
      <c r="AD37" s="4">
        <v>1</v>
      </c>
      <c r="AE37" s="4">
        <v>1</v>
      </c>
      <c r="AF37" s="4" t="s">
        <v>140</v>
      </c>
      <c r="AG37" s="4">
        <v>1</v>
      </c>
      <c r="AH37" s="4" t="s">
        <v>140</v>
      </c>
      <c r="AI37" s="4">
        <v>1</v>
      </c>
      <c r="AJ37" s="4">
        <v>1</v>
      </c>
      <c r="AK37" s="4">
        <v>1</v>
      </c>
      <c r="AL37" s="4" t="s">
        <v>140</v>
      </c>
      <c r="AM37" s="4" t="s">
        <v>140</v>
      </c>
      <c r="AN37" s="4">
        <v>1</v>
      </c>
      <c r="AO37" s="4" t="s">
        <v>309</v>
      </c>
    </row>
    <row r="38" spans="1:41" hidden="1" x14ac:dyDescent="0.2">
      <c r="A38" s="13">
        <f t="shared" si="0"/>
        <v>2</v>
      </c>
      <c r="B38" s="13">
        <f t="shared" si="1"/>
        <v>1</v>
      </c>
      <c r="C38" s="13" t="str">
        <f>VLOOKUP(B38,Correspondance!$D$3:$E$14,2,FALSE)</f>
        <v>Janvier</v>
      </c>
      <c r="D38" s="15" t="str">
        <f>VLOOKUP(G38,Correspondance!$A$3:$B$10,2,FALSE)</f>
        <v>ASF</v>
      </c>
      <c r="E38" s="1" t="s">
        <v>134</v>
      </c>
      <c r="F38" s="2" t="s">
        <v>169</v>
      </c>
      <c r="G38" s="3" t="s">
        <v>61</v>
      </c>
      <c r="H38" s="4" t="s">
        <v>197</v>
      </c>
      <c r="I38" s="4" t="s">
        <v>198</v>
      </c>
      <c r="J38" s="5" t="s">
        <v>52</v>
      </c>
      <c r="K38" s="6">
        <v>100</v>
      </c>
      <c r="L38" s="4" t="s">
        <v>318</v>
      </c>
      <c r="M38" s="4" t="s">
        <v>223</v>
      </c>
      <c r="N38" s="4" t="s">
        <v>114</v>
      </c>
      <c r="O38" s="4" t="s">
        <v>99</v>
      </c>
      <c r="P38" s="4" t="s">
        <v>316</v>
      </c>
      <c r="Q38" s="4" t="s">
        <v>49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 t="s">
        <v>140</v>
      </c>
      <c r="Z38" s="4" t="s">
        <v>140</v>
      </c>
      <c r="AA38" s="4">
        <v>1</v>
      </c>
      <c r="AB38" s="4">
        <v>1</v>
      </c>
      <c r="AC38" s="4">
        <v>1</v>
      </c>
      <c r="AD38" s="4">
        <v>1</v>
      </c>
      <c r="AE38" s="4">
        <v>1</v>
      </c>
      <c r="AF38" s="4" t="s">
        <v>140</v>
      </c>
      <c r="AG38" s="4">
        <v>1</v>
      </c>
      <c r="AH38" s="4" t="s">
        <v>140</v>
      </c>
      <c r="AI38" s="4">
        <v>1</v>
      </c>
      <c r="AJ38" s="4">
        <v>1</v>
      </c>
      <c r="AK38" s="4">
        <v>1</v>
      </c>
      <c r="AL38" s="4" t="s">
        <v>140</v>
      </c>
      <c r="AM38" s="4" t="s">
        <v>140</v>
      </c>
      <c r="AN38" s="4" t="s">
        <v>140</v>
      </c>
      <c r="AO38" s="4" t="s">
        <v>309</v>
      </c>
    </row>
    <row r="39" spans="1:41" hidden="1" x14ac:dyDescent="0.2">
      <c r="A39" s="13">
        <f t="shared" si="0"/>
        <v>2</v>
      </c>
      <c r="B39" s="13">
        <f t="shared" si="1"/>
        <v>1</v>
      </c>
      <c r="C39" s="13" t="str">
        <f>VLOOKUP(B39,Correspondance!$D$3:$E$14,2,FALSE)</f>
        <v>Janvier</v>
      </c>
      <c r="D39" s="15" t="str">
        <f>VLOOKUP(G39,Correspondance!$A$3:$B$10,2,FALSE)</f>
        <v>ASF</v>
      </c>
      <c r="E39" s="1" t="s">
        <v>134</v>
      </c>
      <c r="F39" s="2" t="s">
        <v>169</v>
      </c>
      <c r="G39" s="3" t="s">
        <v>61</v>
      </c>
      <c r="H39" s="4" t="s">
        <v>201</v>
      </c>
      <c r="I39" s="4" t="s">
        <v>202</v>
      </c>
      <c r="J39" s="5" t="s">
        <v>61</v>
      </c>
      <c r="K39" s="6">
        <v>100</v>
      </c>
      <c r="L39" s="4" t="s">
        <v>244</v>
      </c>
      <c r="M39" s="4" t="s">
        <v>245</v>
      </c>
      <c r="N39" s="4" t="s">
        <v>66</v>
      </c>
      <c r="O39" s="4" t="s">
        <v>175</v>
      </c>
      <c r="P39" s="4" t="s">
        <v>246</v>
      </c>
      <c r="Q39" s="4" t="s">
        <v>49</v>
      </c>
      <c r="R39" s="4">
        <v>1</v>
      </c>
      <c r="S39" s="4">
        <v>1</v>
      </c>
      <c r="T39" s="4" t="s">
        <v>140</v>
      </c>
      <c r="U39" s="4">
        <v>1</v>
      </c>
      <c r="V39" s="4">
        <v>1</v>
      </c>
      <c r="W39" s="4">
        <v>1</v>
      </c>
      <c r="X39" s="4">
        <v>1</v>
      </c>
      <c r="Y39" s="4" t="s">
        <v>140</v>
      </c>
      <c r="Z39" s="4" t="s">
        <v>140</v>
      </c>
      <c r="AA39" s="4">
        <v>1</v>
      </c>
      <c r="AB39" s="4">
        <v>1</v>
      </c>
      <c r="AC39" s="4">
        <v>1</v>
      </c>
      <c r="AD39" s="4">
        <v>1</v>
      </c>
      <c r="AE39" s="4">
        <v>1</v>
      </c>
      <c r="AF39" s="4" t="s">
        <v>140</v>
      </c>
      <c r="AG39" s="4">
        <v>1</v>
      </c>
      <c r="AH39" s="4">
        <v>1</v>
      </c>
      <c r="AI39" s="4">
        <v>1</v>
      </c>
      <c r="AJ39" s="4">
        <v>1</v>
      </c>
      <c r="AK39" s="4">
        <v>1</v>
      </c>
      <c r="AL39" s="4" t="s">
        <v>140</v>
      </c>
      <c r="AM39" s="4" t="s">
        <v>140</v>
      </c>
      <c r="AN39" s="4" t="s">
        <v>140</v>
      </c>
      <c r="AO39" s="4" t="s">
        <v>565</v>
      </c>
    </row>
    <row r="40" spans="1:41" hidden="1" x14ac:dyDescent="0.2">
      <c r="A40" s="13">
        <f t="shared" si="0"/>
        <v>2</v>
      </c>
      <c r="B40" s="13">
        <f t="shared" si="1"/>
        <v>1</v>
      </c>
      <c r="C40" s="13" t="str">
        <f>VLOOKUP(B40,Correspondance!$D$3:$E$14,2,FALSE)</f>
        <v>Janvier</v>
      </c>
      <c r="D40" s="15" t="str">
        <f>VLOOKUP(G40,Correspondance!$A$3:$B$10,2,FALSE)</f>
        <v>ASF</v>
      </c>
      <c r="E40" s="1" t="s">
        <v>134</v>
      </c>
      <c r="F40" s="2" t="s">
        <v>169</v>
      </c>
      <c r="G40" s="3" t="s">
        <v>61</v>
      </c>
      <c r="H40" s="4" t="s">
        <v>247</v>
      </c>
      <c r="I40" s="4" t="s">
        <v>248</v>
      </c>
      <c r="J40" s="5" t="s">
        <v>235</v>
      </c>
      <c r="K40" s="6">
        <v>96</v>
      </c>
      <c r="L40" s="4" t="s">
        <v>249</v>
      </c>
      <c r="M40" s="4" t="s">
        <v>250</v>
      </c>
      <c r="N40" s="4" t="s">
        <v>238</v>
      </c>
      <c r="O40" s="4" t="s">
        <v>99</v>
      </c>
      <c r="P40" s="4" t="s">
        <v>251</v>
      </c>
      <c r="Q40" s="4" t="s">
        <v>49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 t="s">
        <v>140</v>
      </c>
      <c r="AA40" s="4">
        <v>1</v>
      </c>
      <c r="AB40" s="4">
        <v>0</v>
      </c>
      <c r="AC40" s="4">
        <v>1</v>
      </c>
      <c r="AD40" s="4">
        <v>1</v>
      </c>
      <c r="AE40" s="4">
        <v>1</v>
      </c>
      <c r="AF40" s="4" t="s">
        <v>140</v>
      </c>
      <c r="AG40" s="4">
        <v>1</v>
      </c>
      <c r="AH40" s="4" t="s">
        <v>140</v>
      </c>
      <c r="AI40" s="4">
        <v>1</v>
      </c>
      <c r="AJ40" s="4">
        <v>1</v>
      </c>
      <c r="AK40" s="4">
        <v>1</v>
      </c>
      <c r="AL40" s="4" t="s">
        <v>140</v>
      </c>
      <c r="AM40" s="4" t="s">
        <v>140</v>
      </c>
      <c r="AN40" s="4" t="s">
        <v>140</v>
      </c>
      <c r="AO40" s="4" t="s">
        <v>565</v>
      </c>
    </row>
    <row r="41" spans="1:41" hidden="1" x14ac:dyDescent="0.2">
      <c r="A41" s="13">
        <f t="shared" si="0"/>
        <v>2</v>
      </c>
      <c r="B41" s="13">
        <f t="shared" si="1"/>
        <v>1</v>
      </c>
      <c r="C41" s="13" t="str">
        <f>VLOOKUP(B41,Correspondance!$D$3:$E$14,2,FALSE)</f>
        <v>Janvier</v>
      </c>
      <c r="D41" s="15" t="str">
        <f>VLOOKUP(G41,Correspondance!$A$3:$B$10,2,FALSE)</f>
        <v>ASF</v>
      </c>
      <c r="E41" s="1" t="s">
        <v>134</v>
      </c>
      <c r="F41" s="2" t="s">
        <v>169</v>
      </c>
      <c r="G41" s="3" t="s">
        <v>61</v>
      </c>
      <c r="H41" s="4" t="s">
        <v>247</v>
      </c>
      <c r="I41" s="4" t="s">
        <v>248</v>
      </c>
      <c r="J41" s="5" t="s">
        <v>235</v>
      </c>
      <c r="K41" s="6">
        <v>100</v>
      </c>
      <c r="L41" s="4" t="s">
        <v>252</v>
      </c>
      <c r="M41" s="4" t="s">
        <v>215</v>
      </c>
      <c r="N41" s="4" t="s">
        <v>238</v>
      </c>
      <c r="O41" s="4" t="s">
        <v>99</v>
      </c>
      <c r="P41" s="4" t="s">
        <v>1205</v>
      </c>
      <c r="Q41" s="4" t="s">
        <v>49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 t="s">
        <v>140</v>
      </c>
      <c r="AA41" s="4">
        <v>0</v>
      </c>
      <c r="AB41" s="4">
        <v>1</v>
      </c>
      <c r="AC41" s="4">
        <v>1</v>
      </c>
      <c r="AD41" s="4">
        <v>1</v>
      </c>
      <c r="AE41" s="4">
        <v>1</v>
      </c>
      <c r="AF41" s="4">
        <v>1</v>
      </c>
      <c r="AG41" s="4">
        <v>1</v>
      </c>
      <c r="AH41" s="4" t="s">
        <v>140</v>
      </c>
      <c r="AI41" s="4">
        <v>1</v>
      </c>
      <c r="AJ41" s="4">
        <v>1</v>
      </c>
      <c r="AK41" s="4">
        <v>1</v>
      </c>
      <c r="AL41" s="4" t="s">
        <v>140</v>
      </c>
      <c r="AM41" s="4">
        <v>1</v>
      </c>
      <c r="AN41" s="4">
        <v>1</v>
      </c>
      <c r="AO41" s="4" t="s">
        <v>565</v>
      </c>
    </row>
    <row r="42" spans="1:41" hidden="1" x14ac:dyDescent="0.2">
      <c r="A42" s="13">
        <f t="shared" si="0"/>
        <v>2</v>
      </c>
      <c r="B42" s="13">
        <f t="shared" si="1"/>
        <v>1</v>
      </c>
      <c r="C42" s="13" t="str">
        <f>VLOOKUP(B42,Correspondance!$D$3:$E$14,2,FALSE)</f>
        <v>Janvier</v>
      </c>
      <c r="D42" s="15" t="str">
        <f>VLOOKUP(G42,Correspondance!$A$3:$B$10,2,FALSE)</f>
        <v>ASF</v>
      </c>
      <c r="E42" s="1" t="s">
        <v>134</v>
      </c>
      <c r="F42" s="2" t="s">
        <v>169</v>
      </c>
      <c r="G42" s="3" t="s">
        <v>61</v>
      </c>
      <c r="H42" s="4" t="s">
        <v>247</v>
      </c>
      <c r="I42" s="4" t="s">
        <v>248</v>
      </c>
      <c r="J42" s="5" t="s">
        <v>52</v>
      </c>
      <c r="K42" s="6">
        <v>100</v>
      </c>
      <c r="L42" s="4" t="s">
        <v>319</v>
      </c>
      <c r="M42" s="4" t="s">
        <v>174</v>
      </c>
      <c r="N42" s="4" t="s">
        <v>320</v>
      </c>
      <c r="O42" s="4" t="s">
        <v>99</v>
      </c>
      <c r="P42" s="4" t="s">
        <v>1206</v>
      </c>
      <c r="Q42" s="4" t="s">
        <v>49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 t="s">
        <v>140</v>
      </c>
      <c r="Z42" s="4" t="s">
        <v>140</v>
      </c>
      <c r="AA42" s="4">
        <v>1</v>
      </c>
      <c r="AB42" s="4">
        <v>1</v>
      </c>
      <c r="AC42" s="4">
        <v>1</v>
      </c>
      <c r="AD42" s="4">
        <v>1</v>
      </c>
      <c r="AE42" s="4">
        <v>1</v>
      </c>
      <c r="AF42" s="4" t="s">
        <v>140</v>
      </c>
      <c r="AG42" s="4">
        <v>1</v>
      </c>
      <c r="AH42" s="4" t="s">
        <v>140</v>
      </c>
      <c r="AI42" s="4">
        <v>1</v>
      </c>
      <c r="AJ42" s="4">
        <v>1</v>
      </c>
      <c r="AK42" s="4">
        <v>1</v>
      </c>
      <c r="AL42" s="4">
        <v>1</v>
      </c>
      <c r="AM42" s="4" t="s">
        <v>140</v>
      </c>
      <c r="AN42" s="4" t="s">
        <v>140</v>
      </c>
      <c r="AO42" s="4" t="s">
        <v>309</v>
      </c>
    </row>
    <row r="43" spans="1:41" hidden="1" x14ac:dyDescent="0.2">
      <c r="A43" s="13">
        <f t="shared" si="0"/>
        <v>2</v>
      </c>
      <c r="B43" s="13">
        <f t="shared" si="1"/>
        <v>1</v>
      </c>
      <c r="C43" s="13" t="str">
        <f>VLOOKUP(B43,Correspondance!$D$3:$E$14,2,FALSE)</f>
        <v>Janvier</v>
      </c>
      <c r="D43" s="15" t="str">
        <f>VLOOKUP(G43,Correspondance!$A$3:$B$10,2,FALSE)</f>
        <v>ASF</v>
      </c>
      <c r="E43" s="1" t="s">
        <v>134</v>
      </c>
      <c r="F43" s="2" t="s">
        <v>169</v>
      </c>
      <c r="G43" s="3" t="s">
        <v>61</v>
      </c>
      <c r="H43" s="4" t="s">
        <v>247</v>
      </c>
      <c r="I43" s="4" t="s">
        <v>248</v>
      </c>
      <c r="J43" s="5" t="s">
        <v>52</v>
      </c>
      <c r="K43" s="6">
        <v>100</v>
      </c>
      <c r="L43" s="4" t="s">
        <v>321</v>
      </c>
      <c r="M43" s="4" t="s">
        <v>215</v>
      </c>
      <c r="N43" s="4" t="s">
        <v>114</v>
      </c>
      <c r="O43" s="4" t="s">
        <v>99</v>
      </c>
      <c r="P43" s="4" t="s">
        <v>322</v>
      </c>
      <c r="Q43" s="4" t="s">
        <v>49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 t="s">
        <v>140</v>
      </c>
      <c r="Z43" s="4" t="s">
        <v>140</v>
      </c>
      <c r="AA43" s="4">
        <v>1</v>
      </c>
      <c r="AB43" s="4">
        <v>1</v>
      </c>
      <c r="AC43" s="4">
        <v>1</v>
      </c>
      <c r="AD43" s="4">
        <v>1</v>
      </c>
      <c r="AE43" s="4">
        <v>1</v>
      </c>
      <c r="AF43" s="4" t="s">
        <v>140</v>
      </c>
      <c r="AG43" s="4">
        <v>1</v>
      </c>
      <c r="AH43" s="4" t="s">
        <v>140</v>
      </c>
      <c r="AI43" s="4">
        <v>1</v>
      </c>
      <c r="AJ43" s="4">
        <v>1</v>
      </c>
      <c r="AK43" s="4">
        <v>1</v>
      </c>
      <c r="AL43" s="4" t="s">
        <v>140</v>
      </c>
      <c r="AM43" s="4" t="s">
        <v>140</v>
      </c>
      <c r="AN43" s="4" t="s">
        <v>140</v>
      </c>
      <c r="AO43" s="4" t="s">
        <v>309</v>
      </c>
    </row>
    <row r="44" spans="1:41" hidden="1" x14ac:dyDescent="0.2">
      <c r="A44" s="13">
        <f t="shared" si="0"/>
        <v>2</v>
      </c>
      <c r="B44" s="13">
        <f t="shared" si="1"/>
        <v>1</v>
      </c>
      <c r="C44" s="13" t="str">
        <f>VLOOKUP(B44,Correspondance!$D$3:$E$14,2,FALSE)</f>
        <v>Janvier</v>
      </c>
      <c r="D44" s="15" t="str">
        <f>VLOOKUP(G44,Correspondance!$A$3:$B$10,2,FALSE)</f>
        <v>ASF</v>
      </c>
      <c r="E44" s="1" t="s">
        <v>134</v>
      </c>
      <c r="F44" s="2" t="s">
        <v>169</v>
      </c>
      <c r="G44" s="3" t="s">
        <v>61</v>
      </c>
      <c r="H44" s="4" t="s">
        <v>323</v>
      </c>
      <c r="I44" s="4" t="s">
        <v>324</v>
      </c>
      <c r="J44" s="5" t="s">
        <v>57</v>
      </c>
      <c r="K44" s="6">
        <v>100</v>
      </c>
      <c r="L44" s="4" t="s">
        <v>325</v>
      </c>
      <c r="M44" s="4" t="s">
        <v>223</v>
      </c>
      <c r="N44" s="4" t="s">
        <v>114</v>
      </c>
      <c r="O44" s="4" t="s">
        <v>47</v>
      </c>
      <c r="P44" s="4" t="s">
        <v>326</v>
      </c>
      <c r="Q44" s="4" t="s">
        <v>49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 t="s">
        <v>140</v>
      </c>
      <c r="Z44" s="4">
        <v>1</v>
      </c>
      <c r="AA44" s="4">
        <v>1</v>
      </c>
      <c r="AB44" s="4">
        <v>1</v>
      </c>
      <c r="AC44" s="4">
        <v>1</v>
      </c>
      <c r="AD44" s="4">
        <v>1</v>
      </c>
      <c r="AE44" s="4">
        <v>1</v>
      </c>
      <c r="AF44" s="4" t="s">
        <v>140</v>
      </c>
      <c r="AG44" s="4">
        <v>1</v>
      </c>
      <c r="AH44" s="4">
        <v>1</v>
      </c>
      <c r="AI44" s="4">
        <v>1</v>
      </c>
      <c r="AJ44" s="4">
        <v>1</v>
      </c>
      <c r="AK44" s="4">
        <v>1</v>
      </c>
      <c r="AL44" s="4" t="s">
        <v>140</v>
      </c>
      <c r="AM44" s="4" t="s">
        <v>140</v>
      </c>
      <c r="AN44" s="4" t="s">
        <v>140</v>
      </c>
      <c r="AO44" s="4" t="s">
        <v>304</v>
      </c>
    </row>
    <row r="45" spans="1:41" x14ac:dyDescent="0.2">
      <c r="A45" s="13">
        <f t="shared" si="0"/>
        <v>2</v>
      </c>
      <c r="B45" s="13">
        <f t="shared" si="1"/>
        <v>1</v>
      </c>
      <c r="C45" s="13" t="str">
        <f>VLOOKUP(B45,Correspondance!$D$3:$E$14,2,FALSE)</f>
        <v>Janvier</v>
      </c>
      <c r="D45" s="15" t="str">
        <f>VLOOKUP(G45,Correspondance!$A$3:$B$10,2,FALSE)</f>
        <v>ASF</v>
      </c>
      <c r="E45" s="1" t="s">
        <v>134</v>
      </c>
      <c r="F45" s="2" t="s">
        <v>169</v>
      </c>
      <c r="G45" s="3" t="s">
        <v>61</v>
      </c>
      <c r="H45" s="4" t="s">
        <v>229</v>
      </c>
      <c r="I45" s="4" t="s">
        <v>230</v>
      </c>
      <c r="J45" s="5" t="s">
        <v>57</v>
      </c>
      <c r="K45" s="6">
        <v>90</v>
      </c>
      <c r="L45" s="4" t="s">
        <v>327</v>
      </c>
      <c r="M45" s="4" t="s">
        <v>174</v>
      </c>
      <c r="N45" s="4" t="s">
        <v>46</v>
      </c>
      <c r="O45" s="4" t="s">
        <v>99</v>
      </c>
      <c r="P45" s="4" t="s">
        <v>328</v>
      </c>
      <c r="Q45" s="4" t="s">
        <v>49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 t="s">
        <v>140</v>
      </c>
      <c r="Z45" s="4">
        <v>1</v>
      </c>
      <c r="AA45" s="4">
        <v>1</v>
      </c>
      <c r="AB45" s="4">
        <v>1</v>
      </c>
      <c r="AC45" s="4">
        <v>0</v>
      </c>
      <c r="AD45" s="4">
        <v>1</v>
      </c>
      <c r="AE45" s="4">
        <v>1</v>
      </c>
      <c r="AF45" s="4" t="s">
        <v>140</v>
      </c>
      <c r="AG45" s="4">
        <v>1</v>
      </c>
      <c r="AH45" s="4">
        <v>1</v>
      </c>
      <c r="AI45" s="4">
        <v>1</v>
      </c>
      <c r="AJ45" s="4">
        <v>1</v>
      </c>
      <c r="AK45" s="4" t="s">
        <v>140</v>
      </c>
      <c r="AL45" s="4" t="s">
        <v>140</v>
      </c>
      <c r="AM45" s="4" t="s">
        <v>140</v>
      </c>
      <c r="AN45" s="4" t="s">
        <v>140</v>
      </c>
      <c r="AO45" s="4" t="s">
        <v>304</v>
      </c>
    </row>
    <row r="46" spans="1:41" hidden="1" x14ac:dyDescent="0.2">
      <c r="A46" s="13">
        <f t="shared" si="0"/>
        <v>2</v>
      </c>
      <c r="B46" s="13">
        <f t="shared" si="1"/>
        <v>1</v>
      </c>
      <c r="C46" s="13" t="str">
        <f>VLOOKUP(B46,Correspondance!$D$3:$E$14,2,FALSE)</f>
        <v>Janvier</v>
      </c>
      <c r="D46" s="15" t="str">
        <f>VLOOKUP(G46,Correspondance!$A$3:$B$10,2,FALSE)</f>
        <v>ASF</v>
      </c>
      <c r="E46" s="1" t="s">
        <v>134</v>
      </c>
      <c r="F46" s="2" t="s">
        <v>169</v>
      </c>
      <c r="G46" s="3" t="s">
        <v>61</v>
      </c>
      <c r="H46" s="4" t="s">
        <v>1204</v>
      </c>
      <c r="I46" s="4" t="s">
        <v>208</v>
      </c>
      <c r="J46" s="5" t="s">
        <v>57</v>
      </c>
      <c r="K46" s="6">
        <v>100</v>
      </c>
      <c r="L46" s="4" t="s">
        <v>329</v>
      </c>
      <c r="M46" s="4" t="s">
        <v>174</v>
      </c>
      <c r="N46" s="4" t="s">
        <v>46</v>
      </c>
      <c r="O46" s="4" t="s">
        <v>99</v>
      </c>
      <c r="P46" s="4" t="s">
        <v>330</v>
      </c>
      <c r="Q46" s="4" t="s">
        <v>49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 t="s">
        <v>140</v>
      </c>
      <c r="Z46" s="4">
        <v>1</v>
      </c>
      <c r="AA46" s="4">
        <v>1</v>
      </c>
      <c r="AB46" s="4">
        <v>1</v>
      </c>
      <c r="AC46" s="4">
        <v>1</v>
      </c>
      <c r="AD46" s="4">
        <v>1</v>
      </c>
      <c r="AE46" s="4">
        <v>1</v>
      </c>
      <c r="AF46" s="4" t="s">
        <v>140</v>
      </c>
      <c r="AG46" s="4">
        <v>1</v>
      </c>
      <c r="AH46" s="4">
        <v>1</v>
      </c>
      <c r="AI46" s="4">
        <v>1</v>
      </c>
      <c r="AJ46" s="4">
        <v>1</v>
      </c>
      <c r="AK46" s="4">
        <v>1</v>
      </c>
      <c r="AL46" s="4" t="s">
        <v>140</v>
      </c>
      <c r="AM46" s="4" t="s">
        <v>140</v>
      </c>
      <c r="AN46" s="4" t="s">
        <v>140</v>
      </c>
      <c r="AO46" s="4" t="s">
        <v>565</v>
      </c>
    </row>
    <row r="47" spans="1:41" hidden="1" x14ac:dyDescent="0.2">
      <c r="A47" s="13">
        <f t="shared" si="0"/>
        <v>2</v>
      </c>
      <c r="B47" s="13">
        <f t="shared" si="1"/>
        <v>1</v>
      </c>
      <c r="C47" s="13" t="str">
        <f>VLOOKUP(B47,Correspondance!$D$3:$E$14,2,FALSE)</f>
        <v>Janvier</v>
      </c>
      <c r="D47" s="15" t="str">
        <f>VLOOKUP(G47,Correspondance!$A$3:$B$10,2,FALSE)</f>
        <v>ASF</v>
      </c>
      <c r="E47" s="1" t="s">
        <v>134</v>
      </c>
      <c r="F47" s="2" t="s">
        <v>169</v>
      </c>
      <c r="G47" s="3" t="s">
        <v>61</v>
      </c>
      <c r="H47" s="4" t="s">
        <v>1204</v>
      </c>
      <c r="I47" s="4" t="s">
        <v>208</v>
      </c>
      <c r="J47" s="5" t="s">
        <v>52</v>
      </c>
      <c r="K47" s="6">
        <v>100</v>
      </c>
      <c r="L47" s="4" t="s">
        <v>331</v>
      </c>
      <c r="M47" s="4" t="s">
        <v>215</v>
      </c>
      <c r="N47" s="4" t="s">
        <v>114</v>
      </c>
      <c r="O47" s="4" t="s">
        <v>99</v>
      </c>
      <c r="P47" s="4" t="s">
        <v>332</v>
      </c>
      <c r="Q47" s="4" t="s">
        <v>49</v>
      </c>
      <c r="R47" s="4">
        <v>1</v>
      </c>
      <c r="S47" s="4">
        <v>1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 t="s">
        <v>140</v>
      </c>
      <c r="Z47" s="4" t="s">
        <v>140</v>
      </c>
      <c r="AA47" s="4">
        <v>1</v>
      </c>
      <c r="AB47" s="4">
        <v>1</v>
      </c>
      <c r="AC47" s="4">
        <v>1</v>
      </c>
      <c r="AD47" s="4">
        <v>1</v>
      </c>
      <c r="AE47" s="4">
        <v>1</v>
      </c>
      <c r="AF47" s="4" t="s">
        <v>140</v>
      </c>
      <c r="AG47" s="4">
        <v>1</v>
      </c>
      <c r="AH47" s="4" t="s">
        <v>140</v>
      </c>
      <c r="AI47" s="4">
        <v>1</v>
      </c>
      <c r="AJ47" s="4">
        <v>1</v>
      </c>
      <c r="AK47" s="4" t="s">
        <v>140</v>
      </c>
      <c r="AL47" s="4" t="s">
        <v>140</v>
      </c>
      <c r="AM47" s="4" t="s">
        <v>140</v>
      </c>
      <c r="AN47" s="4" t="s">
        <v>140</v>
      </c>
      <c r="AO47" s="4" t="s">
        <v>309</v>
      </c>
    </row>
    <row r="48" spans="1:41" hidden="1" x14ac:dyDescent="0.2">
      <c r="A48" s="13">
        <f t="shared" si="0"/>
        <v>3</v>
      </c>
      <c r="B48" s="13">
        <f t="shared" si="1"/>
        <v>1</v>
      </c>
      <c r="C48" s="13" t="str">
        <f>VLOOKUP(B48,Correspondance!$D$3:$E$14,2,FALSE)</f>
        <v>Janvier</v>
      </c>
      <c r="D48" s="15" t="str">
        <f>VLOOKUP(G48,Correspondance!$A$3:$B$10,2,FALSE)</f>
        <v>ASF</v>
      </c>
      <c r="E48" s="1" t="s">
        <v>568</v>
      </c>
      <c r="F48" s="2" t="s">
        <v>169</v>
      </c>
      <c r="G48" s="3" t="s">
        <v>52</v>
      </c>
      <c r="H48" s="4" t="s">
        <v>93</v>
      </c>
      <c r="I48" s="4" t="s">
        <v>94</v>
      </c>
      <c r="J48" s="5" t="s">
        <v>57</v>
      </c>
      <c r="K48" s="6">
        <v>100</v>
      </c>
      <c r="L48" s="4" t="s">
        <v>655</v>
      </c>
      <c r="M48" s="4" t="s">
        <v>174</v>
      </c>
      <c r="N48" s="4" t="s">
        <v>46</v>
      </c>
      <c r="O48" s="4" t="s">
        <v>175</v>
      </c>
      <c r="P48" s="4" t="s">
        <v>656</v>
      </c>
      <c r="Q48" s="4" t="s">
        <v>49</v>
      </c>
      <c r="R48" s="4">
        <v>1</v>
      </c>
      <c r="S48" s="4">
        <v>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 t="s">
        <v>140</v>
      </c>
      <c r="Z48" s="4">
        <v>1</v>
      </c>
      <c r="AA48" s="4">
        <v>1</v>
      </c>
      <c r="AB48" s="4">
        <v>1</v>
      </c>
      <c r="AC48" s="4">
        <v>1</v>
      </c>
      <c r="AD48" s="4">
        <v>1</v>
      </c>
      <c r="AE48" s="4">
        <v>1</v>
      </c>
      <c r="AF48" s="4" t="s">
        <v>140</v>
      </c>
      <c r="AG48" s="4">
        <v>1</v>
      </c>
      <c r="AH48" s="4">
        <v>1</v>
      </c>
      <c r="AI48" s="4">
        <v>1</v>
      </c>
      <c r="AJ48" s="4">
        <v>1</v>
      </c>
      <c r="AK48" s="4">
        <v>1</v>
      </c>
      <c r="AL48" s="4">
        <v>1</v>
      </c>
      <c r="AM48" s="4">
        <v>1</v>
      </c>
      <c r="AN48" s="4">
        <v>1</v>
      </c>
      <c r="AO48" s="4" t="s">
        <v>564</v>
      </c>
    </row>
    <row r="49" spans="1:41" hidden="1" x14ac:dyDescent="0.2">
      <c r="A49" s="13">
        <f t="shared" si="0"/>
        <v>3</v>
      </c>
      <c r="B49" s="13">
        <f t="shared" si="1"/>
        <v>1</v>
      </c>
      <c r="C49" s="13" t="str">
        <f>VLOOKUP(B49,Correspondance!$D$3:$E$14,2,FALSE)</f>
        <v>Janvier</v>
      </c>
      <c r="D49" s="15" t="str">
        <f>VLOOKUP(G49,Correspondance!$A$3:$B$10,2,FALSE)</f>
        <v>ASF</v>
      </c>
      <c r="E49" s="1" t="s">
        <v>568</v>
      </c>
      <c r="F49" s="2" t="s">
        <v>169</v>
      </c>
      <c r="G49" s="3" t="s">
        <v>61</v>
      </c>
      <c r="H49" s="4" t="s">
        <v>96</v>
      </c>
      <c r="I49" s="4" t="s">
        <v>97</v>
      </c>
      <c r="J49" s="5" t="s">
        <v>61</v>
      </c>
      <c r="K49" s="6">
        <v>100</v>
      </c>
      <c r="L49" s="4" t="s">
        <v>657</v>
      </c>
      <c r="M49" s="4" t="s">
        <v>174</v>
      </c>
      <c r="N49" s="4" t="s">
        <v>46</v>
      </c>
      <c r="O49" s="4" t="s">
        <v>99</v>
      </c>
      <c r="P49" s="4" t="s">
        <v>658</v>
      </c>
      <c r="Q49" s="4" t="s">
        <v>49</v>
      </c>
      <c r="R49" s="4">
        <v>1</v>
      </c>
      <c r="S49" s="4">
        <v>1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 t="s">
        <v>140</v>
      </c>
      <c r="Z49" s="4">
        <v>1</v>
      </c>
      <c r="AA49" s="4">
        <v>1</v>
      </c>
      <c r="AB49" s="4">
        <v>1</v>
      </c>
      <c r="AC49" s="4">
        <v>1</v>
      </c>
      <c r="AD49" s="4">
        <v>1</v>
      </c>
      <c r="AE49" s="4">
        <v>1</v>
      </c>
      <c r="AF49" s="4" t="s">
        <v>140</v>
      </c>
      <c r="AG49" s="4">
        <v>1</v>
      </c>
      <c r="AH49" s="4">
        <v>1</v>
      </c>
      <c r="AI49" s="4">
        <v>1</v>
      </c>
      <c r="AJ49" s="4">
        <v>1</v>
      </c>
      <c r="AK49" s="4">
        <v>1</v>
      </c>
      <c r="AL49" s="4">
        <v>1</v>
      </c>
      <c r="AM49" s="4">
        <v>1</v>
      </c>
      <c r="AN49" s="4">
        <v>1</v>
      </c>
      <c r="AO49" s="4" t="s">
        <v>561</v>
      </c>
    </row>
    <row r="50" spans="1:41" hidden="1" x14ac:dyDescent="0.2">
      <c r="A50" s="13">
        <f t="shared" si="0"/>
        <v>3</v>
      </c>
      <c r="B50" s="13">
        <f t="shared" si="1"/>
        <v>1</v>
      </c>
      <c r="C50" s="13" t="str">
        <f>VLOOKUP(B50,Correspondance!$D$3:$E$14,2,FALSE)</f>
        <v>Janvier</v>
      </c>
      <c r="D50" s="15" t="str">
        <f>VLOOKUP(G50,Correspondance!$A$3:$B$10,2,FALSE)</f>
        <v>ASF</v>
      </c>
      <c r="E50" s="1" t="s">
        <v>568</v>
      </c>
      <c r="F50" s="2" t="s">
        <v>169</v>
      </c>
      <c r="G50" s="3" t="s">
        <v>61</v>
      </c>
      <c r="H50" s="4" t="s">
        <v>201</v>
      </c>
      <c r="I50" s="4" t="s">
        <v>202</v>
      </c>
      <c r="J50" s="5" t="s">
        <v>57</v>
      </c>
      <c r="K50" s="6">
        <v>100</v>
      </c>
      <c r="L50" s="4" t="s">
        <v>659</v>
      </c>
      <c r="M50" s="4" t="s">
        <v>174</v>
      </c>
      <c r="N50" s="4" t="s">
        <v>46</v>
      </c>
      <c r="O50" s="4" t="s">
        <v>175</v>
      </c>
      <c r="P50" s="4" t="s">
        <v>554</v>
      </c>
      <c r="Q50" s="4" t="s">
        <v>49</v>
      </c>
      <c r="R50" s="4">
        <v>1</v>
      </c>
      <c r="S50" s="4">
        <v>1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 t="s">
        <v>140</v>
      </c>
      <c r="Z50" s="4">
        <v>1</v>
      </c>
      <c r="AA50" s="4">
        <v>1</v>
      </c>
      <c r="AB50" s="4">
        <v>1</v>
      </c>
      <c r="AC50" s="4">
        <v>1</v>
      </c>
      <c r="AD50" s="4">
        <v>1</v>
      </c>
      <c r="AE50" s="4">
        <v>1</v>
      </c>
      <c r="AF50" s="4" t="s">
        <v>140</v>
      </c>
      <c r="AG50" s="4">
        <v>1</v>
      </c>
      <c r="AH50" s="4">
        <v>1</v>
      </c>
      <c r="AI50" s="4">
        <v>1</v>
      </c>
      <c r="AJ50" s="4">
        <v>1</v>
      </c>
      <c r="AK50" s="4">
        <v>1</v>
      </c>
      <c r="AL50" s="4">
        <v>1</v>
      </c>
      <c r="AM50" s="4">
        <v>1</v>
      </c>
      <c r="AN50" s="4">
        <v>1</v>
      </c>
      <c r="AO50" s="4" t="s">
        <v>567</v>
      </c>
    </row>
    <row r="51" spans="1:41" hidden="1" x14ac:dyDescent="0.2">
      <c r="A51" s="13">
        <f t="shared" si="0"/>
        <v>3</v>
      </c>
      <c r="B51" s="13">
        <f t="shared" si="1"/>
        <v>1</v>
      </c>
      <c r="C51" s="13" t="str">
        <f>VLOOKUP(B51,Correspondance!$D$3:$E$14,2,FALSE)</f>
        <v>Janvier</v>
      </c>
      <c r="D51" s="15" t="str">
        <f>VLOOKUP(G51,Correspondance!$A$3:$B$10,2,FALSE)</f>
        <v>ASF</v>
      </c>
      <c r="E51" s="1" t="s">
        <v>586</v>
      </c>
      <c r="F51" s="2" t="s">
        <v>169</v>
      </c>
      <c r="G51" s="3" t="s">
        <v>41</v>
      </c>
      <c r="H51" s="4" t="s">
        <v>42</v>
      </c>
      <c r="I51" s="4" t="s">
        <v>43</v>
      </c>
      <c r="J51" s="5" t="s">
        <v>44</v>
      </c>
      <c r="K51" s="6">
        <v>100</v>
      </c>
      <c r="L51" s="4" t="s">
        <v>660</v>
      </c>
      <c r="M51" s="4" t="s">
        <v>174</v>
      </c>
      <c r="N51" s="4" t="s">
        <v>114</v>
      </c>
      <c r="O51" s="4" t="s">
        <v>175</v>
      </c>
      <c r="P51" s="4" t="s">
        <v>207</v>
      </c>
      <c r="Q51" s="4" t="s">
        <v>49</v>
      </c>
      <c r="R51" s="4">
        <v>1</v>
      </c>
      <c r="S51" s="4" t="s">
        <v>140</v>
      </c>
      <c r="T51" s="4" t="s">
        <v>140</v>
      </c>
      <c r="U51" s="4">
        <v>1</v>
      </c>
      <c r="V51" s="4">
        <v>1</v>
      </c>
      <c r="W51" s="4">
        <v>1</v>
      </c>
      <c r="X51" s="4">
        <v>1</v>
      </c>
      <c r="Y51" s="4" t="s">
        <v>140</v>
      </c>
      <c r="Z51" s="4" t="s">
        <v>140</v>
      </c>
      <c r="AA51" s="4">
        <v>1</v>
      </c>
      <c r="AB51" s="4">
        <v>1</v>
      </c>
      <c r="AC51" s="4" t="s">
        <v>140</v>
      </c>
      <c r="AD51" s="4">
        <v>1</v>
      </c>
      <c r="AE51" s="4" t="s">
        <v>140</v>
      </c>
      <c r="AF51" s="4" t="s">
        <v>140</v>
      </c>
      <c r="AG51" s="4" t="s">
        <v>140</v>
      </c>
      <c r="AH51" s="4">
        <v>1</v>
      </c>
      <c r="AI51" s="4" t="s">
        <v>140</v>
      </c>
      <c r="AJ51" s="4" t="s">
        <v>140</v>
      </c>
      <c r="AK51" s="4" t="s">
        <v>140</v>
      </c>
      <c r="AL51" s="4" t="s">
        <v>140</v>
      </c>
      <c r="AM51" s="4" t="s">
        <v>140</v>
      </c>
      <c r="AN51" s="4" t="s">
        <v>140</v>
      </c>
      <c r="AO51" s="4" t="s">
        <v>615</v>
      </c>
    </row>
    <row r="52" spans="1:41" hidden="1" x14ac:dyDescent="0.2">
      <c r="A52" s="13">
        <f t="shared" si="0"/>
        <v>3</v>
      </c>
      <c r="B52" s="13">
        <f t="shared" si="1"/>
        <v>1</v>
      </c>
      <c r="C52" s="13" t="str">
        <f>VLOOKUP(B52,Correspondance!$D$3:$E$14,2,FALSE)</f>
        <v>Janvier</v>
      </c>
      <c r="D52" s="15" t="str">
        <f>VLOOKUP(G52,Correspondance!$A$3:$B$10,2,FALSE)</f>
        <v>ASF</v>
      </c>
      <c r="E52" s="1" t="s">
        <v>586</v>
      </c>
      <c r="F52" s="2" t="s">
        <v>169</v>
      </c>
      <c r="G52" s="3" t="s">
        <v>41</v>
      </c>
      <c r="H52" s="4" t="s">
        <v>42</v>
      </c>
      <c r="I52" s="4" t="s">
        <v>43</v>
      </c>
      <c r="J52" s="5" t="s">
        <v>44</v>
      </c>
      <c r="K52" s="6">
        <v>100</v>
      </c>
      <c r="L52" s="4" t="s">
        <v>661</v>
      </c>
      <c r="M52" s="4" t="s">
        <v>526</v>
      </c>
      <c r="N52" s="4" t="s">
        <v>114</v>
      </c>
      <c r="O52" s="4" t="s">
        <v>175</v>
      </c>
      <c r="P52" s="4" t="s">
        <v>207</v>
      </c>
      <c r="Q52" s="4" t="s">
        <v>49</v>
      </c>
      <c r="R52" s="4">
        <v>1</v>
      </c>
      <c r="S52" s="4" t="s">
        <v>140</v>
      </c>
      <c r="T52" s="4" t="s">
        <v>140</v>
      </c>
      <c r="U52" s="4">
        <v>1</v>
      </c>
      <c r="V52" s="4">
        <v>1</v>
      </c>
      <c r="W52" s="4">
        <v>1</v>
      </c>
      <c r="X52" s="4">
        <v>1</v>
      </c>
      <c r="Y52" s="4" t="s">
        <v>140</v>
      </c>
      <c r="Z52" s="4" t="s">
        <v>140</v>
      </c>
      <c r="AA52" s="4">
        <v>1</v>
      </c>
      <c r="AB52" s="4">
        <v>1</v>
      </c>
      <c r="AC52" s="4" t="s">
        <v>140</v>
      </c>
      <c r="AD52" s="4">
        <v>1</v>
      </c>
      <c r="AE52" s="4" t="s">
        <v>140</v>
      </c>
      <c r="AF52" s="4" t="s">
        <v>140</v>
      </c>
      <c r="AG52" s="4" t="s">
        <v>140</v>
      </c>
      <c r="AH52" s="4" t="s">
        <v>140</v>
      </c>
      <c r="AI52" s="4" t="s">
        <v>140</v>
      </c>
      <c r="AJ52" s="4" t="s">
        <v>140</v>
      </c>
      <c r="AK52" s="4" t="s">
        <v>140</v>
      </c>
      <c r="AL52" s="4" t="s">
        <v>140</v>
      </c>
      <c r="AM52" s="4" t="s">
        <v>140</v>
      </c>
      <c r="AN52" s="4" t="s">
        <v>140</v>
      </c>
      <c r="AO52" s="4" t="s">
        <v>615</v>
      </c>
    </row>
    <row r="53" spans="1:41" hidden="1" x14ac:dyDescent="0.2">
      <c r="A53" s="13">
        <f t="shared" ref="A53:A116" si="2">WEEKNUM(E53)</f>
        <v>3</v>
      </c>
      <c r="B53" s="13">
        <f t="shared" ref="B53:B116" si="3">MONTH(E53)</f>
        <v>1</v>
      </c>
      <c r="C53" s="13" t="str">
        <f>VLOOKUP(B53,Correspondance!$D$3:$E$14,2,FALSE)</f>
        <v>Janvier</v>
      </c>
      <c r="D53" s="15" t="str">
        <f>VLOOKUP(G53,Correspondance!$A$3:$B$10,2,FALSE)</f>
        <v>ASF</v>
      </c>
      <c r="E53" s="1" t="s">
        <v>586</v>
      </c>
      <c r="F53" s="2" t="s">
        <v>169</v>
      </c>
      <c r="G53" s="3" t="s">
        <v>41</v>
      </c>
      <c r="H53" s="4" t="s">
        <v>89</v>
      </c>
      <c r="I53" s="4" t="s">
        <v>90</v>
      </c>
      <c r="J53" s="5" t="s">
        <v>44</v>
      </c>
      <c r="K53" s="6">
        <v>96</v>
      </c>
      <c r="L53" s="4" t="s">
        <v>662</v>
      </c>
      <c r="M53" s="4" t="s">
        <v>245</v>
      </c>
      <c r="N53" s="4" t="s">
        <v>114</v>
      </c>
      <c r="O53" s="4" t="s">
        <v>175</v>
      </c>
      <c r="P53" s="4" t="s">
        <v>494</v>
      </c>
      <c r="Q53" s="4" t="s">
        <v>49</v>
      </c>
      <c r="R53" s="4">
        <v>1</v>
      </c>
      <c r="S53" s="4">
        <v>1</v>
      </c>
      <c r="T53" s="4">
        <v>1</v>
      </c>
      <c r="U53" s="4">
        <v>1</v>
      </c>
      <c r="V53" s="4">
        <v>0</v>
      </c>
      <c r="W53" s="4">
        <v>1</v>
      </c>
      <c r="X53" s="4">
        <v>1</v>
      </c>
      <c r="Y53" s="4" t="s">
        <v>140</v>
      </c>
      <c r="Z53" s="4">
        <v>1</v>
      </c>
      <c r="AA53" s="4">
        <v>1</v>
      </c>
      <c r="AB53" s="4">
        <v>1</v>
      </c>
      <c r="AC53" s="4">
        <v>1</v>
      </c>
      <c r="AD53" s="4">
        <v>1</v>
      </c>
      <c r="AE53" s="4">
        <v>1</v>
      </c>
      <c r="AF53" s="4" t="s">
        <v>140</v>
      </c>
      <c r="AG53" s="4">
        <v>1</v>
      </c>
      <c r="AH53" s="4" t="s">
        <v>140</v>
      </c>
      <c r="AI53" s="4">
        <v>1</v>
      </c>
      <c r="AJ53" s="4">
        <v>1</v>
      </c>
      <c r="AK53" s="4" t="s">
        <v>140</v>
      </c>
      <c r="AL53" s="4" t="s">
        <v>140</v>
      </c>
      <c r="AM53" s="4" t="s">
        <v>140</v>
      </c>
      <c r="AN53" s="4" t="s">
        <v>140</v>
      </c>
      <c r="AO53" s="4" t="s">
        <v>615</v>
      </c>
    </row>
    <row r="54" spans="1:41" hidden="1" x14ac:dyDescent="0.2">
      <c r="A54" s="13">
        <f t="shared" si="2"/>
        <v>3</v>
      </c>
      <c r="B54" s="13">
        <f t="shared" si="3"/>
        <v>1</v>
      </c>
      <c r="C54" s="13" t="str">
        <f>VLOOKUP(B54,Correspondance!$D$3:$E$14,2,FALSE)</f>
        <v>Janvier</v>
      </c>
      <c r="D54" s="15" t="str">
        <f>VLOOKUP(G54,Correspondance!$A$3:$B$10,2,FALSE)</f>
        <v>ASF</v>
      </c>
      <c r="E54" s="1" t="s">
        <v>586</v>
      </c>
      <c r="F54" s="2" t="s">
        <v>169</v>
      </c>
      <c r="G54" s="3" t="s">
        <v>52</v>
      </c>
      <c r="H54" s="4" t="s">
        <v>484</v>
      </c>
      <c r="I54" s="4" t="s">
        <v>485</v>
      </c>
      <c r="J54" s="5" t="s">
        <v>44</v>
      </c>
      <c r="K54" s="6">
        <v>100</v>
      </c>
      <c r="L54" s="4" t="s">
        <v>663</v>
      </c>
      <c r="M54" s="4" t="s">
        <v>365</v>
      </c>
      <c r="N54" s="4" t="s">
        <v>114</v>
      </c>
      <c r="O54" s="4" t="s">
        <v>175</v>
      </c>
      <c r="P54" s="4" t="s">
        <v>495</v>
      </c>
      <c r="Q54" s="4" t="s">
        <v>49</v>
      </c>
      <c r="R54" s="4">
        <v>1</v>
      </c>
      <c r="S54" s="4">
        <v>1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 t="s">
        <v>140</v>
      </c>
      <c r="Z54" s="4" t="s">
        <v>140</v>
      </c>
      <c r="AA54" s="4">
        <v>1</v>
      </c>
      <c r="AB54" s="4">
        <v>1</v>
      </c>
      <c r="AC54" s="4">
        <v>1</v>
      </c>
      <c r="AD54" s="4">
        <v>1</v>
      </c>
      <c r="AE54" s="4">
        <v>1</v>
      </c>
      <c r="AF54" s="4" t="s">
        <v>140</v>
      </c>
      <c r="AG54" s="4">
        <v>1</v>
      </c>
      <c r="AH54" s="4" t="s">
        <v>140</v>
      </c>
      <c r="AI54" s="4">
        <v>1</v>
      </c>
      <c r="AJ54" s="4">
        <v>1</v>
      </c>
      <c r="AK54" s="4">
        <v>1</v>
      </c>
      <c r="AL54" s="4" t="s">
        <v>140</v>
      </c>
      <c r="AM54" s="4" t="s">
        <v>140</v>
      </c>
      <c r="AN54" s="4">
        <v>1</v>
      </c>
      <c r="AO54" s="4" t="s">
        <v>562</v>
      </c>
    </row>
    <row r="55" spans="1:41" hidden="1" x14ac:dyDescent="0.2">
      <c r="A55" s="13">
        <f t="shared" si="2"/>
        <v>3</v>
      </c>
      <c r="B55" s="13">
        <f t="shared" si="3"/>
        <v>1</v>
      </c>
      <c r="C55" s="13" t="str">
        <f>VLOOKUP(B55,Correspondance!$D$3:$E$14,2,FALSE)</f>
        <v>Janvier</v>
      </c>
      <c r="D55" s="15" t="str">
        <f>VLOOKUP(G55,Correspondance!$A$3:$B$10,2,FALSE)</f>
        <v>ASF</v>
      </c>
      <c r="E55" s="1" t="s">
        <v>586</v>
      </c>
      <c r="F55" s="2" t="s">
        <v>169</v>
      </c>
      <c r="G55" s="3" t="s">
        <v>52</v>
      </c>
      <c r="H55" s="4" t="s">
        <v>93</v>
      </c>
      <c r="I55" s="4" t="s">
        <v>94</v>
      </c>
      <c r="J55" s="5" t="s">
        <v>44</v>
      </c>
      <c r="K55" s="6">
        <v>100</v>
      </c>
      <c r="L55" s="4" t="s">
        <v>664</v>
      </c>
      <c r="M55" s="4" t="s">
        <v>174</v>
      </c>
      <c r="N55" s="4" t="s">
        <v>114</v>
      </c>
      <c r="O55" s="4" t="s">
        <v>175</v>
      </c>
      <c r="P55" s="4" t="s">
        <v>665</v>
      </c>
      <c r="Q55" s="4" t="s">
        <v>49</v>
      </c>
      <c r="R55" s="4">
        <v>1</v>
      </c>
      <c r="S55" s="4">
        <v>1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 t="s">
        <v>140</v>
      </c>
      <c r="Z55" s="4" t="s">
        <v>140</v>
      </c>
      <c r="AA55" s="4">
        <v>1</v>
      </c>
      <c r="AB55" s="4">
        <v>1</v>
      </c>
      <c r="AC55" s="4">
        <v>1</v>
      </c>
      <c r="AD55" s="4">
        <v>1</v>
      </c>
      <c r="AE55" s="4">
        <v>1</v>
      </c>
      <c r="AF55" s="4" t="s">
        <v>140</v>
      </c>
      <c r="AG55" s="4">
        <v>1</v>
      </c>
      <c r="AH55" s="4" t="s">
        <v>140</v>
      </c>
      <c r="AI55" s="4">
        <v>1</v>
      </c>
      <c r="AJ55" s="4">
        <v>1</v>
      </c>
      <c r="AK55" s="4">
        <v>1</v>
      </c>
      <c r="AL55" s="4">
        <v>1</v>
      </c>
      <c r="AM55" s="4" t="s">
        <v>140</v>
      </c>
      <c r="AN55" s="4">
        <v>1</v>
      </c>
      <c r="AO55" s="4" t="s">
        <v>615</v>
      </c>
    </row>
    <row r="56" spans="1:41" hidden="1" x14ac:dyDescent="0.2">
      <c r="A56" s="13">
        <f t="shared" si="2"/>
        <v>3</v>
      </c>
      <c r="B56" s="13">
        <f t="shared" si="3"/>
        <v>1</v>
      </c>
      <c r="C56" s="13" t="str">
        <f>VLOOKUP(B56,Correspondance!$D$3:$E$14,2,FALSE)</f>
        <v>Janvier</v>
      </c>
      <c r="D56" s="15" t="str">
        <f>VLOOKUP(G56,Correspondance!$A$3:$B$10,2,FALSE)</f>
        <v>ASF</v>
      </c>
      <c r="E56" s="1" t="s">
        <v>586</v>
      </c>
      <c r="F56" s="2" t="s">
        <v>169</v>
      </c>
      <c r="G56" s="3" t="s">
        <v>52</v>
      </c>
      <c r="H56" s="4" t="s">
        <v>53</v>
      </c>
      <c r="I56" s="4" t="s">
        <v>54</v>
      </c>
      <c r="J56" s="5" t="s">
        <v>44</v>
      </c>
      <c r="K56" s="6">
        <v>100</v>
      </c>
      <c r="L56" s="4" t="s">
        <v>666</v>
      </c>
      <c r="M56" s="4" t="s">
        <v>526</v>
      </c>
      <c r="N56" s="4" t="s">
        <v>114</v>
      </c>
      <c r="O56" s="4" t="s">
        <v>175</v>
      </c>
      <c r="P56" s="4" t="s">
        <v>497</v>
      </c>
      <c r="Q56" s="4" t="s">
        <v>49</v>
      </c>
      <c r="R56" s="4">
        <v>1</v>
      </c>
      <c r="S56" s="4">
        <v>1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 t="s">
        <v>140</v>
      </c>
      <c r="Z56" s="4" t="s">
        <v>140</v>
      </c>
      <c r="AA56" s="4">
        <v>1</v>
      </c>
      <c r="AB56" s="4">
        <v>1</v>
      </c>
      <c r="AC56" s="4">
        <v>1</v>
      </c>
      <c r="AD56" s="4">
        <v>1</v>
      </c>
      <c r="AE56" s="4">
        <v>1</v>
      </c>
      <c r="AF56" s="4" t="s">
        <v>140</v>
      </c>
      <c r="AG56" s="4">
        <v>1</v>
      </c>
      <c r="AH56" s="4" t="s">
        <v>140</v>
      </c>
      <c r="AI56" s="4">
        <v>1</v>
      </c>
      <c r="AJ56" s="4">
        <v>1</v>
      </c>
      <c r="AK56" s="4">
        <v>1</v>
      </c>
      <c r="AL56" s="4" t="s">
        <v>140</v>
      </c>
      <c r="AM56" s="4" t="s">
        <v>140</v>
      </c>
      <c r="AN56" s="4">
        <v>1</v>
      </c>
      <c r="AO56" s="4" t="s">
        <v>567</v>
      </c>
    </row>
    <row r="57" spans="1:41" hidden="1" x14ac:dyDescent="0.2">
      <c r="A57" s="13">
        <f t="shared" si="2"/>
        <v>3</v>
      </c>
      <c r="B57" s="13">
        <f t="shared" si="3"/>
        <v>1</v>
      </c>
      <c r="C57" s="13" t="str">
        <f>VLOOKUP(B57,Correspondance!$D$3:$E$14,2,FALSE)</f>
        <v>Janvier</v>
      </c>
      <c r="D57" s="15" t="str">
        <f>VLOOKUP(G57,Correspondance!$A$3:$B$10,2,FALSE)</f>
        <v>ASF</v>
      </c>
      <c r="E57" s="1" t="s">
        <v>586</v>
      </c>
      <c r="F57" s="2" t="s">
        <v>169</v>
      </c>
      <c r="G57" s="3" t="s">
        <v>52</v>
      </c>
      <c r="H57" s="4" t="s">
        <v>53</v>
      </c>
      <c r="I57" s="4" t="s">
        <v>54</v>
      </c>
      <c r="J57" s="5" t="s">
        <v>44</v>
      </c>
      <c r="K57" s="6">
        <v>100</v>
      </c>
      <c r="L57" s="4" t="s">
        <v>667</v>
      </c>
      <c r="M57" s="4" t="s">
        <v>215</v>
      </c>
      <c r="N57" s="4" t="s">
        <v>114</v>
      </c>
      <c r="O57" s="4" t="s">
        <v>175</v>
      </c>
      <c r="P57" s="4" t="s">
        <v>668</v>
      </c>
      <c r="Q57" s="4" t="s">
        <v>49</v>
      </c>
      <c r="R57" s="4">
        <v>1</v>
      </c>
      <c r="S57" s="4">
        <v>1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 t="s">
        <v>140</v>
      </c>
      <c r="Z57" s="4" t="s">
        <v>140</v>
      </c>
      <c r="AA57" s="4">
        <v>1</v>
      </c>
      <c r="AB57" s="4">
        <v>1</v>
      </c>
      <c r="AC57" s="4">
        <v>1</v>
      </c>
      <c r="AD57" s="4">
        <v>1</v>
      </c>
      <c r="AE57" s="4">
        <v>1</v>
      </c>
      <c r="AF57" s="4" t="s">
        <v>140</v>
      </c>
      <c r="AG57" s="4">
        <v>1</v>
      </c>
      <c r="AH57" s="4" t="s">
        <v>140</v>
      </c>
      <c r="AI57" s="4">
        <v>1</v>
      </c>
      <c r="AJ57" s="4">
        <v>1</v>
      </c>
      <c r="AK57" s="4">
        <v>1</v>
      </c>
      <c r="AL57" s="4">
        <v>1</v>
      </c>
      <c r="AM57" s="4">
        <v>1</v>
      </c>
      <c r="AN57" s="4">
        <v>1</v>
      </c>
      <c r="AO57" s="4" t="s">
        <v>567</v>
      </c>
    </row>
    <row r="58" spans="1:41" hidden="1" x14ac:dyDescent="0.2">
      <c r="A58" s="13">
        <f t="shared" si="2"/>
        <v>3</v>
      </c>
      <c r="B58" s="13">
        <f t="shared" si="3"/>
        <v>1</v>
      </c>
      <c r="C58" s="13" t="str">
        <f>VLOOKUP(B58,Correspondance!$D$3:$E$14,2,FALSE)</f>
        <v>Janvier</v>
      </c>
      <c r="D58" s="15" t="str">
        <f>VLOOKUP(G58,Correspondance!$A$3:$B$10,2,FALSE)</f>
        <v>ASF</v>
      </c>
      <c r="E58" s="1" t="s">
        <v>586</v>
      </c>
      <c r="F58" s="2" t="s">
        <v>169</v>
      </c>
      <c r="G58" s="3" t="s">
        <v>52</v>
      </c>
      <c r="H58" s="4" t="s">
        <v>53</v>
      </c>
      <c r="I58" s="4" t="s">
        <v>54</v>
      </c>
      <c r="J58" s="5" t="s">
        <v>44</v>
      </c>
      <c r="K58" s="6">
        <v>100</v>
      </c>
      <c r="L58" s="4" t="s">
        <v>669</v>
      </c>
      <c r="M58" s="4" t="s">
        <v>215</v>
      </c>
      <c r="N58" s="4" t="s">
        <v>114</v>
      </c>
      <c r="O58" s="4" t="s">
        <v>175</v>
      </c>
      <c r="P58" s="4" t="s">
        <v>1207</v>
      </c>
      <c r="Q58" s="4" t="s">
        <v>49</v>
      </c>
      <c r="R58" s="4">
        <v>1</v>
      </c>
      <c r="S58" s="4">
        <v>1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 t="s">
        <v>140</v>
      </c>
      <c r="AA58" s="4">
        <v>1</v>
      </c>
      <c r="AB58" s="4">
        <v>1</v>
      </c>
      <c r="AC58" s="4" t="s">
        <v>140</v>
      </c>
      <c r="AD58" s="4">
        <v>1</v>
      </c>
      <c r="AE58" s="4">
        <v>1</v>
      </c>
      <c r="AF58" s="4" t="s">
        <v>140</v>
      </c>
      <c r="AG58" s="4">
        <v>1</v>
      </c>
      <c r="AH58" s="4" t="s">
        <v>140</v>
      </c>
      <c r="AI58" s="4">
        <v>1</v>
      </c>
      <c r="AJ58" s="4">
        <v>1</v>
      </c>
      <c r="AK58" s="4">
        <v>1</v>
      </c>
      <c r="AL58" s="4">
        <v>1</v>
      </c>
      <c r="AM58" s="4" t="s">
        <v>140</v>
      </c>
      <c r="AN58" s="4">
        <v>1</v>
      </c>
      <c r="AO58" s="4" t="s">
        <v>567</v>
      </c>
    </row>
    <row r="59" spans="1:41" hidden="1" x14ac:dyDescent="0.2">
      <c r="A59" s="13">
        <f t="shared" si="2"/>
        <v>3</v>
      </c>
      <c r="B59" s="13">
        <f t="shared" si="3"/>
        <v>1</v>
      </c>
      <c r="C59" s="13" t="str">
        <f>VLOOKUP(B59,Correspondance!$D$3:$E$14,2,FALSE)</f>
        <v>Janvier</v>
      </c>
      <c r="D59" s="15" t="str">
        <f>VLOOKUP(G59,Correspondance!$A$3:$B$10,2,FALSE)</f>
        <v>ASF</v>
      </c>
      <c r="E59" s="1" t="s">
        <v>586</v>
      </c>
      <c r="F59" s="2" t="s">
        <v>169</v>
      </c>
      <c r="G59" s="3" t="s">
        <v>61</v>
      </c>
      <c r="H59" s="4" t="s">
        <v>201</v>
      </c>
      <c r="I59" s="4" t="s">
        <v>202</v>
      </c>
      <c r="J59" s="5" t="s">
        <v>44</v>
      </c>
      <c r="K59" s="6">
        <v>100</v>
      </c>
      <c r="L59" s="4" t="s">
        <v>670</v>
      </c>
      <c r="M59" s="4" t="s">
        <v>245</v>
      </c>
      <c r="N59" s="4" t="s">
        <v>114</v>
      </c>
      <c r="O59" s="4" t="s">
        <v>175</v>
      </c>
      <c r="P59" s="4" t="s">
        <v>671</v>
      </c>
      <c r="Q59" s="4" t="s">
        <v>49</v>
      </c>
      <c r="R59" s="4">
        <v>1</v>
      </c>
      <c r="S59" s="4">
        <v>1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 t="s">
        <v>140</v>
      </c>
      <c r="Z59" s="4" t="s">
        <v>140</v>
      </c>
      <c r="AA59" s="4">
        <v>1</v>
      </c>
      <c r="AB59" s="4">
        <v>1</v>
      </c>
      <c r="AC59" s="4">
        <v>1</v>
      </c>
      <c r="AD59" s="4">
        <v>1</v>
      </c>
      <c r="AE59" s="4">
        <v>1</v>
      </c>
      <c r="AF59" s="4" t="s">
        <v>140</v>
      </c>
      <c r="AG59" s="4">
        <v>1</v>
      </c>
      <c r="AH59" s="4" t="s">
        <v>140</v>
      </c>
      <c r="AI59" s="4">
        <v>1</v>
      </c>
      <c r="AJ59" s="4">
        <v>1</v>
      </c>
      <c r="AK59" s="4">
        <v>1</v>
      </c>
      <c r="AL59" s="4">
        <v>1</v>
      </c>
      <c r="AM59" s="4" t="s">
        <v>140</v>
      </c>
      <c r="AN59" s="4">
        <v>1</v>
      </c>
      <c r="AO59" s="4" t="s">
        <v>1066</v>
      </c>
    </row>
    <row r="60" spans="1:41" hidden="1" x14ac:dyDescent="0.2">
      <c r="A60" s="13">
        <f t="shared" si="2"/>
        <v>3</v>
      </c>
      <c r="B60" s="13">
        <f t="shared" si="3"/>
        <v>1</v>
      </c>
      <c r="C60" s="13" t="str">
        <f>VLOOKUP(B60,Correspondance!$D$3:$E$14,2,FALSE)</f>
        <v>Janvier</v>
      </c>
      <c r="D60" s="15" t="str">
        <f>VLOOKUP(G60,Correspondance!$A$3:$B$10,2,FALSE)</f>
        <v>ASF</v>
      </c>
      <c r="E60" s="1" t="s">
        <v>586</v>
      </c>
      <c r="F60" s="2" t="s">
        <v>169</v>
      </c>
      <c r="G60" s="3" t="s">
        <v>61</v>
      </c>
      <c r="H60" s="4" t="s">
        <v>342</v>
      </c>
      <c r="I60" s="4" t="s">
        <v>343</v>
      </c>
      <c r="J60" s="5" t="s">
        <v>44</v>
      </c>
      <c r="K60" s="6">
        <v>100</v>
      </c>
      <c r="L60" s="4" t="s">
        <v>672</v>
      </c>
      <c r="M60" s="4" t="s">
        <v>174</v>
      </c>
      <c r="N60" s="4" t="s">
        <v>114</v>
      </c>
      <c r="O60" s="4" t="s">
        <v>175</v>
      </c>
      <c r="P60" s="4" t="s">
        <v>673</v>
      </c>
      <c r="Q60" s="4" t="s">
        <v>49</v>
      </c>
      <c r="R60" s="4">
        <v>1</v>
      </c>
      <c r="S60" s="4">
        <v>1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 t="s">
        <v>140</v>
      </c>
      <c r="Z60" s="4">
        <v>1</v>
      </c>
      <c r="AA60" s="4">
        <v>1</v>
      </c>
      <c r="AB60" s="4">
        <v>1</v>
      </c>
      <c r="AC60" s="4">
        <v>1</v>
      </c>
      <c r="AD60" s="4">
        <v>1</v>
      </c>
      <c r="AE60" s="4">
        <v>1</v>
      </c>
      <c r="AF60" s="4" t="s">
        <v>140</v>
      </c>
      <c r="AG60" s="4">
        <v>1</v>
      </c>
      <c r="AH60" s="4">
        <v>1</v>
      </c>
      <c r="AI60" s="4">
        <v>1</v>
      </c>
      <c r="AJ60" s="4">
        <v>1</v>
      </c>
      <c r="AK60" s="4">
        <v>1</v>
      </c>
      <c r="AL60" s="4" t="s">
        <v>140</v>
      </c>
      <c r="AM60" s="4" t="s">
        <v>140</v>
      </c>
      <c r="AN60" s="4">
        <v>1</v>
      </c>
      <c r="AO60" s="4" t="s">
        <v>562</v>
      </c>
    </row>
    <row r="61" spans="1:41" ht="38.25" hidden="1" x14ac:dyDescent="0.2">
      <c r="A61" s="13">
        <f t="shared" si="2"/>
        <v>3</v>
      </c>
      <c r="B61" s="13">
        <f t="shared" si="3"/>
        <v>1</v>
      </c>
      <c r="C61" s="13" t="str">
        <f>VLOOKUP(B61,Correspondance!$D$3:$E$14,2,FALSE)</f>
        <v>Janvier</v>
      </c>
      <c r="D61" s="15" t="str">
        <f>VLOOKUP(G61,Correspondance!$A$3:$B$10,2,FALSE)</f>
        <v>ASF</v>
      </c>
      <c r="E61" s="1" t="s">
        <v>565</v>
      </c>
      <c r="F61" s="2" t="s">
        <v>169</v>
      </c>
      <c r="G61" s="3" t="s">
        <v>41</v>
      </c>
      <c r="H61" s="4" t="s">
        <v>300</v>
      </c>
      <c r="I61" s="4" t="s">
        <v>301</v>
      </c>
      <c r="J61" s="5" t="s">
        <v>41</v>
      </c>
      <c r="K61" s="6">
        <v>100</v>
      </c>
      <c r="L61" s="4" t="s">
        <v>674</v>
      </c>
      <c r="M61" s="4" t="s">
        <v>174</v>
      </c>
      <c r="N61" s="4" t="s">
        <v>46</v>
      </c>
      <c r="O61" s="4" t="s">
        <v>99</v>
      </c>
      <c r="P61" s="4" t="s">
        <v>1208</v>
      </c>
      <c r="Q61" s="4" t="s">
        <v>49</v>
      </c>
      <c r="R61" s="4">
        <v>1</v>
      </c>
      <c r="S61" s="4">
        <v>1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 t="s">
        <v>140</v>
      </c>
      <c r="Z61" s="4">
        <v>1</v>
      </c>
      <c r="AA61" s="4">
        <v>1</v>
      </c>
      <c r="AB61" s="4">
        <v>1</v>
      </c>
      <c r="AC61" s="4">
        <v>1</v>
      </c>
      <c r="AD61" s="4">
        <v>1</v>
      </c>
      <c r="AE61" s="4">
        <v>1</v>
      </c>
      <c r="AF61" s="4" t="s">
        <v>140</v>
      </c>
      <c r="AG61" s="4">
        <v>1</v>
      </c>
      <c r="AH61" s="4">
        <v>1</v>
      </c>
      <c r="AI61" s="4">
        <v>1</v>
      </c>
      <c r="AJ61" s="4">
        <v>1</v>
      </c>
      <c r="AK61" s="4">
        <v>1</v>
      </c>
      <c r="AL61" s="4" t="s">
        <v>140</v>
      </c>
      <c r="AM61" s="4" t="s">
        <v>140</v>
      </c>
      <c r="AN61" s="4" t="s">
        <v>140</v>
      </c>
      <c r="AO61" s="4" t="s">
        <v>563</v>
      </c>
    </row>
    <row r="62" spans="1:41" hidden="1" x14ac:dyDescent="0.2">
      <c r="A62" s="13">
        <f t="shared" si="2"/>
        <v>3</v>
      </c>
      <c r="B62" s="13">
        <f t="shared" si="3"/>
        <v>1</v>
      </c>
      <c r="C62" s="13" t="str">
        <f>VLOOKUP(B62,Correspondance!$D$3:$E$14,2,FALSE)</f>
        <v>Janvier</v>
      </c>
      <c r="D62" s="15" t="str">
        <f>VLOOKUP(G62,Correspondance!$A$3:$B$10,2,FALSE)</f>
        <v>ASF</v>
      </c>
      <c r="E62" s="1" t="s">
        <v>565</v>
      </c>
      <c r="F62" s="2" t="s">
        <v>169</v>
      </c>
      <c r="G62" s="3" t="s">
        <v>41</v>
      </c>
      <c r="H62" s="4" t="s">
        <v>527</v>
      </c>
      <c r="I62" s="4" t="s">
        <v>528</v>
      </c>
      <c r="J62" s="5" t="s">
        <v>41</v>
      </c>
      <c r="K62" s="6">
        <v>100</v>
      </c>
      <c r="L62" s="4" t="s">
        <v>675</v>
      </c>
      <c r="M62" s="4" t="s">
        <v>223</v>
      </c>
      <c r="N62" s="4" t="s">
        <v>46</v>
      </c>
      <c r="O62" s="4" t="s">
        <v>99</v>
      </c>
      <c r="P62" s="4" t="s">
        <v>676</v>
      </c>
      <c r="Q62" s="4" t="s">
        <v>49</v>
      </c>
      <c r="R62" s="4">
        <v>1</v>
      </c>
      <c r="S62" s="4">
        <v>1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 t="s">
        <v>140</v>
      </c>
      <c r="Z62" s="4">
        <v>1</v>
      </c>
      <c r="AA62" s="4">
        <v>1</v>
      </c>
      <c r="AB62" s="4">
        <v>1</v>
      </c>
      <c r="AC62" s="4">
        <v>1</v>
      </c>
      <c r="AD62" s="4">
        <v>1</v>
      </c>
      <c r="AE62" s="4">
        <v>1</v>
      </c>
      <c r="AF62" s="4" t="s">
        <v>140</v>
      </c>
      <c r="AG62" s="4">
        <v>1</v>
      </c>
      <c r="AH62" s="4">
        <v>1</v>
      </c>
      <c r="AI62" s="4">
        <v>1</v>
      </c>
      <c r="AJ62" s="4">
        <v>1</v>
      </c>
      <c r="AK62" s="4">
        <v>1</v>
      </c>
      <c r="AL62" s="4">
        <v>1</v>
      </c>
      <c r="AM62" s="4">
        <v>1</v>
      </c>
      <c r="AN62" s="4">
        <v>1</v>
      </c>
      <c r="AO62" s="4" t="s">
        <v>615</v>
      </c>
    </row>
    <row r="63" spans="1:41" hidden="1" x14ac:dyDescent="0.2">
      <c r="A63" s="13">
        <f t="shared" si="2"/>
        <v>3</v>
      </c>
      <c r="B63" s="13">
        <f t="shared" si="3"/>
        <v>1</v>
      </c>
      <c r="C63" s="13" t="str">
        <f>VLOOKUP(B63,Correspondance!$D$3:$E$14,2,FALSE)</f>
        <v>Janvier</v>
      </c>
      <c r="D63" s="15" t="str">
        <f>VLOOKUP(G63,Correspondance!$A$3:$B$10,2,FALSE)</f>
        <v>ASF</v>
      </c>
      <c r="E63" s="1" t="s">
        <v>565</v>
      </c>
      <c r="F63" s="2" t="s">
        <v>169</v>
      </c>
      <c r="G63" s="3" t="s">
        <v>52</v>
      </c>
      <c r="H63" s="4" t="s">
        <v>191</v>
      </c>
      <c r="I63" s="4" t="s">
        <v>192</v>
      </c>
      <c r="J63" s="5" t="s">
        <v>57</v>
      </c>
      <c r="K63" s="6">
        <v>100</v>
      </c>
      <c r="L63" s="4" t="s">
        <v>677</v>
      </c>
      <c r="M63" s="4" t="s">
        <v>174</v>
      </c>
      <c r="N63" s="4" t="s">
        <v>46</v>
      </c>
      <c r="O63" s="4" t="s">
        <v>175</v>
      </c>
      <c r="P63" s="4" t="s">
        <v>678</v>
      </c>
      <c r="Q63" s="4" t="s">
        <v>49</v>
      </c>
      <c r="R63" s="4">
        <v>1</v>
      </c>
      <c r="S63" s="4">
        <v>1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 t="s">
        <v>140</v>
      </c>
      <c r="Z63" s="4">
        <v>1</v>
      </c>
      <c r="AA63" s="4">
        <v>1</v>
      </c>
      <c r="AB63" s="4">
        <v>1</v>
      </c>
      <c r="AC63" s="4">
        <v>1</v>
      </c>
      <c r="AD63" s="4">
        <v>1</v>
      </c>
      <c r="AE63" s="4">
        <v>1</v>
      </c>
      <c r="AF63" s="4" t="s">
        <v>140</v>
      </c>
      <c r="AG63" s="4">
        <v>1</v>
      </c>
      <c r="AH63" s="4">
        <v>1</v>
      </c>
      <c r="AI63" s="4">
        <v>1</v>
      </c>
      <c r="AJ63" s="4">
        <v>1</v>
      </c>
      <c r="AK63" s="4">
        <v>1</v>
      </c>
      <c r="AL63" s="4">
        <v>1</v>
      </c>
      <c r="AM63" s="4">
        <v>1</v>
      </c>
      <c r="AN63" s="4">
        <v>1</v>
      </c>
      <c r="AO63" s="4" t="s">
        <v>567</v>
      </c>
    </row>
    <row r="64" spans="1:41" hidden="1" x14ac:dyDescent="0.2">
      <c r="A64" s="13">
        <f t="shared" si="2"/>
        <v>3</v>
      </c>
      <c r="B64" s="13">
        <f t="shared" si="3"/>
        <v>1</v>
      </c>
      <c r="C64" s="13" t="str">
        <f>VLOOKUP(B64,Correspondance!$D$3:$E$14,2,FALSE)</f>
        <v>Janvier</v>
      </c>
      <c r="D64" s="15" t="str">
        <f>VLOOKUP(G64,Correspondance!$A$3:$B$10,2,FALSE)</f>
        <v>ASF</v>
      </c>
      <c r="E64" s="1" t="s">
        <v>565</v>
      </c>
      <c r="F64" s="2" t="s">
        <v>169</v>
      </c>
      <c r="G64" s="3" t="s">
        <v>52</v>
      </c>
      <c r="H64" s="4" t="s">
        <v>191</v>
      </c>
      <c r="I64" s="4" t="s">
        <v>192</v>
      </c>
      <c r="J64" s="5" t="s">
        <v>57</v>
      </c>
      <c r="K64" s="6">
        <v>100</v>
      </c>
      <c r="L64" s="4" t="s">
        <v>679</v>
      </c>
      <c r="M64" s="4" t="s">
        <v>174</v>
      </c>
      <c r="N64" s="4" t="s">
        <v>46</v>
      </c>
      <c r="O64" s="4" t="s">
        <v>175</v>
      </c>
      <c r="P64" s="4" t="s">
        <v>680</v>
      </c>
      <c r="Q64" s="4" t="s">
        <v>49</v>
      </c>
      <c r="R64" s="4">
        <v>1</v>
      </c>
      <c r="S64" s="4">
        <v>1</v>
      </c>
      <c r="T64" s="4">
        <v>1</v>
      </c>
      <c r="U64" s="4">
        <v>1</v>
      </c>
      <c r="V64" s="4">
        <v>1</v>
      </c>
      <c r="W64" s="4">
        <v>1</v>
      </c>
      <c r="X64" s="4">
        <v>1</v>
      </c>
      <c r="Y64" s="4" t="s">
        <v>140</v>
      </c>
      <c r="Z64" s="4">
        <v>1</v>
      </c>
      <c r="AA64" s="4">
        <v>1</v>
      </c>
      <c r="AB64" s="4">
        <v>1</v>
      </c>
      <c r="AC64" s="4">
        <v>1</v>
      </c>
      <c r="AD64" s="4">
        <v>1</v>
      </c>
      <c r="AE64" s="4">
        <v>1</v>
      </c>
      <c r="AF64" s="4" t="s">
        <v>140</v>
      </c>
      <c r="AG64" s="4">
        <v>1</v>
      </c>
      <c r="AH64" s="4">
        <v>1</v>
      </c>
      <c r="AI64" s="4">
        <v>1</v>
      </c>
      <c r="AJ64" s="4">
        <v>1</v>
      </c>
      <c r="AK64" s="4">
        <v>1</v>
      </c>
      <c r="AL64" s="4">
        <v>1</v>
      </c>
      <c r="AM64" s="4">
        <v>1</v>
      </c>
      <c r="AN64" s="4">
        <v>1</v>
      </c>
      <c r="AO64" s="4" t="s">
        <v>567</v>
      </c>
    </row>
    <row r="65" spans="1:41" hidden="1" x14ac:dyDescent="0.2">
      <c r="A65" s="13">
        <f t="shared" si="2"/>
        <v>3</v>
      </c>
      <c r="B65" s="13">
        <f t="shared" si="3"/>
        <v>1</v>
      </c>
      <c r="C65" s="13" t="str">
        <f>VLOOKUP(B65,Correspondance!$D$3:$E$14,2,FALSE)</f>
        <v>Janvier</v>
      </c>
      <c r="D65" s="15" t="str">
        <f>VLOOKUP(G65,Correspondance!$A$3:$B$10,2,FALSE)</f>
        <v>ASF</v>
      </c>
      <c r="E65" s="1" t="s">
        <v>565</v>
      </c>
      <c r="F65" s="2" t="s">
        <v>169</v>
      </c>
      <c r="G65" s="3" t="s">
        <v>52</v>
      </c>
      <c r="H65" s="4" t="s">
        <v>191</v>
      </c>
      <c r="I65" s="4" t="s">
        <v>192</v>
      </c>
      <c r="J65" s="5" t="s">
        <v>57</v>
      </c>
      <c r="K65" s="6">
        <v>100</v>
      </c>
      <c r="L65" s="4" t="s">
        <v>681</v>
      </c>
      <c r="M65" s="4" t="s">
        <v>174</v>
      </c>
      <c r="N65" s="4" t="s">
        <v>46</v>
      </c>
      <c r="O65" s="4" t="s">
        <v>175</v>
      </c>
      <c r="P65" s="4" t="s">
        <v>541</v>
      </c>
      <c r="Q65" s="4" t="s">
        <v>49</v>
      </c>
      <c r="R65" s="4">
        <v>1</v>
      </c>
      <c r="S65" s="4">
        <v>1</v>
      </c>
      <c r="T65" s="4">
        <v>1</v>
      </c>
      <c r="U65" s="4">
        <v>1</v>
      </c>
      <c r="V65" s="4">
        <v>1</v>
      </c>
      <c r="W65" s="4">
        <v>1</v>
      </c>
      <c r="X65" s="4">
        <v>1</v>
      </c>
      <c r="Y65" s="4" t="s">
        <v>140</v>
      </c>
      <c r="Z65" s="4">
        <v>1</v>
      </c>
      <c r="AA65" s="4">
        <v>1</v>
      </c>
      <c r="AB65" s="4">
        <v>1</v>
      </c>
      <c r="AC65" s="4">
        <v>1</v>
      </c>
      <c r="AD65" s="4">
        <v>1</v>
      </c>
      <c r="AE65" s="4">
        <v>1</v>
      </c>
      <c r="AF65" s="4" t="s">
        <v>140</v>
      </c>
      <c r="AG65" s="4">
        <v>1</v>
      </c>
      <c r="AH65" s="4">
        <v>1</v>
      </c>
      <c r="AI65" s="4">
        <v>1</v>
      </c>
      <c r="AJ65" s="4">
        <v>1</v>
      </c>
      <c r="AK65" s="4">
        <v>1</v>
      </c>
      <c r="AL65" s="4">
        <v>1</v>
      </c>
      <c r="AM65" s="4">
        <v>1</v>
      </c>
      <c r="AN65" s="4">
        <v>1</v>
      </c>
      <c r="AO65" s="4" t="s">
        <v>567</v>
      </c>
    </row>
    <row r="66" spans="1:41" hidden="1" x14ac:dyDescent="0.2">
      <c r="A66" s="13">
        <f t="shared" si="2"/>
        <v>3</v>
      </c>
      <c r="B66" s="13">
        <f t="shared" si="3"/>
        <v>1</v>
      </c>
      <c r="C66" s="13" t="str">
        <f>VLOOKUP(B66,Correspondance!$D$3:$E$14,2,FALSE)</f>
        <v>Janvier</v>
      </c>
      <c r="D66" s="15" t="str">
        <f>VLOOKUP(G66,Correspondance!$A$3:$B$10,2,FALSE)</f>
        <v>ASF</v>
      </c>
      <c r="E66" s="1" t="s">
        <v>565</v>
      </c>
      <c r="F66" s="2" t="s">
        <v>169</v>
      </c>
      <c r="G66" s="3" t="s">
        <v>52</v>
      </c>
      <c r="H66" s="4" t="s">
        <v>1203</v>
      </c>
      <c r="I66" s="4" t="s">
        <v>194</v>
      </c>
      <c r="J66" s="5" t="s">
        <v>57</v>
      </c>
      <c r="K66" s="6">
        <v>100</v>
      </c>
      <c r="L66" s="4" t="s">
        <v>682</v>
      </c>
      <c r="M66" s="4" t="s">
        <v>215</v>
      </c>
      <c r="N66" s="4" t="s">
        <v>46</v>
      </c>
      <c r="O66" s="4" t="s">
        <v>99</v>
      </c>
      <c r="P66" s="4" t="s">
        <v>674</v>
      </c>
      <c r="Q66" s="4" t="s">
        <v>49</v>
      </c>
      <c r="R66" s="4">
        <v>1</v>
      </c>
      <c r="S66" s="4">
        <v>1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 t="s">
        <v>140</v>
      </c>
      <c r="Z66" s="4">
        <v>1</v>
      </c>
      <c r="AA66" s="4">
        <v>1</v>
      </c>
      <c r="AB66" s="4">
        <v>1</v>
      </c>
      <c r="AC66" s="4">
        <v>1</v>
      </c>
      <c r="AD66" s="4">
        <v>1</v>
      </c>
      <c r="AE66" s="4">
        <v>1</v>
      </c>
      <c r="AF66" s="4" t="s">
        <v>140</v>
      </c>
      <c r="AG66" s="4">
        <v>1</v>
      </c>
      <c r="AH66" s="4">
        <v>1</v>
      </c>
      <c r="AI66" s="4">
        <v>1</v>
      </c>
      <c r="AJ66" s="4">
        <v>1</v>
      </c>
      <c r="AK66" s="4" t="s">
        <v>140</v>
      </c>
      <c r="AL66" s="4" t="s">
        <v>140</v>
      </c>
      <c r="AM66" s="4" t="s">
        <v>140</v>
      </c>
      <c r="AN66" s="4">
        <v>1</v>
      </c>
      <c r="AO66" s="4" t="s">
        <v>567</v>
      </c>
    </row>
    <row r="67" spans="1:41" hidden="1" x14ac:dyDescent="0.2">
      <c r="A67" s="13">
        <f t="shared" si="2"/>
        <v>3</v>
      </c>
      <c r="B67" s="13">
        <f t="shared" si="3"/>
        <v>1</v>
      </c>
      <c r="C67" s="13" t="str">
        <f>VLOOKUP(B67,Correspondance!$D$3:$E$14,2,FALSE)</f>
        <v>Janvier</v>
      </c>
      <c r="D67" s="15" t="str">
        <f>VLOOKUP(G67,Correspondance!$A$3:$B$10,2,FALSE)</f>
        <v>ASF</v>
      </c>
      <c r="E67" s="1" t="s">
        <v>565</v>
      </c>
      <c r="F67" s="2" t="s">
        <v>169</v>
      </c>
      <c r="G67" s="3" t="s">
        <v>52</v>
      </c>
      <c r="H67" s="4" t="s">
        <v>1203</v>
      </c>
      <c r="I67" s="4" t="s">
        <v>194</v>
      </c>
      <c r="J67" s="5" t="s">
        <v>57</v>
      </c>
      <c r="K67" s="6">
        <v>100</v>
      </c>
      <c r="L67" s="4" t="s">
        <v>683</v>
      </c>
      <c r="M67" s="4" t="s">
        <v>174</v>
      </c>
      <c r="N67" s="4" t="s">
        <v>46</v>
      </c>
      <c r="O67" s="4" t="s">
        <v>99</v>
      </c>
      <c r="P67" s="4" t="s">
        <v>680</v>
      </c>
      <c r="Q67" s="4" t="s">
        <v>49</v>
      </c>
      <c r="R67" s="4">
        <v>1</v>
      </c>
      <c r="S67" s="4">
        <v>1</v>
      </c>
      <c r="T67" s="4">
        <v>1</v>
      </c>
      <c r="U67" s="4">
        <v>1</v>
      </c>
      <c r="V67" s="4">
        <v>1</v>
      </c>
      <c r="W67" s="4">
        <v>1</v>
      </c>
      <c r="X67" s="4">
        <v>0</v>
      </c>
      <c r="Y67" s="4" t="s">
        <v>140</v>
      </c>
      <c r="Z67" s="4" t="s">
        <v>140</v>
      </c>
      <c r="AA67" s="4">
        <v>1</v>
      </c>
      <c r="AB67" s="4">
        <v>1</v>
      </c>
      <c r="AC67" s="4">
        <v>1</v>
      </c>
      <c r="AD67" s="4">
        <v>1</v>
      </c>
      <c r="AE67" s="4">
        <v>1</v>
      </c>
      <c r="AF67" s="4" t="s">
        <v>140</v>
      </c>
      <c r="AG67" s="4">
        <v>1</v>
      </c>
      <c r="AH67" s="4">
        <v>1</v>
      </c>
      <c r="AI67" s="4">
        <v>1</v>
      </c>
      <c r="AJ67" s="4">
        <v>1</v>
      </c>
      <c r="AK67" s="4">
        <v>1</v>
      </c>
      <c r="AL67" s="4">
        <v>1</v>
      </c>
      <c r="AM67" s="4">
        <v>1</v>
      </c>
      <c r="AN67" s="4">
        <v>1</v>
      </c>
      <c r="AO67" s="4" t="s">
        <v>567</v>
      </c>
    </row>
    <row r="68" spans="1:41" hidden="1" x14ac:dyDescent="0.2">
      <c r="A68" s="13">
        <f t="shared" si="2"/>
        <v>3</v>
      </c>
      <c r="B68" s="13">
        <f t="shared" si="3"/>
        <v>1</v>
      </c>
      <c r="C68" s="13" t="str">
        <f>VLOOKUP(B68,Correspondance!$D$3:$E$14,2,FALSE)</f>
        <v>Janvier</v>
      </c>
      <c r="D68" s="15" t="str">
        <f>VLOOKUP(G68,Correspondance!$A$3:$B$10,2,FALSE)</f>
        <v>ASF</v>
      </c>
      <c r="E68" s="1" t="s">
        <v>565</v>
      </c>
      <c r="F68" s="2" t="s">
        <v>169</v>
      </c>
      <c r="G68" s="3" t="s">
        <v>61</v>
      </c>
      <c r="H68" s="4" t="s">
        <v>96</v>
      </c>
      <c r="I68" s="4" t="s">
        <v>97</v>
      </c>
      <c r="J68" s="5" t="s">
        <v>61</v>
      </c>
      <c r="K68" s="6">
        <v>100</v>
      </c>
      <c r="L68" s="4" t="s">
        <v>684</v>
      </c>
      <c r="M68" s="4" t="s">
        <v>215</v>
      </c>
      <c r="N68" s="4" t="s">
        <v>66</v>
      </c>
      <c r="O68" s="4" t="s">
        <v>99</v>
      </c>
      <c r="P68" s="4" t="s">
        <v>685</v>
      </c>
      <c r="Q68" s="4" t="s">
        <v>49</v>
      </c>
      <c r="R68" s="4">
        <v>1</v>
      </c>
      <c r="S68" s="4">
        <v>1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 t="s">
        <v>140</v>
      </c>
      <c r="Z68" s="4" t="s">
        <v>140</v>
      </c>
      <c r="AA68" s="4">
        <v>1</v>
      </c>
      <c r="AB68" s="4">
        <v>1</v>
      </c>
      <c r="AC68" s="4">
        <v>1</v>
      </c>
      <c r="AD68" s="4">
        <v>1</v>
      </c>
      <c r="AE68" s="4">
        <v>1</v>
      </c>
      <c r="AF68" s="4" t="s">
        <v>140</v>
      </c>
      <c r="AG68" s="4">
        <v>1</v>
      </c>
      <c r="AH68" s="4">
        <v>1</v>
      </c>
      <c r="AI68" s="4">
        <v>1</v>
      </c>
      <c r="AJ68" s="4">
        <v>1</v>
      </c>
      <c r="AK68" s="4">
        <v>1</v>
      </c>
      <c r="AL68" s="4" t="s">
        <v>140</v>
      </c>
      <c r="AM68" s="4" t="s">
        <v>140</v>
      </c>
      <c r="AN68" s="4" t="s">
        <v>140</v>
      </c>
      <c r="AO68" s="4" t="s">
        <v>561</v>
      </c>
    </row>
    <row r="69" spans="1:41" hidden="1" x14ac:dyDescent="0.2">
      <c r="A69" s="13">
        <f t="shared" si="2"/>
        <v>4</v>
      </c>
      <c r="B69" s="13">
        <f t="shared" si="3"/>
        <v>1</v>
      </c>
      <c r="C69" s="13" t="str">
        <f>VLOOKUP(B69,Correspondance!$D$3:$E$14,2,FALSE)</f>
        <v>Janvier</v>
      </c>
      <c r="D69" s="15" t="str">
        <f>VLOOKUP(G69,Correspondance!$A$3:$B$10,2,FALSE)</f>
        <v>ASF</v>
      </c>
      <c r="E69" s="1" t="s">
        <v>610</v>
      </c>
      <c r="F69" s="2" t="s">
        <v>169</v>
      </c>
      <c r="G69" s="3" t="s">
        <v>52</v>
      </c>
      <c r="H69" s="4" t="s">
        <v>233</v>
      </c>
      <c r="I69" s="4" t="s">
        <v>234</v>
      </c>
      <c r="J69" s="5" t="s">
        <v>57</v>
      </c>
      <c r="K69" s="6">
        <v>100</v>
      </c>
      <c r="L69" s="4" t="s">
        <v>686</v>
      </c>
      <c r="M69" s="4" t="s">
        <v>399</v>
      </c>
      <c r="N69" s="4" t="s">
        <v>46</v>
      </c>
      <c r="O69" s="4" t="s">
        <v>99</v>
      </c>
      <c r="P69" s="4" t="s">
        <v>687</v>
      </c>
      <c r="Q69" s="4" t="s">
        <v>49</v>
      </c>
      <c r="R69" s="4">
        <v>1</v>
      </c>
      <c r="S69" s="4">
        <v>1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 t="s">
        <v>140</v>
      </c>
      <c r="Z69" s="4">
        <v>1</v>
      </c>
      <c r="AA69" s="4">
        <v>1</v>
      </c>
      <c r="AB69" s="4">
        <v>1</v>
      </c>
      <c r="AC69" s="4">
        <v>1</v>
      </c>
      <c r="AD69" s="4">
        <v>1</v>
      </c>
      <c r="AE69" s="4">
        <v>1</v>
      </c>
      <c r="AF69" s="4" t="s">
        <v>140</v>
      </c>
      <c r="AG69" s="4">
        <v>1</v>
      </c>
      <c r="AH69" s="4">
        <v>1</v>
      </c>
      <c r="AI69" s="4">
        <v>1</v>
      </c>
      <c r="AJ69" s="4">
        <v>1</v>
      </c>
      <c r="AK69" s="4">
        <v>1</v>
      </c>
      <c r="AL69" s="4">
        <v>1</v>
      </c>
      <c r="AM69" s="4">
        <v>1</v>
      </c>
      <c r="AN69" s="4">
        <v>1</v>
      </c>
      <c r="AO69" s="4" t="s">
        <v>615</v>
      </c>
    </row>
    <row r="70" spans="1:41" hidden="1" x14ac:dyDescent="0.2">
      <c r="A70" s="13">
        <f t="shared" si="2"/>
        <v>4</v>
      </c>
      <c r="B70" s="13">
        <f t="shared" si="3"/>
        <v>1</v>
      </c>
      <c r="C70" s="13" t="str">
        <f>VLOOKUP(B70,Correspondance!$D$3:$E$14,2,FALSE)</f>
        <v>Janvier</v>
      </c>
      <c r="D70" s="15" t="str">
        <f>VLOOKUP(G70,Correspondance!$A$3:$B$10,2,FALSE)</f>
        <v>ASF</v>
      </c>
      <c r="E70" s="1" t="s">
        <v>610</v>
      </c>
      <c r="F70" s="2" t="s">
        <v>169</v>
      </c>
      <c r="G70" s="3" t="s">
        <v>52</v>
      </c>
      <c r="H70" s="4" t="s">
        <v>233</v>
      </c>
      <c r="I70" s="4" t="s">
        <v>234</v>
      </c>
      <c r="J70" s="5" t="s">
        <v>57</v>
      </c>
      <c r="K70" s="6">
        <v>100</v>
      </c>
      <c r="L70" s="4" t="s">
        <v>688</v>
      </c>
      <c r="M70" s="4" t="s">
        <v>174</v>
      </c>
      <c r="N70" s="4" t="s">
        <v>46</v>
      </c>
      <c r="O70" s="4" t="s">
        <v>99</v>
      </c>
      <c r="P70" s="4" t="s">
        <v>689</v>
      </c>
      <c r="Q70" s="4" t="s">
        <v>49</v>
      </c>
      <c r="R70" s="4">
        <v>1</v>
      </c>
      <c r="S70" s="4">
        <v>1</v>
      </c>
      <c r="T70" s="4">
        <v>1</v>
      </c>
      <c r="U70" s="4">
        <v>1</v>
      </c>
      <c r="V70" s="4">
        <v>1</v>
      </c>
      <c r="W70" s="4">
        <v>1</v>
      </c>
      <c r="X70" s="4">
        <v>1</v>
      </c>
      <c r="Y70" s="4">
        <v>1</v>
      </c>
      <c r="Z70" s="4" t="s">
        <v>140</v>
      </c>
      <c r="AA70" s="4">
        <v>1</v>
      </c>
      <c r="AB70" s="4">
        <v>1</v>
      </c>
      <c r="AC70" s="4">
        <v>1</v>
      </c>
      <c r="AD70" s="4">
        <v>1</v>
      </c>
      <c r="AE70" s="4">
        <v>1</v>
      </c>
      <c r="AF70" s="4" t="s">
        <v>140</v>
      </c>
      <c r="AG70" s="4">
        <v>1</v>
      </c>
      <c r="AH70" s="4">
        <v>1</v>
      </c>
      <c r="AI70" s="4">
        <v>1</v>
      </c>
      <c r="AJ70" s="4">
        <v>1</v>
      </c>
      <c r="AK70" s="4" t="s">
        <v>140</v>
      </c>
      <c r="AL70" s="4" t="s">
        <v>140</v>
      </c>
      <c r="AM70" s="4" t="s">
        <v>140</v>
      </c>
      <c r="AN70" s="4" t="s">
        <v>140</v>
      </c>
      <c r="AO70" s="4" t="s">
        <v>615</v>
      </c>
    </row>
    <row r="71" spans="1:41" hidden="1" x14ac:dyDescent="0.2">
      <c r="A71" s="13">
        <f t="shared" si="2"/>
        <v>4</v>
      </c>
      <c r="B71" s="13">
        <f t="shared" si="3"/>
        <v>1</v>
      </c>
      <c r="C71" s="13" t="str">
        <f>VLOOKUP(B71,Correspondance!$D$3:$E$14,2,FALSE)</f>
        <v>Janvier</v>
      </c>
      <c r="D71" s="15" t="str">
        <f>VLOOKUP(G71,Correspondance!$A$3:$B$10,2,FALSE)</f>
        <v>ASF</v>
      </c>
      <c r="E71" s="1" t="s">
        <v>610</v>
      </c>
      <c r="F71" s="2" t="s">
        <v>169</v>
      </c>
      <c r="G71" s="3" t="s">
        <v>52</v>
      </c>
      <c r="H71" s="4" t="s">
        <v>93</v>
      </c>
      <c r="I71" s="4" t="s">
        <v>94</v>
      </c>
      <c r="J71" s="5" t="s">
        <v>57</v>
      </c>
      <c r="K71" s="6">
        <v>100</v>
      </c>
      <c r="L71" s="4" t="s">
        <v>690</v>
      </c>
      <c r="M71" s="4" t="s">
        <v>174</v>
      </c>
      <c r="N71" s="4" t="s">
        <v>46</v>
      </c>
      <c r="O71" s="4" t="s">
        <v>175</v>
      </c>
      <c r="P71" s="4" t="s">
        <v>570</v>
      </c>
      <c r="Q71" s="4" t="s">
        <v>49</v>
      </c>
      <c r="R71" s="4">
        <v>1</v>
      </c>
      <c r="S71" s="4">
        <v>1</v>
      </c>
      <c r="T71" s="4">
        <v>1</v>
      </c>
      <c r="U71" s="4">
        <v>1</v>
      </c>
      <c r="V71" s="4">
        <v>1</v>
      </c>
      <c r="W71" s="4">
        <v>1</v>
      </c>
      <c r="X71" s="4">
        <v>1</v>
      </c>
      <c r="Y71" s="4" t="s">
        <v>140</v>
      </c>
      <c r="Z71" s="4">
        <v>1</v>
      </c>
      <c r="AA71" s="4">
        <v>1</v>
      </c>
      <c r="AB71" s="4">
        <v>1</v>
      </c>
      <c r="AC71" s="4">
        <v>1</v>
      </c>
      <c r="AD71" s="4">
        <v>1</v>
      </c>
      <c r="AE71" s="4">
        <v>1</v>
      </c>
      <c r="AF71" s="4" t="s">
        <v>140</v>
      </c>
      <c r="AG71" s="4">
        <v>1</v>
      </c>
      <c r="AH71" s="4">
        <v>1</v>
      </c>
      <c r="AI71" s="4">
        <v>1</v>
      </c>
      <c r="AJ71" s="4">
        <v>1</v>
      </c>
      <c r="AK71" s="4">
        <v>1</v>
      </c>
      <c r="AL71" s="4">
        <v>1</v>
      </c>
      <c r="AM71" s="4">
        <v>1</v>
      </c>
      <c r="AN71" s="4">
        <v>1</v>
      </c>
      <c r="AO71" s="4" t="s">
        <v>615</v>
      </c>
    </row>
    <row r="72" spans="1:41" hidden="1" x14ac:dyDescent="0.2">
      <c r="A72" s="13">
        <f t="shared" si="2"/>
        <v>4</v>
      </c>
      <c r="B72" s="13">
        <f t="shared" si="3"/>
        <v>1</v>
      </c>
      <c r="C72" s="13" t="str">
        <f>VLOOKUP(B72,Correspondance!$D$3:$E$14,2,FALSE)</f>
        <v>Janvier</v>
      </c>
      <c r="D72" s="15" t="str">
        <f>VLOOKUP(G72,Correspondance!$A$3:$B$10,2,FALSE)</f>
        <v>ASF</v>
      </c>
      <c r="E72" s="1" t="s">
        <v>610</v>
      </c>
      <c r="F72" s="2" t="s">
        <v>169</v>
      </c>
      <c r="G72" s="3" t="s">
        <v>61</v>
      </c>
      <c r="H72" s="4" t="s">
        <v>323</v>
      </c>
      <c r="I72" s="4" t="s">
        <v>324</v>
      </c>
      <c r="J72" s="5" t="s">
        <v>57</v>
      </c>
      <c r="K72" s="6">
        <v>100</v>
      </c>
      <c r="L72" s="4" t="s">
        <v>691</v>
      </c>
      <c r="M72" s="4" t="s">
        <v>190</v>
      </c>
      <c r="N72" s="4" t="s">
        <v>46</v>
      </c>
      <c r="O72" s="4" t="s">
        <v>175</v>
      </c>
      <c r="P72" s="4" t="s">
        <v>692</v>
      </c>
      <c r="Q72" s="4" t="s">
        <v>49</v>
      </c>
      <c r="R72" s="4">
        <v>1</v>
      </c>
      <c r="S72" s="4">
        <v>1</v>
      </c>
      <c r="T72" s="4">
        <v>1</v>
      </c>
      <c r="U72" s="4">
        <v>1</v>
      </c>
      <c r="V72" s="4">
        <v>1</v>
      </c>
      <c r="W72" s="4">
        <v>1</v>
      </c>
      <c r="X72" s="4">
        <v>1</v>
      </c>
      <c r="Y72" s="4" t="s">
        <v>140</v>
      </c>
      <c r="Z72" s="4">
        <v>1</v>
      </c>
      <c r="AA72" s="4">
        <v>1</v>
      </c>
      <c r="AB72" s="4">
        <v>1</v>
      </c>
      <c r="AC72" s="4">
        <v>1</v>
      </c>
      <c r="AD72" s="4">
        <v>1</v>
      </c>
      <c r="AE72" s="4">
        <v>1</v>
      </c>
      <c r="AF72" s="4" t="s">
        <v>140</v>
      </c>
      <c r="AG72" s="4">
        <v>1</v>
      </c>
      <c r="AH72" s="4">
        <v>1</v>
      </c>
      <c r="AI72" s="4">
        <v>1</v>
      </c>
      <c r="AJ72" s="4">
        <v>1</v>
      </c>
      <c r="AK72" s="4">
        <v>1</v>
      </c>
      <c r="AL72" s="4">
        <v>1</v>
      </c>
      <c r="AM72" s="4">
        <v>1</v>
      </c>
      <c r="AN72" s="4">
        <v>1</v>
      </c>
      <c r="AO72" s="4" t="s">
        <v>562</v>
      </c>
    </row>
    <row r="73" spans="1:41" hidden="1" x14ac:dyDescent="0.2">
      <c r="A73" s="13">
        <f t="shared" si="2"/>
        <v>4</v>
      </c>
      <c r="B73" s="13">
        <f t="shared" si="3"/>
        <v>1</v>
      </c>
      <c r="C73" s="13" t="str">
        <f>VLOOKUP(B73,Correspondance!$D$3:$E$14,2,FALSE)</f>
        <v>Janvier</v>
      </c>
      <c r="D73" s="15" t="str">
        <f>VLOOKUP(G73,Correspondance!$A$3:$B$10,2,FALSE)</f>
        <v>ASF</v>
      </c>
      <c r="E73" s="1" t="s">
        <v>567</v>
      </c>
      <c r="F73" s="2" t="s">
        <v>169</v>
      </c>
      <c r="G73" s="3" t="s">
        <v>41</v>
      </c>
      <c r="H73" s="4" t="s">
        <v>300</v>
      </c>
      <c r="I73" s="4" t="s">
        <v>301</v>
      </c>
      <c r="J73" s="5" t="s">
        <v>57</v>
      </c>
      <c r="K73" s="6">
        <v>100</v>
      </c>
      <c r="L73" s="4" t="s">
        <v>693</v>
      </c>
      <c r="M73" s="4" t="s">
        <v>223</v>
      </c>
      <c r="N73" s="4" t="s">
        <v>46</v>
      </c>
      <c r="O73" s="4" t="s">
        <v>99</v>
      </c>
      <c r="P73" s="4" t="s">
        <v>694</v>
      </c>
      <c r="Q73" s="4" t="s">
        <v>49</v>
      </c>
      <c r="R73" s="4">
        <v>1</v>
      </c>
      <c r="S73" s="4">
        <v>1</v>
      </c>
      <c r="T73" s="4">
        <v>1</v>
      </c>
      <c r="U73" s="4">
        <v>1</v>
      </c>
      <c r="V73" s="4">
        <v>1</v>
      </c>
      <c r="W73" s="4">
        <v>1</v>
      </c>
      <c r="X73" s="4">
        <v>1</v>
      </c>
      <c r="Y73" s="4" t="s">
        <v>140</v>
      </c>
      <c r="Z73" s="4" t="s">
        <v>140</v>
      </c>
      <c r="AA73" s="4">
        <v>1</v>
      </c>
      <c r="AB73" s="4">
        <v>1</v>
      </c>
      <c r="AC73" s="4">
        <v>1</v>
      </c>
      <c r="AD73" s="4">
        <v>1</v>
      </c>
      <c r="AE73" s="4">
        <v>1</v>
      </c>
      <c r="AF73" s="4" t="s">
        <v>140</v>
      </c>
      <c r="AG73" s="4">
        <v>1</v>
      </c>
      <c r="AH73" s="4">
        <v>1</v>
      </c>
      <c r="AI73" s="4">
        <v>1</v>
      </c>
      <c r="AJ73" s="4">
        <v>1</v>
      </c>
      <c r="AK73" s="4">
        <v>1</v>
      </c>
      <c r="AL73" s="4" t="s">
        <v>140</v>
      </c>
      <c r="AM73" s="4" t="s">
        <v>140</v>
      </c>
      <c r="AN73" s="4" t="s">
        <v>140</v>
      </c>
      <c r="AO73" s="4" t="s">
        <v>615</v>
      </c>
    </row>
    <row r="74" spans="1:41" hidden="1" x14ac:dyDescent="0.2">
      <c r="A74" s="13">
        <f t="shared" si="2"/>
        <v>4</v>
      </c>
      <c r="B74" s="13">
        <f t="shared" si="3"/>
        <v>1</v>
      </c>
      <c r="C74" s="13" t="str">
        <f>VLOOKUP(B74,Correspondance!$D$3:$E$14,2,FALSE)</f>
        <v>Janvier</v>
      </c>
      <c r="D74" s="15" t="str">
        <f>VLOOKUP(G74,Correspondance!$A$3:$B$10,2,FALSE)</f>
        <v>ASF</v>
      </c>
      <c r="E74" s="1" t="s">
        <v>567</v>
      </c>
      <c r="F74" s="2" t="s">
        <v>169</v>
      </c>
      <c r="G74" s="3" t="s">
        <v>41</v>
      </c>
      <c r="H74" s="4" t="s">
        <v>527</v>
      </c>
      <c r="I74" s="4" t="s">
        <v>528</v>
      </c>
      <c r="J74" s="5" t="s">
        <v>57</v>
      </c>
      <c r="K74" s="6">
        <v>100</v>
      </c>
      <c r="L74" s="4" t="s">
        <v>693</v>
      </c>
      <c r="M74" s="4" t="s">
        <v>215</v>
      </c>
      <c r="N74" s="4" t="s">
        <v>46</v>
      </c>
      <c r="O74" s="4" t="s">
        <v>99</v>
      </c>
      <c r="P74" s="4" t="s">
        <v>695</v>
      </c>
      <c r="Q74" s="4" t="s">
        <v>49</v>
      </c>
      <c r="R74" s="4">
        <v>1</v>
      </c>
      <c r="S74" s="4">
        <v>1</v>
      </c>
      <c r="T74" s="4">
        <v>1</v>
      </c>
      <c r="U74" s="4">
        <v>1</v>
      </c>
      <c r="V74" s="4">
        <v>1</v>
      </c>
      <c r="W74" s="4">
        <v>1</v>
      </c>
      <c r="X74" s="4">
        <v>1</v>
      </c>
      <c r="Y74" s="4" t="s">
        <v>140</v>
      </c>
      <c r="Z74" s="4" t="s">
        <v>140</v>
      </c>
      <c r="AA74" s="4">
        <v>1</v>
      </c>
      <c r="AB74" s="4">
        <v>1</v>
      </c>
      <c r="AC74" s="4">
        <v>1</v>
      </c>
      <c r="AD74" s="4">
        <v>1</v>
      </c>
      <c r="AE74" s="4">
        <v>1</v>
      </c>
      <c r="AF74" s="4" t="s">
        <v>140</v>
      </c>
      <c r="AG74" s="4">
        <v>1</v>
      </c>
      <c r="AH74" s="4">
        <v>1</v>
      </c>
      <c r="AI74" s="4">
        <v>1</v>
      </c>
      <c r="AJ74" s="4">
        <v>1</v>
      </c>
      <c r="AK74" s="4">
        <v>1</v>
      </c>
      <c r="AL74" s="4">
        <v>1</v>
      </c>
      <c r="AM74" s="4">
        <v>1</v>
      </c>
      <c r="AN74" s="4">
        <v>1</v>
      </c>
      <c r="AO74" s="4" t="s">
        <v>615</v>
      </c>
    </row>
    <row r="75" spans="1:41" hidden="1" x14ac:dyDescent="0.2">
      <c r="A75" s="13">
        <f t="shared" si="2"/>
        <v>4</v>
      </c>
      <c r="B75" s="13">
        <f t="shared" si="3"/>
        <v>1</v>
      </c>
      <c r="C75" s="13" t="str">
        <f>VLOOKUP(B75,Correspondance!$D$3:$E$14,2,FALSE)</f>
        <v>Janvier</v>
      </c>
      <c r="D75" s="15" t="str">
        <f>VLOOKUP(G75,Correspondance!$A$3:$B$10,2,FALSE)</f>
        <v>ASF</v>
      </c>
      <c r="E75" s="1" t="s">
        <v>567</v>
      </c>
      <c r="F75" s="2" t="s">
        <v>169</v>
      </c>
      <c r="G75" s="3" t="s">
        <v>61</v>
      </c>
      <c r="H75" s="4" t="s">
        <v>323</v>
      </c>
      <c r="I75" s="4" t="s">
        <v>324</v>
      </c>
      <c r="J75" s="5" t="s">
        <v>57</v>
      </c>
      <c r="K75" s="6">
        <v>100</v>
      </c>
      <c r="L75" s="4" t="s">
        <v>693</v>
      </c>
      <c r="M75" s="4" t="s">
        <v>174</v>
      </c>
      <c r="N75" s="4" t="s">
        <v>46</v>
      </c>
      <c r="O75" s="4" t="s">
        <v>99</v>
      </c>
      <c r="P75" s="4" t="s">
        <v>696</v>
      </c>
      <c r="Q75" s="4" t="s">
        <v>49</v>
      </c>
      <c r="R75" s="4">
        <v>1</v>
      </c>
      <c r="S75" s="4">
        <v>1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 t="s">
        <v>140</v>
      </c>
      <c r="Z75" s="4" t="s">
        <v>140</v>
      </c>
      <c r="AA75" s="4">
        <v>1</v>
      </c>
      <c r="AB75" s="4">
        <v>1</v>
      </c>
      <c r="AC75" s="4">
        <v>1</v>
      </c>
      <c r="AD75" s="4">
        <v>1</v>
      </c>
      <c r="AE75" s="4">
        <v>1</v>
      </c>
      <c r="AF75" s="4" t="s">
        <v>140</v>
      </c>
      <c r="AG75" s="4">
        <v>1</v>
      </c>
      <c r="AH75" s="4">
        <v>1</v>
      </c>
      <c r="AI75" s="4">
        <v>1</v>
      </c>
      <c r="AJ75" s="4">
        <v>1</v>
      </c>
      <c r="AK75" s="4">
        <v>1</v>
      </c>
      <c r="AL75" s="4">
        <v>1</v>
      </c>
      <c r="AM75" s="4">
        <v>1</v>
      </c>
      <c r="AN75" s="4">
        <v>1</v>
      </c>
      <c r="AO75" s="4" t="s">
        <v>562</v>
      </c>
    </row>
    <row r="76" spans="1:41" hidden="1" x14ac:dyDescent="0.2">
      <c r="A76" s="13">
        <f t="shared" si="2"/>
        <v>4</v>
      </c>
      <c r="B76" s="13">
        <f t="shared" si="3"/>
        <v>1</v>
      </c>
      <c r="C76" s="13" t="str">
        <f>VLOOKUP(B76,Correspondance!$D$3:$E$14,2,FALSE)</f>
        <v>Janvier</v>
      </c>
      <c r="D76" s="15" t="str">
        <f>VLOOKUP(G76,Correspondance!$A$3:$B$10,2,FALSE)</f>
        <v>ASF</v>
      </c>
      <c r="E76" s="1" t="s">
        <v>567</v>
      </c>
      <c r="F76" s="2" t="s">
        <v>169</v>
      </c>
      <c r="G76" s="3" t="s">
        <v>61</v>
      </c>
      <c r="H76" s="4" t="s">
        <v>1204</v>
      </c>
      <c r="I76" s="4" t="s">
        <v>208</v>
      </c>
      <c r="J76" s="5" t="s">
        <v>57</v>
      </c>
      <c r="K76" s="6">
        <v>100</v>
      </c>
      <c r="L76" s="4" t="s">
        <v>697</v>
      </c>
      <c r="M76" s="4" t="s">
        <v>174</v>
      </c>
      <c r="N76" s="4" t="s">
        <v>46</v>
      </c>
      <c r="O76" s="4" t="s">
        <v>99</v>
      </c>
      <c r="P76" s="4" t="s">
        <v>698</v>
      </c>
      <c r="Q76" s="4" t="s">
        <v>49</v>
      </c>
      <c r="R76" s="4">
        <v>1</v>
      </c>
      <c r="S76" s="4">
        <v>1</v>
      </c>
      <c r="T76" s="4">
        <v>1</v>
      </c>
      <c r="U76" s="4">
        <v>1</v>
      </c>
      <c r="V76" s="4">
        <v>1</v>
      </c>
      <c r="W76" s="4">
        <v>1</v>
      </c>
      <c r="X76" s="4">
        <v>1</v>
      </c>
      <c r="Y76" s="4" t="s">
        <v>140</v>
      </c>
      <c r="Z76" s="4" t="s">
        <v>140</v>
      </c>
      <c r="AA76" s="4">
        <v>1</v>
      </c>
      <c r="AB76" s="4">
        <v>1</v>
      </c>
      <c r="AC76" s="4">
        <v>1</v>
      </c>
      <c r="AD76" s="4">
        <v>1</v>
      </c>
      <c r="AE76" s="4">
        <v>1</v>
      </c>
      <c r="AF76" s="4" t="s">
        <v>140</v>
      </c>
      <c r="AG76" s="4">
        <v>1</v>
      </c>
      <c r="AH76" s="4">
        <v>1</v>
      </c>
      <c r="AI76" s="4">
        <v>1</v>
      </c>
      <c r="AJ76" s="4">
        <v>1</v>
      </c>
      <c r="AK76" s="4">
        <v>1</v>
      </c>
      <c r="AL76" s="4">
        <v>1</v>
      </c>
      <c r="AM76" s="4">
        <v>1</v>
      </c>
      <c r="AN76" s="4">
        <v>1</v>
      </c>
      <c r="AO76" s="4" t="s">
        <v>562</v>
      </c>
    </row>
    <row r="77" spans="1:41" hidden="1" x14ac:dyDescent="0.2">
      <c r="A77" s="13">
        <f t="shared" si="2"/>
        <v>4</v>
      </c>
      <c r="B77" s="13">
        <f t="shared" si="3"/>
        <v>1</v>
      </c>
      <c r="C77" s="13" t="str">
        <f>VLOOKUP(B77,Correspondance!$D$3:$E$14,2,FALSE)</f>
        <v>Janvier</v>
      </c>
      <c r="D77" s="15" t="str">
        <f>VLOOKUP(G77,Correspondance!$A$3:$B$10,2,FALSE)</f>
        <v>ASF</v>
      </c>
      <c r="E77" s="1" t="s">
        <v>567</v>
      </c>
      <c r="F77" s="2" t="s">
        <v>169</v>
      </c>
      <c r="G77" s="3" t="s">
        <v>61</v>
      </c>
      <c r="H77" s="4" t="s">
        <v>1204</v>
      </c>
      <c r="I77" s="4" t="s">
        <v>208</v>
      </c>
      <c r="J77" s="5" t="s">
        <v>57</v>
      </c>
      <c r="K77" s="6">
        <v>100</v>
      </c>
      <c r="L77" s="4" t="s">
        <v>699</v>
      </c>
      <c r="M77" s="4" t="s">
        <v>174</v>
      </c>
      <c r="N77" s="4" t="s">
        <v>46</v>
      </c>
      <c r="O77" s="4" t="s">
        <v>99</v>
      </c>
      <c r="P77" s="4" t="s">
        <v>700</v>
      </c>
      <c r="Q77" s="4" t="s">
        <v>49</v>
      </c>
      <c r="R77" s="4">
        <v>1</v>
      </c>
      <c r="S77" s="4">
        <v>1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4">
        <v>1</v>
      </c>
      <c r="Z77" s="4" t="s">
        <v>140</v>
      </c>
      <c r="AA77" s="4">
        <v>1</v>
      </c>
      <c r="AB77" s="4">
        <v>1</v>
      </c>
      <c r="AC77" s="4">
        <v>1</v>
      </c>
      <c r="AD77" s="4">
        <v>1</v>
      </c>
      <c r="AE77" s="4">
        <v>1</v>
      </c>
      <c r="AF77" s="4" t="s">
        <v>140</v>
      </c>
      <c r="AG77" s="4">
        <v>1</v>
      </c>
      <c r="AH77" s="4">
        <v>1</v>
      </c>
      <c r="AI77" s="4">
        <v>1</v>
      </c>
      <c r="AJ77" s="4">
        <v>1</v>
      </c>
      <c r="AK77" s="4">
        <v>1</v>
      </c>
      <c r="AL77" s="4">
        <v>1</v>
      </c>
      <c r="AM77" s="4">
        <v>1</v>
      </c>
      <c r="AN77" s="4">
        <v>1</v>
      </c>
      <c r="AO77" s="4" t="s">
        <v>562</v>
      </c>
    </row>
    <row r="78" spans="1:41" hidden="1" x14ac:dyDescent="0.2">
      <c r="A78" s="13">
        <f t="shared" si="2"/>
        <v>4</v>
      </c>
      <c r="B78" s="13">
        <f t="shared" si="3"/>
        <v>1</v>
      </c>
      <c r="C78" s="13" t="str">
        <f>VLOOKUP(B78,Correspondance!$D$3:$E$14,2,FALSE)</f>
        <v>Janvier</v>
      </c>
      <c r="D78" s="15" t="str">
        <f>VLOOKUP(G78,Correspondance!$A$3:$B$10,2,FALSE)</f>
        <v>ASF</v>
      </c>
      <c r="E78" s="1" t="s">
        <v>567</v>
      </c>
      <c r="F78" s="2" t="s">
        <v>169</v>
      </c>
      <c r="G78" s="3" t="s">
        <v>61</v>
      </c>
      <c r="H78" s="4" t="s">
        <v>505</v>
      </c>
      <c r="I78" s="4" t="s">
        <v>506</v>
      </c>
      <c r="J78" s="5" t="s">
        <v>57</v>
      </c>
      <c r="K78" s="6">
        <v>100</v>
      </c>
      <c r="L78" s="4" t="s">
        <v>701</v>
      </c>
      <c r="M78" s="4" t="s">
        <v>245</v>
      </c>
      <c r="N78" s="4" t="s">
        <v>46</v>
      </c>
      <c r="O78" s="4" t="s">
        <v>47</v>
      </c>
      <c r="P78" s="4" t="s">
        <v>702</v>
      </c>
      <c r="Q78" s="4" t="s">
        <v>49</v>
      </c>
      <c r="R78" s="4">
        <v>1</v>
      </c>
      <c r="S78" s="4" t="s">
        <v>140</v>
      </c>
      <c r="T78" s="4" t="s">
        <v>140</v>
      </c>
      <c r="U78" s="4">
        <v>1</v>
      </c>
      <c r="V78" s="4">
        <v>1</v>
      </c>
      <c r="W78" s="4">
        <v>1</v>
      </c>
      <c r="X78" s="4">
        <v>1</v>
      </c>
      <c r="Y78" s="4" t="s">
        <v>140</v>
      </c>
      <c r="Z78" s="4">
        <v>1</v>
      </c>
      <c r="AA78" s="4">
        <v>1</v>
      </c>
      <c r="AB78" s="4">
        <v>1</v>
      </c>
      <c r="AC78" s="4">
        <v>1</v>
      </c>
      <c r="AD78" s="4">
        <v>1</v>
      </c>
      <c r="AE78" s="4" t="s">
        <v>140</v>
      </c>
      <c r="AF78" s="4" t="s">
        <v>140</v>
      </c>
      <c r="AG78" s="4" t="s">
        <v>140</v>
      </c>
      <c r="AH78" s="4">
        <v>1</v>
      </c>
      <c r="AI78" s="4" t="s">
        <v>140</v>
      </c>
      <c r="AJ78" s="4" t="s">
        <v>140</v>
      </c>
      <c r="AK78" s="4" t="s">
        <v>140</v>
      </c>
      <c r="AL78" s="4" t="s">
        <v>140</v>
      </c>
      <c r="AM78" s="4" t="s">
        <v>140</v>
      </c>
      <c r="AN78" s="4" t="s">
        <v>140</v>
      </c>
      <c r="AO78" s="4" t="s">
        <v>561</v>
      </c>
    </row>
    <row r="79" spans="1:41" hidden="1" x14ac:dyDescent="0.2">
      <c r="A79" s="13">
        <f t="shared" si="2"/>
        <v>4</v>
      </c>
      <c r="B79" s="13">
        <f t="shared" si="3"/>
        <v>1</v>
      </c>
      <c r="C79" s="13" t="str">
        <f>VLOOKUP(B79,Correspondance!$D$3:$E$14,2,FALSE)</f>
        <v>Janvier</v>
      </c>
      <c r="D79" s="15" t="str">
        <f>VLOOKUP(G79,Correspondance!$A$3:$B$10,2,FALSE)</f>
        <v>ASF</v>
      </c>
      <c r="E79" s="1" t="s">
        <v>703</v>
      </c>
      <c r="F79" s="2" t="s">
        <v>169</v>
      </c>
      <c r="G79" s="3" t="s">
        <v>61</v>
      </c>
      <c r="H79" s="4" t="s">
        <v>342</v>
      </c>
      <c r="I79" s="4" t="s">
        <v>343</v>
      </c>
      <c r="J79" s="5" t="s">
        <v>61</v>
      </c>
      <c r="K79" s="6">
        <v>100</v>
      </c>
      <c r="L79" s="4" t="s">
        <v>704</v>
      </c>
      <c r="M79" s="4" t="s">
        <v>174</v>
      </c>
      <c r="N79" s="4" t="s">
        <v>66</v>
      </c>
      <c r="O79" s="4" t="s">
        <v>175</v>
      </c>
      <c r="P79" s="4" t="s">
        <v>705</v>
      </c>
      <c r="Q79" s="4" t="s">
        <v>49</v>
      </c>
      <c r="R79" s="4">
        <v>1</v>
      </c>
      <c r="S79" s="4">
        <v>1</v>
      </c>
      <c r="T79" s="4">
        <v>1</v>
      </c>
      <c r="U79" s="4">
        <v>1</v>
      </c>
      <c r="V79" s="4">
        <v>1</v>
      </c>
      <c r="W79" s="4">
        <v>1</v>
      </c>
      <c r="X79" s="4">
        <v>1</v>
      </c>
      <c r="Y79" s="4" t="s">
        <v>140</v>
      </c>
      <c r="Z79" s="4" t="s">
        <v>140</v>
      </c>
      <c r="AA79" s="4">
        <v>1</v>
      </c>
      <c r="AB79" s="4">
        <v>1</v>
      </c>
      <c r="AC79" s="4">
        <v>1</v>
      </c>
      <c r="AD79" s="4">
        <v>1</v>
      </c>
      <c r="AE79" s="4">
        <v>1</v>
      </c>
      <c r="AF79" s="4" t="s">
        <v>140</v>
      </c>
      <c r="AG79" s="4">
        <v>1</v>
      </c>
      <c r="AH79" s="4" t="s">
        <v>140</v>
      </c>
      <c r="AI79" s="4">
        <v>1</v>
      </c>
      <c r="AJ79" s="4">
        <v>1</v>
      </c>
      <c r="AK79" s="4">
        <v>1</v>
      </c>
      <c r="AL79" s="4" t="s">
        <v>140</v>
      </c>
      <c r="AM79" s="4" t="s">
        <v>140</v>
      </c>
      <c r="AN79" s="4" t="s">
        <v>140</v>
      </c>
      <c r="AO79" s="4" t="s">
        <v>562</v>
      </c>
    </row>
    <row r="80" spans="1:41" hidden="1" x14ac:dyDescent="0.2">
      <c r="A80" s="13">
        <f t="shared" si="2"/>
        <v>5</v>
      </c>
      <c r="B80" s="13">
        <f t="shared" si="3"/>
        <v>1</v>
      </c>
      <c r="C80" s="13" t="str">
        <f>VLOOKUP(B80,Correspondance!$D$3:$E$14,2,FALSE)</f>
        <v>Janvier</v>
      </c>
      <c r="D80" s="15" t="str">
        <f>VLOOKUP(G80,Correspondance!$A$3:$B$10,2,FALSE)</f>
        <v>ASF</v>
      </c>
      <c r="E80" s="1" t="s">
        <v>566</v>
      </c>
      <c r="F80" s="2" t="s">
        <v>169</v>
      </c>
      <c r="G80" s="3" t="s">
        <v>41</v>
      </c>
      <c r="H80" s="4" t="s">
        <v>300</v>
      </c>
      <c r="I80" s="4" t="s">
        <v>301</v>
      </c>
      <c r="J80" s="5" t="s">
        <v>235</v>
      </c>
      <c r="K80" s="6">
        <v>83.582089552238813</v>
      </c>
      <c r="L80" s="4" t="s">
        <v>706</v>
      </c>
      <c r="M80" s="4" t="s">
        <v>211</v>
      </c>
      <c r="N80" s="4" t="s">
        <v>238</v>
      </c>
      <c r="O80" s="4" t="s">
        <v>99</v>
      </c>
      <c r="P80" s="4" t="s">
        <v>707</v>
      </c>
      <c r="Q80" s="4" t="s">
        <v>49</v>
      </c>
      <c r="R80" s="4">
        <v>1</v>
      </c>
      <c r="S80" s="4" t="s">
        <v>140</v>
      </c>
      <c r="T80" s="4">
        <v>1</v>
      </c>
      <c r="U80" s="4">
        <v>1</v>
      </c>
      <c r="V80" s="4">
        <v>1</v>
      </c>
      <c r="W80" s="4">
        <v>1</v>
      </c>
      <c r="X80" s="4">
        <v>1</v>
      </c>
      <c r="Y80" s="4" t="s">
        <v>140</v>
      </c>
      <c r="Z80" s="4" t="s">
        <v>140</v>
      </c>
      <c r="AA80" s="4">
        <v>1</v>
      </c>
      <c r="AB80" s="4">
        <v>1</v>
      </c>
      <c r="AC80" s="4">
        <v>1</v>
      </c>
      <c r="AD80" s="4">
        <v>0</v>
      </c>
      <c r="AE80" s="4" t="s">
        <v>140</v>
      </c>
      <c r="AF80" s="4" t="s">
        <v>140</v>
      </c>
      <c r="AG80" s="4" t="s">
        <v>140</v>
      </c>
      <c r="AH80" s="4">
        <v>1</v>
      </c>
      <c r="AI80" s="4" t="s">
        <v>140</v>
      </c>
      <c r="AJ80" s="4" t="s">
        <v>140</v>
      </c>
      <c r="AK80" s="4" t="s">
        <v>140</v>
      </c>
      <c r="AL80" s="4" t="s">
        <v>140</v>
      </c>
      <c r="AM80" s="4" t="s">
        <v>140</v>
      </c>
      <c r="AN80" s="4" t="s">
        <v>140</v>
      </c>
      <c r="AO80" s="4" t="s">
        <v>615</v>
      </c>
    </row>
    <row r="81" spans="1:41" x14ac:dyDescent="0.2">
      <c r="A81" s="13">
        <f t="shared" si="2"/>
        <v>5</v>
      </c>
      <c r="B81" s="13">
        <f t="shared" si="3"/>
        <v>1</v>
      </c>
      <c r="C81" s="13" t="str">
        <f>VLOOKUP(B81,Correspondance!$D$3:$E$14,2,FALSE)</f>
        <v>Janvier</v>
      </c>
      <c r="D81" s="15" t="str">
        <f>VLOOKUP(G81,Correspondance!$A$3:$B$10,2,FALSE)</f>
        <v>ASF</v>
      </c>
      <c r="E81" s="1" t="s">
        <v>566</v>
      </c>
      <c r="F81" s="2" t="s">
        <v>169</v>
      </c>
      <c r="G81" s="3" t="s">
        <v>41</v>
      </c>
      <c r="H81" s="4" t="s">
        <v>527</v>
      </c>
      <c r="I81" s="4" t="s">
        <v>528</v>
      </c>
      <c r="J81" s="5" t="s">
        <v>235</v>
      </c>
      <c r="K81" s="6">
        <v>78</v>
      </c>
      <c r="L81" s="4" t="s">
        <v>708</v>
      </c>
      <c r="M81" s="4" t="s">
        <v>174</v>
      </c>
      <c r="N81" s="4" t="s">
        <v>238</v>
      </c>
      <c r="O81" s="4" t="s">
        <v>99</v>
      </c>
      <c r="P81" s="4" t="s">
        <v>709</v>
      </c>
      <c r="Q81" s="4" t="s">
        <v>49</v>
      </c>
      <c r="R81" s="4">
        <v>0</v>
      </c>
      <c r="S81" s="4">
        <v>1</v>
      </c>
      <c r="T81" s="4">
        <v>1</v>
      </c>
      <c r="U81" s="4">
        <v>1</v>
      </c>
      <c r="V81" s="4">
        <v>1</v>
      </c>
      <c r="W81" s="4">
        <v>1</v>
      </c>
      <c r="X81" s="4">
        <v>1</v>
      </c>
      <c r="Y81" s="4" t="s">
        <v>140</v>
      </c>
      <c r="Z81" s="4" t="s">
        <v>140</v>
      </c>
      <c r="AA81" s="4">
        <v>1</v>
      </c>
      <c r="AB81" s="4">
        <v>1</v>
      </c>
      <c r="AC81" s="4">
        <v>0</v>
      </c>
      <c r="AD81" s="4">
        <v>1</v>
      </c>
      <c r="AE81" s="4">
        <v>1</v>
      </c>
      <c r="AF81" s="4" t="s">
        <v>140</v>
      </c>
      <c r="AG81" s="4">
        <v>1</v>
      </c>
      <c r="AH81" s="4" t="s">
        <v>140</v>
      </c>
      <c r="AI81" s="4">
        <v>1</v>
      </c>
      <c r="AJ81" s="4">
        <v>1</v>
      </c>
      <c r="AK81" s="4">
        <v>1</v>
      </c>
      <c r="AL81" s="4" t="s">
        <v>140</v>
      </c>
      <c r="AM81" s="4" t="s">
        <v>140</v>
      </c>
      <c r="AN81" s="4" t="s">
        <v>140</v>
      </c>
      <c r="AO81" s="4" t="s">
        <v>615</v>
      </c>
    </row>
    <row r="82" spans="1:41" hidden="1" x14ac:dyDescent="0.2">
      <c r="A82" s="13">
        <f t="shared" si="2"/>
        <v>5</v>
      </c>
      <c r="B82" s="13">
        <f t="shared" si="3"/>
        <v>1</v>
      </c>
      <c r="C82" s="13" t="str">
        <f>VLOOKUP(B82,Correspondance!$D$3:$E$14,2,FALSE)</f>
        <v>Janvier</v>
      </c>
      <c r="D82" s="15" t="str">
        <f>VLOOKUP(G82,Correspondance!$A$3:$B$10,2,FALSE)</f>
        <v>ASF</v>
      </c>
      <c r="E82" s="1" t="s">
        <v>566</v>
      </c>
      <c r="F82" s="2" t="s">
        <v>169</v>
      </c>
      <c r="G82" s="3" t="s">
        <v>41</v>
      </c>
      <c r="H82" s="4" t="s">
        <v>529</v>
      </c>
      <c r="I82" s="4" t="s">
        <v>530</v>
      </c>
      <c r="J82" s="5" t="s">
        <v>235</v>
      </c>
      <c r="K82" s="6">
        <v>96</v>
      </c>
      <c r="L82" s="4" t="s">
        <v>710</v>
      </c>
      <c r="M82" s="4" t="s">
        <v>237</v>
      </c>
      <c r="N82" s="4" t="s">
        <v>238</v>
      </c>
      <c r="O82" s="4" t="s">
        <v>99</v>
      </c>
      <c r="P82" s="4" t="s">
        <v>535</v>
      </c>
      <c r="Q82" s="4" t="s">
        <v>49</v>
      </c>
      <c r="R82" s="4">
        <v>1</v>
      </c>
      <c r="S82" s="4">
        <v>1</v>
      </c>
      <c r="T82" s="4">
        <v>1</v>
      </c>
      <c r="U82" s="4">
        <v>1</v>
      </c>
      <c r="V82" s="4">
        <v>0</v>
      </c>
      <c r="W82" s="4">
        <v>1</v>
      </c>
      <c r="X82" s="4">
        <v>1</v>
      </c>
      <c r="Y82" s="4">
        <v>1</v>
      </c>
      <c r="Z82" s="4" t="s">
        <v>140</v>
      </c>
      <c r="AA82" s="4">
        <v>1</v>
      </c>
      <c r="AB82" s="4">
        <v>1</v>
      </c>
      <c r="AC82" s="4">
        <v>1</v>
      </c>
      <c r="AD82" s="4">
        <v>1</v>
      </c>
      <c r="AE82" s="4">
        <v>1</v>
      </c>
      <c r="AF82" s="4">
        <v>1</v>
      </c>
      <c r="AG82" s="4">
        <v>1</v>
      </c>
      <c r="AH82" s="4" t="s">
        <v>140</v>
      </c>
      <c r="AI82" s="4">
        <v>1</v>
      </c>
      <c r="AJ82" s="4">
        <v>1</v>
      </c>
      <c r="AK82" s="4">
        <v>1</v>
      </c>
      <c r="AL82" s="4" t="s">
        <v>140</v>
      </c>
      <c r="AM82" s="4" t="s">
        <v>140</v>
      </c>
      <c r="AN82" s="4" t="s">
        <v>140</v>
      </c>
      <c r="AO82" s="4" t="s">
        <v>615</v>
      </c>
    </row>
    <row r="83" spans="1:41" hidden="1" x14ac:dyDescent="0.2">
      <c r="A83" s="13">
        <f t="shared" si="2"/>
        <v>5</v>
      </c>
      <c r="B83" s="13">
        <f t="shared" si="3"/>
        <v>1</v>
      </c>
      <c r="C83" s="13" t="str">
        <f>VLOOKUP(B83,Correspondance!$D$3:$E$14,2,FALSE)</f>
        <v>Janvier</v>
      </c>
      <c r="D83" s="15" t="str">
        <f>VLOOKUP(G83,Correspondance!$A$3:$B$10,2,FALSE)</f>
        <v>ASF</v>
      </c>
      <c r="E83" s="1" t="s">
        <v>566</v>
      </c>
      <c r="F83" s="2" t="s">
        <v>169</v>
      </c>
      <c r="G83" s="3" t="s">
        <v>41</v>
      </c>
      <c r="H83" s="4" t="s">
        <v>529</v>
      </c>
      <c r="I83" s="4" t="s">
        <v>530</v>
      </c>
      <c r="J83" s="5" t="s">
        <v>235</v>
      </c>
      <c r="K83" s="6">
        <v>100</v>
      </c>
      <c r="L83" s="4" t="s">
        <v>711</v>
      </c>
      <c r="M83" s="4" t="s">
        <v>215</v>
      </c>
      <c r="N83" s="4" t="s">
        <v>238</v>
      </c>
      <c r="O83" s="4" t="s">
        <v>99</v>
      </c>
      <c r="P83" s="4" t="s">
        <v>200</v>
      </c>
      <c r="Q83" s="4" t="s">
        <v>49</v>
      </c>
      <c r="R83" s="4">
        <v>1</v>
      </c>
      <c r="S83" s="4">
        <v>1</v>
      </c>
      <c r="T83" s="4">
        <v>1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 t="s">
        <v>140</v>
      </c>
      <c r="AA83" s="4">
        <v>1</v>
      </c>
      <c r="AB83" s="4">
        <v>1</v>
      </c>
      <c r="AC83" s="4">
        <v>1</v>
      </c>
      <c r="AD83" s="4">
        <v>1</v>
      </c>
      <c r="AE83" s="4">
        <v>1</v>
      </c>
      <c r="AF83" s="4">
        <v>1</v>
      </c>
      <c r="AG83" s="4">
        <v>1</v>
      </c>
      <c r="AH83" s="4" t="s">
        <v>140</v>
      </c>
      <c r="AI83" s="4">
        <v>1</v>
      </c>
      <c r="AJ83" s="4">
        <v>1</v>
      </c>
      <c r="AK83" s="4">
        <v>1</v>
      </c>
      <c r="AL83" s="4" t="s">
        <v>140</v>
      </c>
      <c r="AM83" s="4" t="s">
        <v>140</v>
      </c>
      <c r="AN83" s="4" t="s">
        <v>140</v>
      </c>
      <c r="AO83" s="4" t="s">
        <v>615</v>
      </c>
    </row>
    <row r="84" spans="1:41" hidden="1" x14ac:dyDescent="0.2">
      <c r="A84" s="13">
        <f t="shared" si="2"/>
        <v>5</v>
      </c>
      <c r="B84" s="13">
        <f t="shared" si="3"/>
        <v>1</v>
      </c>
      <c r="C84" s="13" t="str">
        <f>VLOOKUP(B84,Correspondance!$D$3:$E$14,2,FALSE)</f>
        <v>Janvier</v>
      </c>
      <c r="D84" s="15" t="str">
        <f>VLOOKUP(G84,Correspondance!$A$3:$B$10,2,FALSE)</f>
        <v>ASF</v>
      </c>
      <c r="E84" s="1" t="s">
        <v>566</v>
      </c>
      <c r="F84" s="2" t="s">
        <v>169</v>
      </c>
      <c r="G84" s="3" t="s">
        <v>41</v>
      </c>
      <c r="H84" s="4" t="s">
        <v>179</v>
      </c>
      <c r="I84" s="4" t="s">
        <v>180</v>
      </c>
      <c r="J84" s="5" t="s">
        <v>235</v>
      </c>
      <c r="K84" s="6">
        <v>100</v>
      </c>
      <c r="L84" s="4" t="s">
        <v>712</v>
      </c>
      <c r="M84" s="4" t="s">
        <v>174</v>
      </c>
      <c r="N84" s="4" t="s">
        <v>238</v>
      </c>
      <c r="O84" s="4" t="s">
        <v>99</v>
      </c>
      <c r="P84" s="4" t="s">
        <v>1209</v>
      </c>
      <c r="Q84" s="4" t="s">
        <v>49</v>
      </c>
      <c r="R84" s="4">
        <v>1</v>
      </c>
      <c r="S84" s="4">
        <v>1</v>
      </c>
      <c r="T84" s="4">
        <v>1</v>
      </c>
      <c r="U84" s="4">
        <v>1</v>
      </c>
      <c r="V84" s="4">
        <v>1</v>
      </c>
      <c r="W84" s="4">
        <v>1</v>
      </c>
      <c r="X84" s="4">
        <v>1</v>
      </c>
      <c r="Y84" s="4">
        <v>1</v>
      </c>
      <c r="Z84" s="4" t="s">
        <v>140</v>
      </c>
      <c r="AA84" s="4">
        <v>1</v>
      </c>
      <c r="AB84" s="4">
        <v>1</v>
      </c>
      <c r="AC84" s="4">
        <v>1</v>
      </c>
      <c r="AD84" s="4">
        <v>1</v>
      </c>
      <c r="AE84" s="4">
        <v>1</v>
      </c>
      <c r="AF84" s="4">
        <v>1</v>
      </c>
      <c r="AG84" s="4">
        <v>1</v>
      </c>
      <c r="AH84" s="4" t="s">
        <v>140</v>
      </c>
      <c r="AI84" s="4">
        <v>1</v>
      </c>
      <c r="AJ84" s="4">
        <v>1</v>
      </c>
      <c r="AK84" s="4">
        <v>1</v>
      </c>
      <c r="AL84" s="4" t="s">
        <v>140</v>
      </c>
      <c r="AM84" s="4" t="s">
        <v>140</v>
      </c>
      <c r="AN84" s="4" t="s">
        <v>140</v>
      </c>
      <c r="AO84" s="4" t="s">
        <v>615</v>
      </c>
    </row>
    <row r="85" spans="1:41" hidden="1" x14ac:dyDescent="0.2">
      <c r="A85" s="13">
        <f t="shared" si="2"/>
        <v>5</v>
      </c>
      <c r="B85" s="13">
        <f t="shared" si="3"/>
        <v>1</v>
      </c>
      <c r="C85" s="13" t="str">
        <f>VLOOKUP(B85,Correspondance!$D$3:$E$14,2,FALSE)</f>
        <v>Janvier</v>
      </c>
      <c r="D85" s="15" t="str">
        <f>VLOOKUP(G85,Correspondance!$A$3:$B$10,2,FALSE)</f>
        <v>ASF</v>
      </c>
      <c r="E85" s="1" t="s">
        <v>566</v>
      </c>
      <c r="F85" s="2" t="s">
        <v>169</v>
      </c>
      <c r="G85" s="3" t="s">
        <v>52</v>
      </c>
      <c r="H85" s="4" t="s">
        <v>233</v>
      </c>
      <c r="I85" s="4" t="s">
        <v>234</v>
      </c>
      <c r="J85" s="5" t="s">
        <v>235</v>
      </c>
      <c r="K85" s="6">
        <v>100</v>
      </c>
      <c r="L85" s="4" t="s">
        <v>713</v>
      </c>
      <c r="M85" s="4" t="s">
        <v>174</v>
      </c>
      <c r="N85" s="4" t="s">
        <v>238</v>
      </c>
      <c r="O85" s="4" t="s">
        <v>99</v>
      </c>
      <c r="P85" s="4" t="s">
        <v>714</v>
      </c>
      <c r="Q85" s="4" t="s">
        <v>49</v>
      </c>
      <c r="R85" s="4">
        <v>1</v>
      </c>
      <c r="S85" s="4">
        <v>1</v>
      </c>
      <c r="T85" s="4">
        <v>1</v>
      </c>
      <c r="U85" s="4">
        <v>1</v>
      </c>
      <c r="V85" s="4">
        <v>1</v>
      </c>
      <c r="W85" s="4">
        <v>1</v>
      </c>
      <c r="X85" s="4">
        <v>1</v>
      </c>
      <c r="Y85" s="4">
        <v>1</v>
      </c>
      <c r="Z85" s="4" t="s">
        <v>140</v>
      </c>
      <c r="AA85" s="4">
        <v>1</v>
      </c>
      <c r="AB85" s="4">
        <v>1</v>
      </c>
      <c r="AC85" s="4">
        <v>1</v>
      </c>
      <c r="AD85" s="4">
        <v>1</v>
      </c>
      <c r="AE85" s="4">
        <v>1</v>
      </c>
      <c r="AF85" s="4" t="s">
        <v>140</v>
      </c>
      <c r="AG85" s="4">
        <v>1</v>
      </c>
      <c r="AH85" s="4" t="s">
        <v>140</v>
      </c>
      <c r="AI85" s="4">
        <v>1</v>
      </c>
      <c r="AJ85" s="4">
        <v>1</v>
      </c>
      <c r="AK85" s="4">
        <v>1</v>
      </c>
      <c r="AL85" s="4" t="s">
        <v>140</v>
      </c>
      <c r="AM85" s="4" t="s">
        <v>140</v>
      </c>
      <c r="AN85" s="4" t="s">
        <v>140</v>
      </c>
      <c r="AO85" s="4" t="s">
        <v>615</v>
      </c>
    </row>
    <row r="86" spans="1:41" hidden="1" x14ac:dyDescent="0.2">
      <c r="A86" s="13">
        <f t="shared" si="2"/>
        <v>5</v>
      </c>
      <c r="B86" s="13">
        <f t="shared" si="3"/>
        <v>1</v>
      </c>
      <c r="C86" s="13" t="str">
        <f>VLOOKUP(B86,Correspondance!$D$3:$E$14,2,FALSE)</f>
        <v>Janvier</v>
      </c>
      <c r="D86" s="15" t="str">
        <f>VLOOKUP(G86,Correspondance!$A$3:$B$10,2,FALSE)</f>
        <v>ASF</v>
      </c>
      <c r="E86" s="1" t="s">
        <v>566</v>
      </c>
      <c r="F86" s="2" t="s">
        <v>169</v>
      </c>
      <c r="G86" s="3" t="s">
        <v>52</v>
      </c>
      <c r="H86" s="4" t="s">
        <v>1203</v>
      </c>
      <c r="I86" s="4" t="s">
        <v>194</v>
      </c>
      <c r="J86" s="5" t="s">
        <v>235</v>
      </c>
      <c r="K86" s="6">
        <v>96</v>
      </c>
      <c r="L86" s="4" t="s">
        <v>715</v>
      </c>
      <c r="M86" s="4" t="s">
        <v>716</v>
      </c>
      <c r="N86" s="4" t="s">
        <v>238</v>
      </c>
      <c r="O86" s="4" t="s">
        <v>99</v>
      </c>
      <c r="P86" s="4" t="s">
        <v>717</v>
      </c>
      <c r="Q86" s="4" t="s">
        <v>49</v>
      </c>
      <c r="R86" s="4">
        <v>1</v>
      </c>
      <c r="S86" s="4">
        <v>1</v>
      </c>
      <c r="T86" s="4">
        <v>1</v>
      </c>
      <c r="U86" s="4">
        <v>1</v>
      </c>
      <c r="V86" s="4">
        <v>0</v>
      </c>
      <c r="W86" s="4">
        <v>1</v>
      </c>
      <c r="X86" s="4">
        <v>1</v>
      </c>
      <c r="Y86" s="4" t="s">
        <v>140</v>
      </c>
      <c r="Z86" s="4" t="s">
        <v>140</v>
      </c>
      <c r="AA86" s="4">
        <v>1</v>
      </c>
      <c r="AB86" s="4">
        <v>1</v>
      </c>
      <c r="AC86" s="4">
        <v>1</v>
      </c>
      <c r="AD86" s="4">
        <v>1</v>
      </c>
      <c r="AE86" s="4">
        <v>1</v>
      </c>
      <c r="AF86" s="4" t="s">
        <v>140</v>
      </c>
      <c r="AG86" s="4">
        <v>1</v>
      </c>
      <c r="AH86" s="4" t="s">
        <v>140</v>
      </c>
      <c r="AI86" s="4">
        <v>1</v>
      </c>
      <c r="AJ86" s="4">
        <v>1</v>
      </c>
      <c r="AK86" s="4">
        <v>1</v>
      </c>
      <c r="AL86" s="4" t="s">
        <v>140</v>
      </c>
      <c r="AM86" s="4" t="s">
        <v>140</v>
      </c>
      <c r="AN86" s="4" t="s">
        <v>140</v>
      </c>
      <c r="AO86" s="4" t="s">
        <v>615</v>
      </c>
    </row>
    <row r="87" spans="1:41" hidden="1" x14ac:dyDescent="0.2">
      <c r="A87" s="13">
        <f t="shared" si="2"/>
        <v>5</v>
      </c>
      <c r="B87" s="13">
        <f t="shared" si="3"/>
        <v>1</v>
      </c>
      <c r="C87" s="13" t="str">
        <f>VLOOKUP(B87,Correspondance!$D$3:$E$14,2,FALSE)</f>
        <v>Janvier</v>
      </c>
      <c r="D87" s="15" t="str">
        <f>VLOOKUP(G87,Correspondance!$A$3:$B$10,2,FALSE)</f>
        <v>ASF</v>
      </c>
      <c r="E87" s="1" t="s">
        <v>566</v>
      </c>
      <c r="F87" s="2" t="s">
        <v>169</v>
      </c>
      <c r="G87" s="3" t="s">
        <v>52</v>
      </c>
      <c r="H87" s="4" t="s">
        <v>1203</v>
      </c>
      <c r="I87" s="4" t="s">
        <v>194</v>
      </c>
      <c r="J87" s="5" t="s">
        <v>52</v>
      </c>
      <c r="K87" s="6">
        <v>96</v>
      </c>
      <c r="L87" s="4" t="s">
        <v>718</v>
      </c>
      <c r="M87" s="4" t="s">
        <v>211</v>
      </c>
      <c r="N87" s="4" t="s">
        <v>238</v>
      </c>
      <c r="O87" s="4" t="s">
        <v>99</v>
      </c>
      <c r="P87" s="4" t="s">
        <v>719</v>
      </c>
      <c r="Q87" s="4" t="s">
        <v>49</v>
      </c>
      <c r="R87" s="4">
        <v>1</v>
      </c>
      <c r="S87" s="4">
        <v>1</v>
      </c>
      <c r="T87" s="4">
        <v>1</v>
      </c>
      <c r="U87" s="4">
        <v>1</v>
      </c>
      <c r="V87" s="4">
        <v>0</v>
      </c>
      <c r="W87" s="4">
        <v>1</v>
      </c>
      <c r="X87" s="4">
        <v>1</v>
      </c>
      <c r="Y87" s="4">
        <v>1</v>
      </c>
      <c r="Z87" s="4" t="s">
        <v>140</v>
      </c>
      <c r="AA87" s="4">
        <v>1</v>
      </c>
      <c r="AB87" s="4">
        <v>1</v>
      </c>
      <c r="AC87" s="4">
        <v>1</v>
      </c>
      <c r="AD87" s="4">
        <v>1</v>
      </c>
      <c r="AE87" s="4">
        <v>1</v>
      </c>
      <c r="AF87" s="4" t="s">
        <v>140</v>
      </c>
      <c r="AG87" s="4">
        <v>1</v>
      </c>
      <c r="AH87" s="4" t="s">
        <v>140</v>
      </c>
      <c r="AI87" s="4">
        <v>1</v>
      </c>
      <c r="AJ87" s="4">
        <v>1</v>
      </c>
      <c r="AK87" s="4">
        <v>1</v>
      </c>
      <c r="AL87" s="4" t="s">
        <v>140</v>
      </c>
      <c r="AM87" s="4" t="s">
        <v>140</v>
      </c>
      <c r="AN87" s="4" t="s">
        <v>140</v>
      </c>
      <c r="AO87" s="4" t="s">
        <v>615</v>
      </c>
    </row>
    <row r="88" spans="1:41" hidden="1" x14ac:dyDescent="0.2">
      <c r="A88" s="13">
        <f t="shared" si="2"/>
        <v>5</v>
      </c>
      <c r="B88" s="13">
        <f t="shared" si="3"/>
        <v>1</v>
      </c>
      <c r="C88" s="13" t="str">
        <f>VLOOKUP(B88,Correspondance!$D$3:$E$14,2,FALSE)</f>
        <v>Janvier</v>
      </c>
      <c r="D88" s="15" t="str">
        <f>VLOOKUP(G88,Correspondance!$A$3:$B$10,2,FALSE)</f>
        <v>ASF</v>
      </c>
      <c r="E88" s="1" t="s">
        <v>566</v>
      </c>
      <c r="F88" s="2" t="s">
        <v>169</v>
      </c>
      <c r="G88" s="3" t="s">
        <v>61</v>
      </c>
      <c r="H88" s="4" t="s">
        <v>197</v>
      </c>
      <c r="I88" s="4" t="s">
        <v>198</v>
      </c>
      <c r="J88" s="5" t="s">
        <v>235</v>
      </c>
      <c r="K88" s="6">
        <v>100</v>
      </c>
      <c r="L88" s="4" t="s">
        <v>720</v>
      </c>
      <c r="M88" s="4" t="s">
        <v>721</v>
      </c>
      <c r="N88" s="4" t="s">
        <v>238</v>
      </c>
      <c r="O88" s="4" t="s">
        <v>99</v>
      </c>
      <c r="P88" s="4" t="s">
        <v>722</v>
      </c>
      <c r="Q88" s="4" t="s">
        <v>49</v>
      </c>
      <c r="R88" s="4">
        <v>1</v>
      </c>
      <c r="S88" s="4">
        <v>1</v>
      </c>
      <c r="T88" s="4">
        <v>1</v>
      </c>
      <c r="U88" s="4">
        <v>1</v>
      </c>
      <c r="V88" s="4">
        <v>1</v>
      </c>
      <c r="W88" s="4">
        <v>1</v>
      </c>
      <c r="X88" s="4">
        <v>1</v>
      </c>
      <c r="Y88" s="4">
        <v>1</v>
      </c>
      <c r="Z88" s="4" t="s">
        <v>140</v>
      </c>
      <c r="AA88" s="4">
        <v>1</v>
      </c>
      <c r="AB88" s="4">
        <v>1</v>
      </c>
      <c r="AC88" s="4">
        <v>1</v>
      </c>
      <c r="AD88" s="4">
        <v>1</v>
      </c>
      <c r="AE88" s="4">
        <v>1</v>
      </c>
      <c r="AF88" s="4" t="s">
        <v>140</v>
      </c>
      <c r="AG88" s="4">
        <v>1</v>
      </c>
      <c r="AH88" s="4" t="s">
        <v>140</v>
      </c>
      <c r="AI88" s="4">
        <v>1</v>
      </c>
      <c r="AJ88" s="4">
        <v>1</v>
      </c>
      <c r="AK88" s="4">
        <v>1</v>
      </c>
      <c r="AL88" s="4" t="s">
        <v>140</v>
      </c>
      <c r="AM88" s="4" t="s">
        <v>140</v>
      </c>
      <c r="AN88" s="4" t="s">
        <v>140</v>
      </c>
      <c r="AO88" s="4" t="s">
        <v>1066</v>
      </c>
    </row>
    <row r="89" spans="1:41" hidden="1" x14ac:dyDescent="0.2">
      <c r="A89" s="13">
        <f t="shared" si="2"/>
        <v>5</v>
      </c>
      <c r="B89" s="13">
        <f t="shared" si="3"/>
        <v>1</v>
      </c>
      <c r="C89" s="13" t="str">
        <f>VLOOKUP(B89,Correspondance!$D$3:$E$14,2,FALSE)</f>
        <v>Janvier</v>
      </c>
      <c r="D89" s="15" t="str">
        <f>VLOOKUP(G89,Correspondance!$A$3:$B$10,2,FALSE)</f>
        <v>ASF</v>
      </c>
      <c r="E89" s="1" t="s">
        <v>566</v>
      </c>
      <c r="F89" s="2" t="s">
        <v>169</v>
      </c>
      <c r="G89" s="3" t="s">
        <v>61</v>
      </c>
      <c r="H89" s="4" t="s">
        <v>229</v>
      </c>
      <c r="I89" s="4" t="s">
        <v>230</v>
      </c>
      <c r="J89" s="5" t="s">
        <v>235</v>
      </c>
      <c r="K89" s="6">
        <v>96</v>
      </c>
      <c r="L89" s="4" t="s">
        <v>723</v>
      </c>
      <c r="M89" s="4" t="s">
        <v>399</v>
      </c>
      <c r="N89" s="4" t="s">
        <v>238</v>
      </c>
      <c r="O89" s="4" t="s">
        <v>99</v>
      </c>
      <c r="P89" s="4" t="s">
        <v>724</v>
      </c>
      <c r="Q89" s="4" t="s">
        <v>49</v>
      </c>
      <c r="R89" s="4">
        <v>1</v>
      </c>
      <c r="S89" s="4">
        <v>1</v>
      </c>
      <c r="T89" s="4">
        <v>1</v>
      </c>
      <c r="U89" s="4">
        <v>1</v>
      </c>
      <c r="V89" s="4">
        <v>0</v>
      </c>
      <c r="W89" s="4">
        <v>1</v>
      </c>
      <c r="X89" s="4">
        <v>1</v>
      </c>
      <c r="Y89" s="4">
        <v>1</v>
      </c>
      <c r="Z89" s="4" t="s">
        <v>140</v>
      </c>
      <c r="AA89" s="4">
        <v>1</v>
      </c>
      <c r="AB89" s="4">
        <v>1</v>
      </c>
      <c r="AC89" s="4">
        <v>1</v>
      </c>
      <c r="AD89" s="4">
        <v>1</v>
      </c>
      <c r="AE89" s="4">
        <v>1</v>
      </c>
      <c r="AF89" s="4" t="s">
        <v>140</v>
      </c>
      <c r="AG89" s="4">
        <v>1</v>
      </c>
      <c r="AH89" s="4" t="s">
        <v>140</v>
      </c>
      <c r="AI89" s="4">
        <v>1</v>
      </c>
      <c r="AJ89" s="4">
        <v>1</v>
      </c>
      <c r="AK89" s="4">
        <v>1</v>
      </c>
      <c r="AL89" s="4" t="s">
        <v>140</v>
      </c>
      <c r="AM89" s="4" t="s">
        <v>140</v>
      </c>
      <c r="AN89" s="4" t="s">
        <v>140</v>
      </c>
      <c r="AO89" s="4" t="s">
        <v>561</v>
      </c>
    </row>
    <row r="90" spans="1:41" hidden="1" x14ac:dyDescent="0.2">
      <c r="A90" s="13">
        <f t="shared" si="2"/>
        <v>5</v>
      </c>
      <c r="B90" s="13">
        <f t="shared" si="3"/>
        <v>1</v>
      </c>
      <c r="C90" s="13" t="str">
        <f>VLOOKUP(B90,Correspondance!$D$3:$E$14,2,FALSE)</f>
        <v>Janvier</v>
      </c>
      <c r="D90" s="15" t="str">
        <f>VLOOKUP(G90,Correspondance!$A$3:$B$10,2,FALSE)</f>
        <v>ASF</v>
      </c>
      <c r="E90" s="1" t="s">
        <v>566</v>
      </c>
      <c r="F90" s="2" t="s">
        <v>169</v>
      </c>
      <c r="G90" s="3" t="s">
        <v>61</v>
      </c>
      <c r="H90" s="4" t="s">
        <v>1204</v>
      </c>
      <c r="I90" s="4" t="s">
        <v>208</v>
      </c>
      <c r="J90" s="5" t="s">
        <v>235</v>
      </c>
      <c r="K90" s="6">
        <v>100</v>
      </c>
      <c r="L90" s="4" t="s">
        <v>725</v>
      </c>
      <c r="M90" s="4" t="s">
        <v>190</v>
      </c>
      <c r="N90" s="4" t="s">
        <v>238</v>
      </c>
      <c r="O90" s="4" t="s">
        <v>99</v>
      </c>
      <c r="P90" s="4" t="s">
        <v>726</v>
      </c>
      <c r="Q90" s="4" t="s">
        <v>49</v>
      </c>
      <c r="R90" s="4">
        <v>1</v>
      </c>
      <c r="S90" s="4">
        <v>1</v>
      </c>
      <c r="T90" s="4">
        <v>1</v>
      </c>
      <c r="U90" s="4">
        <v>1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1</v>
      </c>
      <c r="AC90" s="4">
        <v>1</v>
      </c>
      <c r="AD90" s="4">
        <v>1</v>
      </c>
      <c r="AE90" s="4">
        <v>1</v>
      </c>
      <c r="AF90" s="4" t="s">
        <v>140</v>
      </c>
      <c r="AG90" s="4">
        <v>1</v>
      </c>
      <c r="AH90" s="4" t="s">
        <v>140</v>
      </c>
      <c r="AI90" s="4">
        <v>1</v>
      </c>
      <c r="AJ90" s="4">
        <v>1</v>
      </c>
      <c r="AK90" s="4">
        <v>1</v>
      </c>
      <c r="AL90" s="4" t="s">
        <v>140</v>
      </c>
      <c r="AM90" s="4" t="s">
        <v>140</v>
      </c>
      <c r="AN90" s="4" t="s">
        <v>140</v>
      </c>
      <c r="AO90" s="4" t="s">
        <v>561</v>
      </c>
    </row>
    <row r="91" spans="1:41" hidden="1" x14ac:dyDescent="0.2">
      <c r="A91" s="13">
        <f t="shared" si="2"/>
        <v>5</v>
      </c>
      <c r="B91" s="13">
        <f t="shared" si="3"/>
        <v>2</v>
      </c>
      <c r="C91" s="13" t="str">
        <f>VLOOKUP(B91,Correspondance!$D$3:$E$14,2,FALSE)</f>
        <v>Février</v>
      </c>
      <c r="D91" s="15" t="str">
        <f>VLOOKUP(G91,Correspondance!$A$3:$B$10,2,FALSE)</f>
        <v>ASF</v>
      </c>
      <c r="E91" s="1" t="s">
        <v>1066</v>
      </c>
      <c r="F91" s="2" t="s">
        <v>169</v>
      </c>
      <c r="G91" s="3" t="s">
        <v>41</v>
      </c>
      <c r="H91" s="4" t="s">
        <v>78</v>
      </c>
      <c r="I91" s="4" t="s">
        <v>79</v>
      </c>
      <c r="J91" s="5" t="s">
        <v>57</v>
      </c>
      <c r="K91" s="6">
        <v>97</v>
      </c>
      <c r="L91" s="4" t="s">
        <v>1210</v>
      </c>
      <c r="M91" s="4" t="s">
        <v>237</v>
      </c>
      <c r="N91" s="4" t="s">
        <v>114</v>
      </c>
      <c r="O91" s="4" t="s">
        <v>47</v>
      </c>
      <c r="P91" s="4" t="s">
        <v>539</v>
      </c>
      <c r="Q91" s="4" t="s">
        <v>49</v>
      </c>
      <c r="R91" s="4">
        <v>1</v>
      </c>
      <c r="S91" s="4">
        <v>1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 t="s">
        <v>140</v>
      </c>
      <c r="Z91" s="4">
        <v>0</v>
      </c>
      <c r="AA91" s="4">
        <v>1</v>
      </c>
      <c r="AB91" s="4">
        <v>1</v>
      </c>
      <c r="AC91" s="4">
        <v>1</v>
      </c>
      <c r="AD91" s="4">
        <v>1</v>
      </c>
      <c r="AE91" s="4">
        <v>1</v>
      </c>
      <c r="AF91" s="4" t="s">
        <v>140</v>
      </c>
      <c r="AG91" s="4">
        <v>1</v>
      </c>
      <c r="AH91" s="4" t="s">
        <v>140</v>
      </c>
      <c r="AI91" s="4">
        <v>1</v>
      </c>
      <c r="AJ91" s="4">
        <v>1</v>
      </c>
      <c r="AK91" s="4" t="s">
        <v>140</v>
      </c>
      <c r="AL91" s="4" t="s">
        <v>140</v>
      </c>
      <c r="AM91" s="4" t="s">
        <v>140</v>
      </c>
      <c r="AN91" s="4" t="s">
        <v>140</v>
      </c>
      <c r="AO91" s="4" t="s">
        <v>1069</v>
      </c>
    </row>
    <row r="92" spans="1:41" ht="25.5" hidden="1" x14ac:dyDescent="0.2">
      <c r="A92" s="13">
        <f t="shared" si="2"/>
        <v>5</v>
      </c>
      <c r="B92" s="13">
        <f t="shared" si="3"/>
        <v>2</v>
      </c>
      <c r="C92" s="13" t="str">
        <f>VLOOKUP(B92,Correspondance!$D$3:$E$14,2,FALSE)</f>
        <v>Février</v>
      </c>
      <c r="D92" s="15" t="str">
        <f>VLOOKUP(G92,Correspondance!$A$3:$B$10,2,FALSE)</f>
        <v>ASF</v>
      </c>
      <c r="E92" s="1" t="s">
        <v>1066</v>
      </c>
      <c r="F92" s="2" t="s">
        <v>169</v>
      </c>
      <c r="G92" s="3" t="s">
        <v>41</v>
      </c>
      <c r="H92" s="4" t="s">
        <v>529</v>
      </c>
      <c r="I92" s="4" t="s">
        <v>530</v>
      </c>
      <c r="J92" s="5" t="s">
        <v>57</v>
      </c>
      <c r="K92" s="6">
        <v>100</v>
      </c>
      <c r="L92" s="4" t="s">
        <v>1211</v>
      </c>
      <c r="M92" s="4" t="s">
        <v>526</v>
      </c>
      <c r="N92" s="4" t="s">
        <v>114</v>
      </c>
      <c r="O92" s="4" t="s">
        <v>99</v>
      </c>
      <c r="P92" s="4" t="s">
        <v>1212</v>
      </c>
      <c r="Q92" s="4" t="s">
        <v>49</v>
      </c>
      <c r="R92" s="4">
        <v>1</v>
      </c>
      <c r="S92" s="4">
        <v>1</v>
      </c>
      <c r="T92" s="4">
        <v>1</v>
      </c>
      <c r="U92" s="4">
        <v>1</v>
      </c>
      <c r="V92" s="4">
        <v>1</v>
      </c>
      <c r="W92" s="4">
        <v>1</v>
      </c>
      <c r="X92" s="4">
        <v>1</v>
      </c>
      <c r="Y92" s="4" t="s">
        <v>140</v>
      </c>
      <c r="Z92" s="4" t="s">
        <v>140</v>
      </c>
      <c r="AA92" s="4">
        <v>1</v>
      </c>
      <c r="AB92" s="4">
        <v>1</v>
      </c>
      <c r="AC92" s="4">
        <v>1</v>
      </c>
      <c r="AD92" s="4">
        <v>1</v>
      </c>
      <c r="AE92" s="4">
        <v>1</v>
      </c>
      <c r="AF92" s="4" t="s">
        <v>140</v>
      </c>
      <c r="AG92" s="4">
        <v>1</v>
      </c>
      <c r="AH92" s="4" t="s">
        <v>140</v>
      </c>
      <c r="AI92" s="4">
        <v>1</v>
      </c>
      <c r="AJ92" s="4">
        <v>1</v>
      </c>
      <c r="AK92" s="4" t="s">
        <v>140</v>
      </c>
      <c r="AL92" s="4" t="s">
        <v>140</v>
      </c>
      <c r="AM92" s="4" t="s">
        <v>140</v>
      </c>
      <c r="AN92" s="4" t="s">
        <v>140</v>
      </c>
      <c r="AO92" s="4" t="s">
        <v>1069</v>
      </c>
    </row>
    <row r="93" spans="1:41" ht="25.5" hidden="1" x14ac:dyDescent="0.2">
      <c r="A93" s="13">
        <f t="shared" si="2"/>
        <v>5</v>
      </c>
      <c r="B93" s="13">
        <f t="shared" si="3"/>
        <v>2</v>
      </c>
      <c r="C93" s="13" t="str">
        <f>VLOOKUP(B93,Correspondance!$D$3:$E$14,2,FALSE)</f>
        <v>Février</v>
      </c>
      <c r="D93" s="15" t="str">
        <f>VLOOKUP(G93,Correspondance!$A$3:$B$10,2,FALSE)</f>
        <v>ASF</v>
      </c>
      <c r="E93" s="1" t="s">
        <v>1066</v>
      </c>
      <c r="F93" s="2" t="s">
        <v>169</v>
      </c>
      <c r="G93" s="3" t="s">
        <v>41</v>
      </c>
      <c r="H93" s="4" t="s">
        <v>529</v>
      </c>
      <c r="I93" s="4" t="s">
        <v>530</v>
      </c>
      <c r="J93" s="5" t="s">
        <v>57</v>
      </c>
      <c r="K93" s="6">
        <v>100</v>
      </c>
      <c r="L93" s="4" t="s">
        <v>1213</v>
      </c>
      <c r="M93" s="4" t="s">
        <v>399</v>
      </c>
      <c r="N93" s="4" t="s">
        <v>114</v>
      </c>
      <c r="O93" s="4" t="s">
        <v>99</v>
      </c>
      <c r="P93" s="4" t="s">
        <v>1212</v>
      </c>
      <c r="Q93" s="4" t="s">
        <v>49</v>
      </c>
      <c r="R93" s="4">
        <v>1</v>
      </c>
      <c r="S93" s="4">
        <v>1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 t="s">
        <v>140</v>
      </c>
      <c r="Z93" s="4">
        <v>1</v>
      </c>
      <c r="AA93" s="4">
        <v>1</v>
      </c>
      <c r="AB93" s="4">
        <v>1</v>
      </c>
      <c r="AC93" s="4">
        <v>1</v>
      </c>
      <c r="AD93" s="4">
        <v>1</v>
      </c>
      <c r="AE93" s="4">
        <v>1</v>
      </c>
      <c r="AF93" s="4" t="s">
        <v>140</v>
      </c>
      <c r="AG93" s="4">
        <v>1</v>
      </c>
      <c r="AH93" s="4">
        <v>1</v>
      </c>
      <c r="AI93" s="4">
        <v>1</v>
      </c>
      <c r="AJ93" s="4">
        <v>1</v>
      </c>
      <c r="AK93" s="4">
        <v>1</v>
      </c>
      <c r="AL93" s="4">
        <v>1</v>
      </c>
      <c r="AM93" s="4">
        <v>1</v>
      </c>
      <c r="AN93" s="4">
        <v>1</v>
      </c>
      <c r="AO93" s="4" t="s">
        <v>1069</v>
      </c>
    </row>
    <row r="94" spans="1:41" hidden="1" x14ac:dyDescent="0.2">
      <c r="A94" s="13">
        <f t="shared" si="2"/>
        <v>5</v>
      </c>
      <c r="B94" s="13">
        <f t="shared" si="3"/>
        <v>2</v>
      </c>
      <c r="C94" s="13" t="str">
        <f>VLOOKUP(B94,Correspondance!$D$3:$E$14,2,FALSE)</f>
        <v>Février</v>
      </c>
      <c r="D94" s="15" t="str">
        <f>VLOOKUP(G94,Correspondance!$A$3:$B$10,2,FALSE)</f>
        <v>ASF</v>
      </c>
      <c r="E94" s="1" t="s">
        <v>1066</v>
      </c>
      <c r="F94" s="2" t="s">
        <v>169</v>
      </c>
      <c r="G94" s="3" t="s">
        <v>41</v>
      </c>
      <c r="H94" s="4" t="s">
        <v>529</v>
      </c>
      <c r="I94" s="4" t="s">
        <v>530</v>
      </c>
      <c r="J94" s="5" t="s">
        <v>61</v>
      </c>
      <c r="K94" s="6">
        <v>100</v>
      </c>
      <c r="L94" s="4" t="s">
        <v>1214</v>
      </c>
      <c r="M94" s="4" t="s">
        <v>174</v>
      </c>
      <c r="N94" s="4" t="s">
        <v>114</v>
      </c>
      <c r="O94" s="4" t="s">
        <v>99</v>
      </c>
      <c r="P94" s="4" t="s">
        <v>907</v>
      </c>
      <c r="Q94" s="4" t="s">
        <v>49</v>
      </c>
      <c r="R94" s="4">
        <v>1</v>
      </c>
      <c r="S94" s="4">
        <v>1</v>
      </c>
      <c r="T94" s="4" t="s">
        <v>140</v>
      </c>
      <c r="U94" s="4">
        <v>1</v>
      </c>
      <c r="V94" s="4">
        <v>1</v>
      </c>
      <c r="W94" s="4">
        <v>1</v>
      </c>
      <c r="X94" s="4">
        <v>1</v>
      </c>
      <c r="Y94" s="4" t="s">
        <v>140</v>
      </c>
      <c r="Z94" s="4">
        <v>1</v>
      </c>
      <c r="AA94" s="4">
        <v>1</v>
      </c>
      <c r="AB94" s="4">
        <v>1</v>
      </c>
      <c r="AC94" s="4" t="s">
        <v>140</v>
      </c>
      <c r="AD94" s="4">
        <v>1</v>
      </c>
      <c r="AE94" s="4">
        <v>1</v>
      </c>
      <c r="AF94" s="4" t="s">
        <v>140</v>
      </c>
      <c r="AG94" s="4">
        <v>1</v>
      </c>
      <c r="AH94" s="4">
        <v>1</v>
      </c>
      <c r="AI94" s="4">
        <v>1</v>
      </c>
      <c r="AJ94" s="4">
        <v>1</v>
      </c>
      <c r="AK94" s="4">
        <v>1</v>
      </c>
      <c r="AL94" s="4" t="s">
        <v>140</v>
      </c>
      <c r="AM94" s="4" t="s">
        <v>140</v>
      </c>
      <c r="AN94" s="4" t="s">
        <v>140</v>
      </c>
      <c r="AO94" s="4" t="s">
        <v>1069</v>
      </c>
    </row>
    <row r="95" spans="1:41" hidden="1" x14ac:dyDescent="0.2">
      <c r="A95" s="13">
        <f t="shared" si="2"/>
        <v>5</v>
      </c>
      <c r="B95" s="13">
        <f t="shared" si="3"/>
        <v>2</v>
      </c>
      <c r="C95" s="13" t="str">
        <f>VLOOKUP(B95,Correspondance!$D$3:$E$14,2,FALSE)</f>
        <v>Février</v>
      </c>
      <c r="D95" s="15" t="str">
        <f>VLOOKUP(G95,Correspondance!$A$3:$B$10,2,FALSE)</f>
        <v>ASF</v>
      </c>
      <c r="E95" s="1" t="s">
        <v>1066</v>
      </c>
      <c r="F95" s="2" t="s">
        <v>169</v>
      </c>
      <c r="G95" s="3" t="s">
        <v>41</v>
      </c>
      <c r="H95" s="4" t="s">
        <v>179</v>
      </c>
      <c r="I95" s="4" t="s">
        <v>180</v>
      </c>
      <c r="J95" s="5" t="s">
        <v>57</v>
      </c>
      <c r="K95" s="6">
        <v>100</v>
      </c>
      <c r="L95" s="4" t="s">
        <v>1215</v>
      </c>
      <c r="M95" s="4" t="s">
        <v>174</v>
      </c>
      <c r="N95" s="4" t="s">
        <v>114</v>
      </c>
      <c r="O95" s="4" t="s">
        <v>99</v>
      </c>
      <c r="P95" s="4" t="s">
        <v>626</v>
      </c>
      <c r="Q95" s="4" t="s">
        <v>49</v>
      </c>
      <c r="R95" s="4">
        <v>1</v>
      </c>
      <c r="S95" s="4">
        <v>1</v>
      </c>
      <c r="T95" s="4">
        <v>1</v>
      </c>
      <c r="U95" s="4">
        <v>1</v>
      </c>
      <c r="V95" s="4">
        <v>1</v>
      </c>
      <c r="W95" s="4">
        <v>1</v>
      </c>
      <c r="X95" s="4">
        <v>1</v>
      </c>
      <c r="Y95" s="4" t="s">
        <v>140</v>
      </c>
      <c r="Z95" s="4" t="s">
        <v>140</v>
      </c>
      <c r="AA95" s="4">
        <v>1</v>
      </c>
      <c r="AB95" s="4">
        <v>1</v>
      </c>
      <c r="AC95" s="4">
        <v>1</v>
      </c>
      <c r="AD95" s="4">
        <v>1</v>
      </c>
      <c r="AE95" s="4">
        <v>1</v>
      </c>
      <c r="AF95" s="4" t="s">
        <v>140</v>
      </c>
      <c r="AG95" s="4">
        <v>1</v>
      </c>
      <c r="AH95" s="4" t="s">
        <v>140</v>
      </c>
      <c r="AI95" s="4">
        <v>1</v>
      </c>
      <c r="AJ95" s="4">
        <v>1</v>
      </c>
      <c r="AK95" s="4">
        <v>1</v>
      </c>
      <c r="AL95" s="4" t="s">
        <v>140</v>
      </c>
      <c r="AM95" s="4" t="s">
        <v>140</v>
      </c>
      <c r="AN95" s="4" t="s">
        <v>140</v>
      </c>
      <c r="AO95" s="4" t="s">
        <v>1069</v>
      </c>
    </row>
    <row r="96" spans="1:41" hidden="1" x14ac:dyDescent="0.2">
      <c r="A96" s="13">
        <f t="shared" si="2"/>
        <v>5</v>
      </c>
      <c r="B96" s="13">
        <f t="shared" si="3"/>
        <v>2</v>
      </c>
      <c r="C96" s="13" t="str">
        <f>VLOOKUP(B96,Correspondance!$D$3:$E$14,2,FALSE)</f>
        <v>Février</v>
      </c>
      <c r="D96" s="15" t="str">
        <f>VLOOKUP(G96,Correspondance!$A$3:$B$10,2,FALSE)</f>
        <v>ASF</v>
      </c>
      <c r="E96" s="1" t="s">
        <v>1066</v>
      </c>
      <c r="F96" s="2" t="s">
        <v>169</v>
      </c>
      <c r="G96" s="3" t="s">
        <v>41</v>
      </c>
      <c r="H96" s="4" t="s">
        <v>179</v>
      </c>
      <c r="I96" s="4" t="s">
        <v>180</v>
      </c>
      <c r="J96" s="5" t="s">
        <v>57</v>
      </c>
      <c r="K96" s="6">
        <v>100</v>
      </c>
      <c r="L96" s="4" t="s">
        <v>1216</v>
      </c>
      <c r="M96" s="4" t="s">
        <v>215</v>
      </c>
      <c r="N96" s="4" t="s">
        <v>114</v>
      </c>
      <c r="O96" s="4" t="s">
        <v>99</v>
      </c>
      <c r="P96" s="4" t="s">
        <v>1217</v>
      </c>
      <c r="Q96" s="4" t="s">
        <v>49</v>
      </c>
      <c r="R96" s="4">
        <v>1</v>
      </c>
      <c r="S96" s="4">
        <v>1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 t="s">
        <v>140</v>
      </c>
      <c r="Z96" s="4">
        <v>1</v>
      </c>
      <c r="AA96" s="4">
        <v>1</v>
      </c>
      <c r="AB96" s="4">
        <v>1</v>
      </c>
      <c r="AC96" s="4">
        <v>1</v>
      </c>
      <c r="AD96" s="4">
        <v>1</v>
      </c>
      <c r="AE96" s="4">
        <v>1</v>
      </c>
      <c r="AF96" s="4" t="s">
        <v>140</v>
      </c>
      <c r="AG96" s="4">
        <v>1</v>
      </c>
      <c r="AH96" s="4">
        <v>1</v>
      </c>
      <c r="AI96" s="4">
        <v>1</v>
      </c>
      <c r="AJ96" s="4">
        <v>1</v>
      </c>
      <c r="AK96" s="4" t="s">
        <v>140</v>
      </c>
      <c r="AL96" s="4" t="s">
        <v>140</v>
      </c>
      <c r="AM96" s="4" t="s">
        <v>140</v>
      </c>
      <c r="AN96" s="4" t="s">
        <v>140</v>
      </c>
      <c r="AO96" s="4" t="s">
        <v>1096</v>
      </c>
    </row>
    <row r="97" spans="1:41" x14ac:dyDescent="0.2">
      <c r="A97" s="13">
        <f t="shared" si="2"/>
        <v>5</v>
      </c>
      <c r="B97" s="13">
        <f t="shared" si="3"/>
        <v>2</v>
      </c>
      <c r="C97" s="13" t="str">
        <f>VLOOKUP(B97,Correspondance!$D$3:$E$14,2,FALSE)</f>
        <v>Février</v>
      </c>
      <c r="D97" s="15" t="str">
        <f>VLOOKUP(G97,Correspondance!$A$3:$B$10,2,FALSE)</f>
        <v>ASF</v>
      </c>
      <c r="E97" s="1" t="s">
        <v>1066</v>
      </c>
      <c r="F97" s="2" t="s">
        <v>169</v>
      </c>
      <c r="G97" s="3" t="s">
        <v>52</v>
      </c>
      <c r="H97" s="4" t="s">
        <v>135</v>
      </c>
      <c r="I97" s="4" t="s">
        <v>136</v>
      </c>
      <c r="J97" s="5" t="s">
        <v>61</v>
      </c>
      <c r="K97" s="6">
        <v>81</v>
      </c>
      <c r="L97" s="4" t="s">
        <v>1218</v>
      </c>
      <c r="M97" s="4" t="s">
        <v>1219</v>
      </c>
      <c r="N97" s="4" t="s">
        <v>114</v>
      </c>
      <c r="O97" s="4" t="s">
        <v>47</v>
      </c>
      <c r="P97" s="4" t="s">
        <v>1220</v>
      </c>
      <c r="Q97" s="4" t="s">
        <v>49</v>
      </c>
      <c r="R97" s="4">
        <v>1</v>
      </c>
      <c r="S97" s="4">
        <v>1</v>
      </c>
      <c r="T97" s="4">
        <v>0</v>
      </c>
      <c r="U97" s="4">
        <v>1</v>
      </c>
      <c r="V97" s="4">
        <v>1</v>
      </c>
      <c r="W97" s="4">
        <v>1</v>
      </c>
      <c r="X97" s="4">
        <v>1</v>
      </c>
      <c r="Y97" s="4" t="s">
        <v>140</v>
      </c>
      <c r="Z97" s="4" t="s">
        <v>140</v>
      </c>
      <c r="AA97" s="4">
        <v>1</v>
      </c>
      <c r="AB97" s="4">
        <v>1</v>
      </c>
      <c r="AC97" s="4">
        <v>0</v>
      </c>
      <c r="AD97" s="4">
        <v>1</v>
      </c>
      <c r="AE97" s="4">
        <v>1</v>
      </c>
      <c r="AF97" s="4" t="s">
        <v>140</v>
      </c>
      <c r="AG97" s="4">
        <v>1</v>
      </c>
      <c r="AH97" s="4" t="s">
        <v>140</v>
      </c>
      <c r="AI97" s="4">
        <v>1</v>
      </c>
      <c r="AJ97" s="4">
        <v>1</v>
      </c>
      <c r="AK97" s="4">
        <v>1</v>
      </c>
      <c r="AL97" s="4" t="s">
        <v>140</v>
      </c>
      <c r="AM97" s="4" t="s">
        <v>140</v>
      </c>
      <c r="AN97" s="4" t="s">
        <v>140</v>
      </c>
      <c r="AO97" s="4" t="s">
        <v>1069</v>
      </c>
    </row>
    <row r="98" spans="1:41" hidden="1" x14ac:dyDescent="0.2">
      <c r="A98" s="13">
        <f t="shared" si="2"/>
        <v>5</v>
      </c>
      <c r="B98" s="13">
        <f t="shared" si="3"/>
        <v>2</v>
      </c>
      <c r="C98" s="13" t="str">
        <f>VLOOKUP(B98,Correspondance!$D$3:$E$14,2,FALSE)</f>
        <v>Février</v>
      </c>
      <c r="D98" s="15" t="str">
        <f>VLOOKUP(G98,Correspondance!$A$3:$B$10,2,FALSE)</f>
        <v>ASF</v>
      </c>
      <c r="E98" s="1" t="s">
        <v>1066</v>
      </c>
      <c r="F98" s="2" t="s">
        <v>169</v>
      </c>
      <c r="G98" s="3" t="s">
        <v>52</v>
      </c>
      <c r="H98" s="4" t="s">
        <v>1203</v>
      </c>
      <c r="I98" s="4" t="s">
        <v>194</v>
      </c>
      <c r="J98" s="5" t="s">
        <v>57</v>
      </c>
      <c r="K98" s="6">
        <v>100</v>
      </c>
      <c r="L98" s="4" t="s">
        <v>1221</v>
      </c>
      <c r="M98" s="4" t="s">
        <v>365</v>
      </c>
      <c r="N98" s="4" t="s">
        <v>114</v>
      </c>
      <c r="O98" s="4" t="s">
        <v>99</v>
      </c>
      <c r="P98" s="4" t="s">
        <v>540</v>
      </c>
      <c r="Q98" s="4" t="s">
        <v>49</v>
      </c>
      <c r="R98" s="4">
        <v>1</v>
      </c>
      <c r="S98" s="4">
        <v>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 t="s">
        <v>140</v>
      </c>
      <c r="Z98" s="4" t="s">
        <v>140</v>
      </c>
      <c r="AA98" s="4">
        <v>1</v>
      </c>
      <c r="AB98" s="4">
        <v>1</v>
      </c>
      <c r="AC98" s="4">
        <v>1</v>
      </c>
      <c r="AD98" s="4">
        <v>1</v>
      </c>
      <c r="AE98" s="4">
        <v>1</v>
      </c>
      <c r="AF98" s="4" t="s">
        <v>140</v>
      </c>
      <c r="AG98" s="4">
        <v>1</v>
      </c>
      <c r="AH98" s="4" t="s">
        <v>140</v>
      </c>
      <c r="AI98" s="4">
        <v>1</v>
      </c>
      <c r="AJ98" s="4">
        <v>1</v>
      </c>
      <c r="AK98" s="4" t="s">
        <v>140</v>
      </c>
      <c r="AL98" s="4" t="s">
        <v>140</v>
      </c>
      <c r="AM98" s="4" t="s">
        <v>140</v>
      </c>
      <c r="AN98" s="4" t="s">
        <v>140</v>
      </c>
      <c r="AO98" s="4" t="s">
        <v>1069</v>
      </c>
    </row>
    <row r="99" spans="1:41" hidden="1" x14ac:dyDescent="0.2">
      <c r="A99" s="13">
        <f t="shared" si="2"/>
        <v>5</v>
      </c>
      <c r="B99" s="13">
        <f t="shared" si="3"/>
        <v>2</v>
      </c>
      <c r="C99" s="13" t="str">
        <f>VLOOKUP(B99,Correspondance!$D$3:$E$14,2,FALSE)</f>
        <v>Février</v>
      </c>
      <c r="D99" s="15" t="str">
        <f>VLOOKUP(G99,Correspondance!$A$3:$B$10,2,FALSE)</f>
        <v>ASF</v>
      </c>
      <c r="E99" s="1" t="s">
        <v>1066</v>
      </c>
      <c r="F99" s="2" t="s">
        <v>169</v>
      </c>
      <c r="G99" s="3" t="s">
        <v>52</v>
      </c>
      <c r="H99" s="4" t="s">
        <v>120</v>
      </c>
      <c r="I99" s="4" t="s">
        <v>121</v>
      </c>
      <c r="J99" s="5" t="s">
        <v>57</v>
      </c>
      <c r="K99" s="6">
        <v>85.04</v>
      </c>
      <c r="L99" s="4" t="s">
        <v>1222</v>
      </c>
      <c r="M99" s="4" t="s">
        <v>550</v>
      </c>
      <c r="N99" s="4" t="s">
        <v>114</v>
      </c>
      <c r="O99" s="4" t="s">
        <v>47</v>
      </c>
      <c r="P99" s="4" t="s">
        <v>1158</v>
      </c>
      <c r="Q99" s="4" t="s">
        <v>49</v>
      </c>
      <c r="R99" s="4">
        <v>1</v>
      </c>
      <c r="S99" s="4">
        <v>1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 t="s">
        <v>140</v>
      </c>
      <c r="Z99" s="4">
        <v>1</v>
      </c>
      <c r="AA99" s="4">
        <v>1</v>
      </c>
      <c r="AB99" s="4">
        <v>1</v>
      </c>
      <c r="AC99" s="4">
        <v>1</v>
      </c>
      <c r="AD99" s="4">
        <v>0</v>
      </c>
      <c r="AE99" s="4">
        <v>1</v>
      </c>
      <c r="AF99" s="4" t="s">
        <v>140</v>
      </c>
      <c r="AG99" s="4">
        <v>1</v>
      </c>
      <c r="AH99" s="4">
        <v>1</v>
      </c>
      <c r="AI99" s="4">
        <v>1</v>
      </c>
      <c r="AJ99" s="4">
        <v>1</v>
      </c>
      <c r="AK99" s="4">
        <v>0</v>
      </c>
      <c r="AL99" s="4" t="s">
        <v>140</v>
      </c>
      <c r="AM99" s="4" t="s">
        <v>140</v>
      </c>
      <c r="AN99" s="4" t="s">
        <v>140</v>
      </c>
      <c r="AO99" s="4"/>
    </row>
    <row r="100" spans="1:41" hidden="1" x14ac:dyDescent="0.2">
      <c r="A100" s="13">
        <f t="shared" si="2"/>
        <v>5</v>
      </c>
      <c r="B100" s="13">
        <f t="shared" si="3"/>
        <v>2</v>
      </c>
      <c r="C100" s="13" t="str">
        <f>VLOOKUP(B100,Correspondance!$D$3:$E$14,2,FALSE)</f>
        <v>Février</v>
      </c>
      <c r="D100" s="15" t="str">
        <f>VLOOKUP(G100,Correspondance!$A$3:$B$10,2,FALSE)</f>
        <v>ASF</v>
      </c>
      <c r="E100" s="1" t="s">
        <v>1066</v>
      </c>
      <c r="F100" s="2" t="s">
        <v>169</v>
      </c>
      <c r="G100" s="3" t="s">
        <v>61</v>
      </c>
      <c r="H100" s="4" t="s">
        <v>197</v>
      </c>
      <c r="I100" s="4" t="s">
        <v>198</v>
      </c>
      <c r="J100" s="5" t="s">
        <v>61</v>
      </c>
      <c r="K100" s="6">
        <v>100</v>
      </c>
      <c r="L100" s="4" t="s">
        <v>1223</v>
      </c>
      <c r="M100" s="4" t="s">
        <v>368</v>
      </c>
      <c r="N100" s="4" t="s">
        <v>114</v>
      </c>
      <c r="O100" s="4" t="s">
        <v>99</v>
      </c>
      <c r="P100" s="4" t="s">
        <v>687</v>
      </c>
      <c r="Q100" s="4" t="s">
        <v>49</v>
      </c>
      <c r="R100" s="4">
        <v>1</v>
      </c>
      <c r="S100" s="4">
        <v>1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 t="s">
        <v>140</v>
      </c>
      <c r="Z100" s="4" t="s">
        <v>140</v>
      </c>
      <c r="AA100" s="4">
        <v>1</v>
      </c>
      <c r="AB100" s="4">
        <v>1</v>
      </c>
      <c r="AC100" s="4">
        <v>1</v>
      </c>
      <c r="AD100" s="4">
        <v>1</v>
      </c>
      <c r="AE100" s="4">
        <v>1</v>
      </c>
      <c r="AF100" s="4" t="s">
        <v>140</v>
      </c>
      <c r="AG100" s="4">
        <v>1</v>
      </c>
      <c r="AH100" s="4" t="s">
        <v>140</v>
      </c>
      <c r="AI100" s="4">
        <v>1</v>
      </c>
      <c r="AJ100" s="4">
        <v>1</v>
      </c>
      <c r="AK100" s="4" t="s">
        <v>140</v>
      </c>
      <c r="AL100" s="4" t="s">
        <v>140</v>
      </c>
      <c r="AM100" s="4" t="s">
        <v>140</v>
      </c>
      <c r="AN100" s="4" t="s">
        <v>140</v>
      </c>
      <c r="AO100" s="4" t="s">
        <v>1069</v>
      </c>
    </row>
    <row r="101" spans="1:41" hidden="1" x14ac:dyDescent="0.2">
      <c r="A101" s="13">
        <f t="shared" si="2"/>
        <v>5</v>
      </c>
      <c r="B101" s="13">
        <f t="shared" si="3"/>
        <v>2</v>
      </c>
      <c r="C101" s="13" t="str">
        <f>VLOOKUP(B101,Correspondance!$D$3:$E$14,2,FALSE)</f>
        <v>Février</v>
      </c>
      <c r="D101" s="15" t="str">
        <f>VLOOKUP(G101,Correspondance!$A$3:$B$10,2,FALSE)</f>
        <v>ASF</v>
      </c>
      <c r="E101" s="1" t="s">
        <v>1066</v>
      </c>
      <c r="F101" s="2" t="s">
        <v>169</v>
      </c>
      <c r="G101" s="3" t="s">
        <v>61</v>
      </c>
      <c r="H101" s="4" t="s">
        <v>197</v>
      </c>
      <c r="I101" s="4" t="s">
        <v>198</v>
      </c>
      <c r="J101" s="5" t="s">
        <v>61</v>
      </c>
      <c r="K101" s="6">
        <v>100</v>
      </c>
      <c r="L101" s="4" t="s">
        <v>1224</v>
      </c>
      <c r="M101" s="4" t="s">
        <v>368</v>
      </c>
      <c r="N101" s="4" t="s">
        <v>114</v>
      </c>
      <c r="O101" s="4" t="s">
        <v>99</v>
      </c>
      <c r="P101" s="4" t="s">
        <v>1225</v>
      </c>
      <c r="Q101" s="4" t="s">
        <v>49</v>
      </c>
      <c r="R101" s="4">
        <v>1</v>
      </c>
      <c r="S101" s="4">
        <v>1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 t="s">
        <v>140</v>
      </c>
      <c r="Z101" s="4">
        <v>1</v>
      </c>
      <c r="AA101" s="4">
        <v>1</v>
      </c>
      <c r="AB101" s="4">
        <v>1</v>
      </c>
      <c r="AC101" s="4">
        <v>1</v>
      </c>
      <c r="AD101" s="4">
        <v>1</v>
      </c>
      <c r="AE101" s="4">
        <v>1</v>
      </c>
      <c r="AF101" s="4" t="s">
        <v>140</v>
      </c>
      <c r="AG101" s="4">
        <v>1</v>
      </c>
      <c r="AH101" s="4">
        <v>1</v>
      </c>
      <c r="AI101" s="4">
        <v>1</v>
      </c>
      <c r="AJ101" s="4">
        <v>1</v>
      </c>
      <c r="AK101" s="4" t="s">
        <v>140</v>
      </c>
      <c r="AL101" s="4" t="s">
        <v>140</v>
      </c>
      <c r="AM101" s="4" t="s">
        <v>140</v>
      </c>
      <c r="AN101" s="4">
        <v>1</v>
      </c>
      <c r="AO101" s="4" t="s">
        <v>1069</v>
      </c>
    </row>
    <row r="102" spans="1:41" hidden="1" x14ac:dyDescent="0.2">
      <c r="A102" s="13">
        <f t="shared" si="2"/>
        <v>5</v>
      </c>
      <c r="B102" s="13">
        <f t="shared" si="3"/>
        <v>2</v>
      </c>
      <c r="C102" s="13" t="str">
        <f>VLOOKUP(B102,Correspondance!$D$3:$E$14,2,FALSE)</f>
        <v>Février</v>
      </c>
      <c r="D102" s="15" t="str">
        <f>VLOOKUP(G102,Correspondance!$A$3:$B$10,2,FALSE)</f>
        <v>ASF</v>
      </c>
      <c r="E102" s="1" t="s">
        <v>1066</v>
      </c>
      <c r="F102" s="2" t="s">
        <v>169</v>
      </c>
      <c r="G102" s="3" t="s">
        <v>61</v>
      </c>
      <c r="H102" s="4" t="s">
        <v>1204</v>
      </c>
      <c r="I102" s="4" t="s">
        <v>208</v>
      </c>
      <c r="J102" s="5" t="s">
        <v>57</v>
      </c>
      <c r="K102" s="6">
        <v>100</v>
      </c>
      <c r="L102" s="4" t="s">
        <v>1226</v>
      </c>
      <c r="M102" s="4" t="s">
        <v>174</v>
      </c>
      <c r="N102" s="4" t="s">
        <v>114</v>
      </c>
      <c r="O102" s="4" t="s">
        <v>99</v>
      </c>
      <c r="P102" s="4" t="s">
        <v>1227</v>
      </c>
      <c r="Q102" s="4" t="s">
        <v>49</v>
      </c>
      <c r="R102" s="4">
        <v>1</v>
      </c>
      <c r="S102" s="4">
        <v>1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 t="s">
        <v>140</v>
      </c>
      <c r="Z102" s="4" t="s">
        <v>140</v>
      </c>
      <c r="AA102" s="4">
        <v>1</v>
      </c>
      <c r="AB102" s="4">
        <v>1</v>
      </c>
      <c r="AC102" s="4">
        <v>1</v>
      </c>
      <c r="AD102" s="4">
        <v>1</v>
      </c>
      <c r="AE102" s="4">
        <v>1</v>
      </c>
      <c r="AF102" s="4" t="s">
        <v>140</v>
      </c>
      <c r="AG102" s="4">
        <v>1</v>
      </c>
      <c r="AH102" s="4" t="s">
        <v>140</v>
      </c>
      <c r="AI102" s="4">
        <v>1</v>
      </c>
      <c r="AJ102" s="4">
        <v>1</v>
      </c>
      <c r="AK102" s="4">
        <v>1</v>
      </c>
      <c r="AL102" s="4" t="s">
        <v>140</v>
      </c>
      <c r="AM102" s="4" t="s">
        <v>140</v>
      </c>
      <c r="AN102" s="4" t="s">
        <v>140</v>
      </c>
      <c r="AO102" s="4" t="s">
        <v>1096</v>
      </c>
    </row>
    <row r="103" spans="1:41" ht="25.5" hidden="1" x14ac:dyDescent="0.2">
      <c r="A103" s="13">
        <f t="shared" si="2"/>
        <v>5</v>
      </c>
      <c r="B103" s="13">
        <f t="shared" si="3"/>
        <v>2</v>
      </c>
      <c r="C103" s="13" t="str">
        <f>VLOOKUP(B103,Correspondance!$D$3:$E$14,2,FALSE)</f>
        <v>Février</v>
      </c>
      <c r="D103" s="15" t="str">
        <f>VLOOKUP(G103,Correspondance!$A$3:$B$10,2,FALSE)</f>
        <v>ASF</v>
      </c>
      <c r="E103" s="1" t="s">
        <v>1066</v>
      </c>
      <c r="F103" s="2" t="s">
        <v>169</v>
      </c>
      <c r="G103" s="3" t="s">
        <v>61</v>
      </c>
      <c r="H103" s="4" t="s">
        <v>68</v>
      </c>
      <c r="I103" s="4" t="s">
        <v>69</v>
      </c>
      <c r="J103" s="5" t="s">
        <v>57</v>
      </c>
      <c r="K103" s="6">
        <v>100</v>
      </c>
      <c r="L103" s="4" t="s">
        <v>1228</v>
      </c>
      <c r="M103" s="4" t="s">
        <v>174</v>
      </c>
      <c r="N103" s="4" t="s">
        <v>114</v>
      </c>
      <c r="O103" s="4" t="s">
        <v>47</v>
      </c>
      <c r="P103" s="4" t="s">
        <v>852</v>
      </c>
      <c r="Q103" s="4" t="s">
        <v>49</v>
      </c>
      <c r="R103" s="4">
        <v>1</v>
      </c>
      <c r="S103" s="4">
        <v>1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 t="s">
        <v>140</v>
      </c>
      <c r="Z103" s="4">
        <v>1</v>
      </c>
      <c r="AA103" s="4">
        <v>1</v>
      </c>
      <c r="AB103" s="4">
        <v>1</v>
      </c>
      <c r="AC103" s="4">
        <v>1</v>
      </c>
      <c r="AD103" s="4">
        <v>1</v>
      </c>
      <c r="AE103" s="4">
        <v>1</v>
      </c>
      <c r="AF103" s="4" t="s">
        <v>140</v>
      </c>
      <c r="AG103" s="4" t="s">
        <v>140</v>
      </c>
      <c r="AH103" s="4" t="s">
        <v>140</v>
      </c>
      <c r="AI103" s="4">
        <v>1</v>
      </c>
      <c r="AJ103" s="4" t="s">
        <v>140</v>
      </c>
      <c r="AK103" s="4">
        <v>1</v>
      </c>
      <c r="AL103" s="4" t="s">
        <v>140</v>
      </c>
      <c r="AM103" s="4" t="s">
        <v>140</v>
      </c>
      <c r="AN103" s="4" t="s">
        <v>140</v>
      </c>
      <c r="AO103" s="4" t="s">
        <v>1069</v>
      </c>
    </row>
    <row r="104" spans="1:41" ht="25.5" hidden="1" x14ac:dyDescent="0.2">
      <c r="A104" s="13">
        <f t="shared" si="2"/>
        <v>5</v>
      </c>
      <c r="B104" s="13">
        <f t="shared" si="3"/>
        <v>2</v>
      </c>
      <c r="C104" s="13" t="str">
        <f>VLOOKUP(B104,Correspondance!$D$3:$E$14,2,FALSE)</f>
        <v>Février</v>
      </c>
      <c r="D104" s="15" t="str">
        <f>VLOOKUP(G104,Correspondance!$A$3:$B$10,2,FALSE)</f>
        <v>ASF</v>
      </c>
      <c r="E104" s="1" t="s">
        <v>1066</v>
      </c>
      <c r="F104" s="2" t="s">
        <v>169</v>
      </c>
      <c r="G104" s="3" t="s">
        <v>61</v>
      </c>
      <c r="H104" s="4" t="s">
        <v>68</v>
      </c>
      <c r="I104" s="4" t="s">
        <v>69</v>
      </c>
      <c r="J104" s="5" t="s">
        <v>57</v>
      </c>
      <c r="K104" s="6">
        <v>100</v>
      </c>
      <c r="L104" s="4" t="s">
        <v>1229</v>
      </c>
      <c r="M104" s="4" t="s">
        <v>215</v>
      </c>
      <c r="N104" s="4" t="s">
        <v>114</v>
      </c>
      <c r="O104" s="4" t="s">
        <v>47</v>
      </c>
      <c r="P104" s="4" t="s">
        <v>852</v>
      </c>
      <c r="Q104" s="4" t="s">
        <v>49</v>
      </c>
      <c r="R104" s="4">
        <v>1</v>
      </c>
      <c r="S104" s="4">
        <v>1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 t="s">
        <v>140</v>
      </c>
      <c r="Z104" s="4" t="s">
        <v>140</v>
      </c>
      <c r="AA104" s="4">
        <v>1</v>
      </c>
      <c r="AB104" s="4">
        <v>1</v>
      </c>
      <c r="AC104" s="4">
        <v>1</v>
      </c>
      <c r="AD104" s="4">
        <v>1</v>
      </c>
      <c r="AE104" s="4">
        <v>1</v>
      </c>
      <c r="AF104" s="4" t="s">
        <v>140</v>
      </c>
      <c r="AG104" s="4">
        <v>1</v>
      </c>
      <c r="AH104" s="4" t="s">
        <v>140</v>
      </c>
      <c r="AI104" s="4">
        <v>1</v>
      </c>
      <c r="AJ104" s="4">
        <v>1</v>
      </c>
      <c r="AK104" s="4">
        <v>1</v>
      </c>
      <c r="AL104" s="4" t="s">
        <v>140</v>
      </c>
      <c r="AM104" s="4" t="s">
        <v>140</v>
      </c>
      <c r="AN104" s="4" t="s">
        <v>140</v>
      </c>
      <c r="AO104" s="4" t="s">
        <v>1069</v>
      </c>
    </row>
    <row r="105" spans="1:41" ht="25.5" hidden="1" x14ac:dyDescent="0.2">
      <c r="A105" s="13">
        <f t="shared" si="2"/>
        <v>5</v>
      </c>
      <c r="B105" s="13">
        <f t="shared" si="3"/>
        <v>2</v>
      </c>
      <c r="C105" s="13" t="str">
        <f>VLOOKUP(B105,Correspondance!$D$3:$E$14,2,FALSE)</f>
        <v>Février</v>
      </c>
      <c r="D105" s="15" t="str">
        <f>VLOOKUP(G105,Correspondance!$A$3:$B$10,2,FALSE)</f>
        <v>ASF</v>
      </c>
      <c r="E105" s="1" t="s">
        <v>1066</v>
      </c>
      <c r="F105" s="2" t="s">
        <v>169</v>
      </c>
      <c r="G105" s="3" t="s">
        <v>61</v>
      </c>
      <c r="H105" s="4" t="s">
        <v>68</v>
      </c>
      <c r="I105" s="4" t="s">
        <v>69</v>
      </c>
      <c r="J105" s="5" t="s">
        <v>57</v>
      </c>
      <c r="K105" s="6">
        <v>100</v>
      </c>
      <c r="L105" s="4" t="s">
        <v>1230</v>
      </c>
      <c r="M105" s="4" t="s">
        <v>550</v>
      </c>
      <c r="N105" s="4" t="s">
        <v>114</v>
      </c>
      <c r="O105" s="4" t="s">
        <v>47</v>
      </c>
      <c r="P105" s="4" t="s">
        <v>539</v>
      </c>
      <c r="Q105" s="4" t="s">
        <v>49</v>
      </c>
      <c r="R105" s="4">
        <v>1</v>
      </c>
      <c r="S105" s="4">
        <v>1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 t="s">
        <v>140</v>
      </c>
      <c r="Z105" s="4">
        <v>1</v>
      </c>
      <c r="AA105" s="4">
        <v>1</v>
      </c>
      <c r="AB105" s="4">
        <v>1</v>
      </c>
      <c r="AC105" s="4">
        <v>1</v>
      </c>
      <c r="AD105" s="4">
        <v>1</v>
      </c>
      <c r="AE105" s="4">
        <v>1</v>
      </c>
      <c r="AF105" s="4" t="s">
        <v>140</v>
      </c>
      <c r="AG105" s="4">
        <v>1</v>
      </c>
      <c r="AH105" s="4" t="s">
        <v>140</v>
      </c>
      <c r="AI105" s="4">
        <v>1</v>
      </c>
      <c r="AJ105" s="4">
        <v>1</v>
      </c>
      <c r="AK105" s="4">
        <v>1</v>
      </c>
      <c r="AL105" s="4" t="s">
        <v>140</v>
      </c>
      <c r="AM105" s="4" t="s">
        <v>140</v>
      </c>
      <c r="AN105" s="4" t="s">
        <v>140</v>
      </c>
      <c r="AO105" s="4" t="s">
        <v>1069</v>
      </c>
    </row>
    <row r="106" spans="1:41" ht="25.5" hidden="1" x14ac:dyDescent="0.2">
      <c r="A106" s="13">
        <f t="shared" si="2"/>
        <v>6</v>
      </c>
      <c r="B106" s="13">
        <f t="shared" si="3"/>
        <v>2</v>
      </c>
      <c r="C106" s="13" t="str">
        <f>VLOOKUP(B106,Correspondance!$D$3:$E$14,2,FALSE)</f>
        <v>Février</v>
      </c>
      <c r="D106" s="15" t="str">
        <f>VLOOKUP(G106,Correspondance!$A$3:$B$10,2,FALSE)</f>
        <v>ASF</v>
      </c>
      <c r="E106" s="1" t="s">
        <v>1081</v>
      </c>
      <c r="F106" s="2" t="s">
        <v>169</v>
      </c>
      <c r="G106" s="3" t="s">
        <v>41</v>
      </c>
      <c r="H106" s="4" t="s">
        <v>532</v>
      </c>
      <c r="I106" s="4" t="s">
        <v>533</v>
      </c>
      <c r="J106" s="5" t="s">
        <v>41</v>
      </c>
      <c r="K106" s="6">
        <v>100</v>
      </c>
      <c r="L106" s="4" t="s">
        <v>1231</v>
      </c>
      <c r="M106" s="4" t="s">
        <v>513</v>
      </c>
      <c r="N106" s="4" t="s">
        <v>66</v>
      </c>
      <c r="O106" s="4" t="s">
        <v>47</v>
      </c>
      <c r="P106" s="4" t="s">
        <v>1232</v>
      </c>
      <c r="Q106" s="4" t="s">
        <v>49</v>
      </c>
      <c r="R106" s="4">
        <v>1</v>
      </c>
      <c r="S106" s="4">
        <v>1</v>
      </c>
      <c r="T106" s="4">
        <v>1</v>
      </c>
      <c r="U106" s="4">
        <v>1</v>
      </c>
      <c r="V106" s="4">
        <v>1</v>
      </c>
      <c r="W106" s="4">
        <v>1</v>
      </c>
      <c r="X106" s="4">
        <v>1</v>
      </c>
      <c r="Y106" s="4" t="s">
        <v>140</v>
      </c>
      <c r="Z106" s="4">
        <v>1</v>
      </c>
      <c r="AA106" s="4">
        <v>1</v>
      </c>
      <c r="AB106" s="4">
        <v>1</v>
      </c>
      <c r="AC106" s="4">
        <v>1</v>
      </c>
      <c r="AD106" s="4">
        <v>1</v>
      </c>
      <c r="AE106" s="4">
        <v>1</v>
      </c>
      <c r="AF106" s="4" t="s">
        <v>140</v>
      </c>
      <c r="AG106" s="4">
        <v>1</v>
      </c>
      <c r="AH106" s="4" t="s">
        <v>140</v>
      </c>
      <c r="AI106" s="4">
        <v>1</v>
      </c>
      <c r="AJ106" s="4">
        <v>1</v>
      </c>
      <c r="AK106" s="4">
        <v>1</v>
      </c>
      <c r="AL106" s="4" t="s">
        <v>140</v>
      </c>
      <c r="AM106" s="4" t="s">
        <v>140</v>
      </c>
      <c r="AN106" s="4" t="s">
        <v>140</v>
      </c>
      <c r="AO106" s="4" t="s">
        <v>1069</v>
      </c>
    </row>
    <row r="107" spans="1:41" ht="25.5" hidden="1" x14ac:dyDescent="0.2">
      <c r="A107" s="13">
        <f t="shared" si="2"/>
        <v>6</v>
      </c>
      <c r="B107" s="13">
        <f t="shared" si="3"/>
        <v>2</v>
      </c>
      <c r="C107" s="13" t="str">
        <f>VLOOKUP(B107,Correspondance!$D$3:$E$14,2,FALSE)</f>
        <v>Février</v>
      </c>
      <c r="D107" s="15" t="str">
        <f>VLOOKUP(G107,Correspondance!$A$3:$B$10,2,FALSE)</f>
        <v>ASF</v>
      </c>
      <c r="E107" s="1" t="s">
        <v>1081</v>
      </c>
      <c r="F107" s="2" t="s">
        <v>169</v>
      </c>
      <c r="G107" s="3" t="s">
        <v>41</v>
      </c>
      <c r="H107" s="4" t="s">
        <v>532</v>
      </c>
      <c r="I107" s="4" t="s">
        <v>533</v>
      </c>
      <c r="J107" s="5" t="s">
        <v>41</v>
      </c>
      <c r="K107" s="6">
        <v>100</v>
      </c>
      <c r="L107" s="4" t="s">
        <v>1233</v>
      </c>
      <c r="M107" s="4" t="s">
        <v>215</v>
      </c>
      <c r="N107" s="4" t="s">
        <v>66</v>
      </c>
      <c r="O107" s="4" t="s">
        <v>47</v>
      </c>
      <c r="P107" s="4" t="s">
        <v>496</v>
      </c>
      <c r="Q107" s="4" t="s">
        <v>49</v>
      </c>
      <c r="R107" s="4">
        <v>1</v>
      </c>
      <c r="S107" s="4">
        <v>1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</v>
      </c>
      <c r="AC107" s="4">
        <v>1</v>
      </c>
      <c r="AD107" s="4">
        <v>1</v>
      </c>
      <c r="AE107" s="4">
        <v>1</v>
      </c>
      <c r="AF107" s="4" t="s">
        <v>140</v>
      </c>
      <c r="AG107" s="4">
        <v>1</v>
      </c>
      <c r="AH107" s="4" t="s">
        <v>140</v>
      </c>
      <c r="AI107" s="4">
        <v>1</v>
      </c>
      <c r="AJ107" s="4">
        <v>1</v>
      </c>
      <c r="AK107" s="4">
        <v>1</v>
      </c>
      <c r="AL107" s="4" t="s">
        <v>140</v>
      </c>
      <c r="AM107" s="4" t="s">
        <v>140</v>
      </c>
      <c r="AN107" s="4" t="s">
        <v>140</v>
      </c>
      <c r="AO107" s="4" t="s">
        <v>1069</v>
      </c>
    </row>
    <row r="108" spans="1:41" hidden="1" x14ac:dyDescent="0.2">
      <c r="A108" s="13">
        <f t="shared" si="2"/>
        <v>6</v>
      </c>
      <c r="B108" s="13">
        <f t="shared" si="3"/>
        <v>2</v>
      </c>
      <c r="C108" s="13" t="str">
        <f>VLOOKUP(B108,Correspondance!$D$3:$E$14,2,FALSE)</f>
        <v>Février</v>
      </c>
      <c r="D108" s="15" t="str">
        <f>VLOOKUP(G108,Correspondance!$A$3:$B$10,2,FALSE)</f>
        <v>ASF</v>
      </c>
      <c r="E108" s="1" t="s">
        <v>1069</v>
      </c>
      <c r="F108" s="2" t="s">
        <v>169</v>
      </c>
      <c r="G108" s="3" t="s">
        <v>41</v>
      </c>
      <c r="H108" s="4" t="s">
        <v>905</v>
      </c>
      <c r="I108" s="4" t="s">
        <v>170</v>
      </c>
      <c r="J108" s="5" t="s">
        <v>235</v>
      </c>
      <c r="K108" s="6">
        <v>100</v>
      </c>
      <c r="L108" s="4" t="s">
        <v>1234</v>
      </c>
      <c r="M108" s="4" t="s">
        <v>245</v>
      </c>
      <c r="N108" s="4" t="s">
        <v>238</v>
      </c>
      <c r="O108" s="4" t="s">
        <v>99</v>
      </c>
      <c r="P108" s="4" t="s">
        <v>1235</v>
      </c>
      <c r="Q108" s="4" t="s">
        <v>49</v>
      </c>
      <c r="R108" s="4">
        <v>1</v>
      </c>
      <c r="S108" s="4">
        <v>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 t="s">
        <v>140</v>
      </c>
      <c r="AA108" s="4">
        <v>1</v>
      </c>
      <c r="AB108" s="4">
        <v>1</v>
      </c>
      <c r="AC108" s="4">
        <v>1</v>
      </c>
      <c r="AD108" s="4">
        <v>1</v>
      </c>
      <c r="AE108" s="4">
        <v>1</v>
      </c>
      <c r="AF108" s="4">
        <v>1</v>
      </c>
      <c r="AG108" s="4">
        <v>1</v>
      </c>
      <c r="AH108" s="4" t="s">
        <v>140</v>
      </c>
      <c r="AI108" s="4">
        <v>1</v>
      </c>
      <c r="AJ108" s="4">
        <v>1</v>
      </c>
      <c r="AK108" s="4">
        <v>1</v>
      </c>
      <c r="AL108" s="4" t="s">
        <v>140</v>
      </c>
      <c r="AM108" s="4" t="s">
        <v>140</v>
      </c>
      <c r="AN108" s="4" t="s">
        <v>140</v>
      </c>
      <c r="AO108" s="4" t="s">
        <v>1236</v>
      </c>
    </row>
    <row r="109" spans="1:41" hidden="1" x14ac:dyDescent="0.2">
      <c r="A109" s="13">
        <f t="shared" si="2"/>
        <v>6</v>
      </c>
      <c r="B109" s="13">
        <f t="shared" si="3"/>
        <v>2</v>
      </c>
      <c r="C109" s="13" t="str">
        <f>VLOOKUP(B109,Correspondance!$D$3:$E$14,2,FALSE)</f>
        <v>Février</v>
      </c>
      <c r="D109" s="15" t="str">
        <f>VLOOKUP(G109,Correspondance!$A$3:$B$10,2,FALSE)</f>
        <v>ASF</v>
      </c>
      <c r="E109" s="1" t="s">
        <v>1069</v>
      </c>
      <c r="F109" s="2" t="s">
        <v>169</v>
      </c>
      <c r="G109" s="3" t="s">
        <v>41</v>
      </c>
      <c r="H109" s="4" t="s">
        <v>300</v>
      </c>
      <c r="I109" s="4" t="s">
        <v>301</v>
      </c>
      <c r="J109" s="5" t="s">
        <v>235</v>
      </c>
      <c r="K109" s="6">
        <v>94</v>
      </c>
      <c r="L109" s="4" t="s">
        <v>1237</v>
      </c>
      <c r="M109" s="4" t="s">
        <v>526</v>
      </c>
      <c r="N109" s="4" t="s">
        <v>238</v>
      </c>
      <c r="O109" s="4" t="s">
        <v>99</v>
      </c>
      <c r="P109" s="4"/>
      <c r="Q109" s="4" t="s">
        <v>49</v>
      </c>
      <c r="R109" s="4">
        <v>0</v>
      </c>
      <c r="S109" s="4">
        <v>1</v>
      </c>
      <c r="T109" s="4">
        <v>1</v>
      </c>
      <c r="U109" s="4">
        <v>1</v>
      </c>
      <c r="V109" s="4">
        <v>1</v>
      </c>
      <c r="W109" s="4">
        <v>1</v>
      </c>
      <c r="X109" s="4">
        <v>1</v>
      </c>
      <c r="Y109" s="4">
        <v>1</v>
      </c>
      <c r="Z109" s="4" t="s">
        <v>140</v>
      </c>
      <c r="AA109" s="4">
        <v>1</v>
      </c>
      <c r="AB109" s="4">
        <v>1</v>
      </c>
      <c r="AC109" s="4">
        <v>1</v>
      </c>
      <c r="AD109" s="4">
        <v>1</v>
      </c>
      <c r="AE109" s="4">
        <v>1</v>
      </c>
      <c r="AF109" s="4">
        <v>1</v>
      </c>
      <c r="AG109" s="4">
        <v>1</v>
      </c>
      <c r="AH109" s="4" t="s">
        <v>140</v>
      </c>
      <c r="AI109" s="4">
        <v>1</v>
      </c>
      <c r="AJ109" s="4">
        <v>1</v>
      </c>
      <c r="AK109" s="4">
        <v>1</v>
      </c>
      <c r="AL109" s="4" t="s">
        <v>140</v>
      </c>
      <c r="AM109" s="4" t="s">
        <v>140</v>
      </c>
      <c r="AN109" s="4" t="s">
        <v>140</v>
      </c>
      <c r="AO109" s="4" t="s">
        <v>1071</v>
      </c>
    </row>
    <row r="110" spans="1:41" hidden="1" x14ac:dyDescent="0.2">
      <c r="A110" s="13">
        <f t="shared" si="2"/>
        <v>6</v>
      </c>
      <c r="B110" s="13">
        <f t="shared" si="3"/>
        <v>2</v>
      </c>
      <c r="C110" s="13" t="str">
        <f>VLOOKUP(B110,Correspondance!$D$3:$E$14,2,FALSE)</f>
        <v>Février</v>
      </c>
      <c r="D110" s="15" t="str">
        <f>VLOOKUP(G110,Correspondance!$A$3:$B$10,2,FALSE)</f>
        <v>ASF</v>
      </c>
      <c r="E110" s="1" t="s">
        <v>1069</v>
      </c>
      <c r="F110" s="2" t="s">
        <v>169</v>
      </c>
      <c r="G110" s="3" t="s">
        <v>41</v>
      </c>
      <c r="H110" s="4" t="s">
        <v>300</v>
      </c>
      <c r="I110" s="4" t="s">
        <v>301</v>
      </c>
      <c r="J110" s="5" t="s">
        <v>235</v>
      </c>
      <c r="K110" s="6">
        <v>97</v>
      </c>
      <c r="L110" s="4" t="s">
        <v>1238</v>
      </c>
      <c r="M110" s="4" t="s">
        <v>215</v>
      </c>
      <c r="N110" s="4" t="s">
        <v>238</v>
      </c>
      <c r="O110" s="4" t="s">
        <v>99</v>
      </c>
      <c r="P110" s="4" t="s">
        <v>200</v>
      </c>
      <c r="Q110" s="4" t="s">
        <v>49</v>
      </c>
      <c r="R110" s="4">
        <v>1</v>
      </c>
      <c r="S110" s="4">
        <v>1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 t="s">
        <v>140</v>
      </c>
      <c r="AA110" s="4">
        <v>1</v>
      </c>
      <c r="AB110" s="4">
        <v>1</v>
      </c>
      <c r="AC110" s="4">
        <v>1</v>
      </c>
      <c r="AD110" s="4">
        <v>1</v>
      </c>
      <c r="AE110" s="4">
        <v>1</v>
      </c>
      <c r="AF110" s="4">
        <v>1</v>
      </c>
      <c r="AG110" s="4">
        <v>1</v>
      </c>
      <c r="AH110" s="4">
        <v>0</v>
      </c>
      <c r="AI110" s="4">
        <v>1</v>
      </c>
      <c r="AJ110" s="4">
        <v>1</v>
      </c>
      <c r="AK110" s="4">
        <v>1</v>
      </c>
      <c r="AL110" s="4" t="s">
        <v>140</v>
      </c>
      <c r="AM110" s="4" t="s">
        <v>140</v>
      </c>
      <c r="AN110" s="4" t="s">
        <v>140</v>
      </c>
      <c r="AO110" s="4" t="s">
        <v>1071</v>
      </c>
    </row>
    <row r="111" spans="1:41" hidden="1" x14ac:dyDescent="0.2">
      <c r="A111" s="13">
        <f t="shared" si="2"/>
        <v>6</v>
      </c>
      <c r="B111" s="13">
        <f t="shared" si="3"/>
        <v>2</v>
      </c>
      <c r="C111" s="13" t="str">
        <f>VLOOKUP(B111,Correspondance!$D$3:$E$14,2,FALSE)</f>
        <v>Février</v>
      </c>
      <c r="D111" s="15" t="str">
        <f>VLOOKUP(G111,Correspondance!$A$3:$B$10,2,FALSE)</f>
        <v>ASF</v>
      </c>
      <c r="E111" s="1" t="s">
        <v>1069</v>
      </c>
      <c r="F111" s="2" t="s">
        <v>169</v>
      </c>
      <c r="G111" s="3" t="s">
        <v>41</v>
      </c>
      <c r="H111" s="4" t="s">
        <v>527</v>
      </c>
      <c r="I111" s="4" t="s">
        <v>528</v>
      </c>
      <c r="J111" s="5" t="s">
        <v>235</v>
      </c>
      <c r="K111" s="6">
        <v>100</v>
      </c>
      <c r="L111" s="4" t="s">
        <v>1239</v>
      </c>
      <c r="M111" s="4" t="s">
        <v>223</v>
      </c>
      <c r="N111" s="4" t="s">
        <v>238</v>
      </c>
      <c r="O111" s="4" t="s">
        <v>99</v>
      </c>
      <c r="P111" s="4" t="s">
        <v>1240</v>
      </c>
      <c r="Q111" s="4" t="s">
        <v>49</v>
      </c>
      <c r="R111" s="4">
        <v>1</v>
      </c>
      <c r="S111" s="4">
        <v>1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 t="s">
        <v>140</v>
      </c>
      <c r="AA111" s="4">
        <v>1</v>
      </c>
      <c r="AB111" s="4">
        <v>1</v>
      </c>
      <c r="AC111" s="4">
        <v>1</v>
      </c>
      <c r="AD111" s="4">
        <v>1</v>
      </c>
      <c r="AE111" s="4">
        <v>1</v>
      </c>
      <c r="AF111" s="4" t="s">
        <v>140</v>
      </c>
      <c r="AG111" s="4">
        <v>1</v>
      </c>
      <c r="AH111" s="4" t="s">
        <v>140</v>
      </c>
      <c r="AI111" s="4">
        <v>1</v>
      </c>
      <c r="AJ111" s="4">
        <v>1</v>
      </c>
      <c r="AK111" s="4">
        <v>1</v>
      </c>
      <c r="AL111" s="4" t="s">
        <v>140</v>
      </c>
      <c r="AM111" s="4" t="s">
        <v>140</v>
      </c>
      <c r="AN111" s="4" t="s">
        <v>140</v>
      </c>
      <c r="AO111" s="4" t="s">
        <v>1095</v>
      </c>
    </row>
    <row r="112" spans="1:41" hidden="1" x14ac:dyDescent="0.2">
      <c r="A112" s="13">
        <f t="shared" si="2"/>
        <v>6</v>
      </c>
      <c r="B112" s="13">
        <f t="shared" si="3"/>
        <v>2</v>
      </c>
      <c r="C112" s="13" t="str">
        <f>VLOOKUP(B112,Correspondance!$D$3:$E$14,2,FALSE)</f>
        <v>Février</v>
      </c>
      <c r="D112" s="15" t="str">
        <f>VLOOKUP(G112,Correspondance!$A$3:$B$10,2,FALSE)</f>
        <v>ASF</v>
      </c>
      <c r="E112" s="1" t="s">
        <v>1069</v>
      </c>
      <c r="F112" s="2" t="s">
        <v>169</v>
      </c>
      <c r="G112" s="3" t="s">
        <v>41</v>
      </c>
      <c r="H112" s="4" t="s">
        <v>527</v>
      </c>
      <c r="I112" s="4" t="s">
        <v>528</v>
      </c>
      <c r="J112" s="5" t="s">
        <v>41</v>
      </c>
      <c r="K112" s="6">
        <v>100</v>
      </c>
      <c r="L112" s="4" t="s">
        <v>1241</v>
      </c>
      <c r="M112" s="4" t="s">
        <v>174</v>
      </c>
      <c r="N112" s="4" t="s">
        <v>238</v>
      </c>
      <c r="O112" s="4" t="s">
        <v>99</v>
      </c>
      <c r="P112" s="4" t="s">
        <v>200</v>
      </c>
      <c r="Q112" s="4" t="s">
        <v>49</v>
      </c>
      <c r="R112" s="4">
        <v>1</v>
      </c>
      <c r="S112" s="4">
        <v>1</v>
      </c>
      <c r="T112" s="4">
        <v>1</v>
      </c>
      <c r="U112" s="4">
        <v>1</v>
      </c>
      <c r="V112" s="4">
        <v>1</v>
      </c>
      <c r="W112" s="4">
        <v>1</v>
      </c>
      <c r="X112" s="4">
        <v>1</v>
      </c>
      <c r="Y112" s="4">
        <v>1</v>
      </c>
      <c r="Z112" s="4" t="s">
        <v>140</v>
      </c>
      <c r="AA112" s="4">
        <v>1</v>
      </c>
      <c r="AB112" s="4">
        <v>1</v>
      </c>
      <c r="AC112" s="4">
        <v>1</v>
      </c>
      <c r="AD112" s="4" t="s">
        <v>140</v>
      </c>
      <c r="AE112" s="4">
        <v>1</v>
      </c>
      <c r="AF112" s="4" t="s">
        <v>140</v>
      </c>
      <c r="AG112" s="4">
        <v>1</v>
      </c>
      <c r="AH112" s="4" t="s">
        <v>140</v>
      </c>
      <c r="AI112" s="4">
        <v>1</v>
      </c>
      <c r="AJ112" s="4">
        <v>1</v>
      </c>
      <c r="AK112" s="4">
        <v>1</v>
      </c>
      <c r="AL112" s="4" t="s">
        <v>140</v>
      </c>
      <c r="AM112" s="4" t="s">
        <v>140</v>
      </c>
      <c r="AN112" s="4" t="s">
        <v>140</v>
      </c>
      <c r="AO112" s="4" t="s">
        <v>1095</v>
      </c>
    </row>
    <row r="113" spans="1:41" hidden="1" x14ac:dyDescent="0.2">
      <c r="A113" s="13">
        <f t="shared" si="2"/>
        <v>6</v>
      </c>
      <c r="B113" s="13">
        <f t="shared" si="3"/>
        <v>2</v>
      </c>
      <c r="C113" s="13" t="str">
        <f>VLOOKUP(B113,Correspondance!$D$3:$E$14,2,FALSE)</f>
        <v>Février</v>
      </c>
      <c r="D113" s="15" t="str">
        <f>VLOOKUP(G113,Correspondance!$A$3:$B$10,2,FALSE)</f>
        <v>ASF</v>
      </c>
      <c r="E113" s="1" t="s">
        <v>1069</v>
      </c>
      <c r="F113" s="2" t="s">
        <v>169</v>
      </c>
      <c r="G113" s="3" t="s">
        <v>41</v>
      </c>
      <c r="H113" s="4" t="s">
        <v>529</v>
      </c>
      <c r="I113" s="4" t="s">
        <v>530</v>
      </c>
      <c r="J113" s="5" t="s">
        <v>57</v>
      </c>
      <c r="K113" s="6">
        <v>100</v>
      </c>
      <c r="L113" s="4" t="s">
        <v>1242</v>
      </c>
      <c r="M113" s="4" t="s">
        <v>174</v>
      </c>
      <c r="N113" s="4" t="s">
        <v>114</v>
      </c>
      <c r="O113" s="4" t="s">
        <v>99</v>
      </c>
      <c r="P113" s="4" t="s">
        <v>658</v>
      </c>
      <c r="Q113" s="4" t="s">
        <v>49</v>
      </c>
      <c r="R113" s="4">
        <v>1</v>
      </c>
      <c r="S113" s="4">
        <v>1</v>
      </c>
      <c r="T113" s="4">
        <v>1</v>
      </c>
      <c r="U113" s="4">
        <v>1</v>
      </c>
      <c r="V113" s="4">
        <v>1</v>
      </c>
      <c r="W113" s="4">
        <v>1</v>
      </c>
      <c r="X113" s="4">
        <v>1</v>
      </c>
      <c r="Y113" s="4" t="s">
        <v>140</v>
      </c>
      <c r="Z113" s="4" t="s">
        <v>140</v>
      </c>
      <c r="AA113" s="4">
        <v>1</v>
      </c>
      <c r="AB113" s="4">
        <v>1</v>
      </c>
      <c r="AC113" s="4">
        <v>1</v>
      </c>
      <c r="AD113" s="4">
        <v>1</v>
      </c>
      <c r="AE113" s="4">
        <v>1</v>
      </c>
      <c r="AF113" s="4" t="s">
        <v>140</v>
      </c>
      <c r="AG113" s="4">
        <v>1</v>
      </c>
      <c r="AH113" s="4" t="s">
        <v>140</v>
      </c>
      <c r="AI113" s="4">
        <v>1</v>
      </c>
      <c r="AJ113" s="4">
        <v>1</v>
      </c>
      <c r="AK113" s="4" t="s">
        <v>140</v>
      </c>
      <c r="AL113" s="4" t="s">
        <v>140</v>
      </c>
      <c r="AM113" s="4" t="s">
        <v>140</v>
      </c>
      <c r="AN113" s="4" t="s">
        <v>140</v>
      </c>
      <c r="AO113" s="4" t="s">
        <v>1069</v>
      </c>
    </row>
    <row r="114" spans="1:41" hidden="1" x14ac:dyDescent="0.2">
      <c r="A114" s="13">
        <f t="shared" si="2"/>
        <v>6</v>
      </c>
      <c r="B114" s="13">
        <f t="shared" si="3"/>
        <v>2</v>
      </c>
      <c r="C114" s="13" t="str">
        <f>VLOOKUP(B114,Correspondance!$D$3:$E$14,2,FALSE)</f>
        <v>Février</v>
      </c>
      <c r="D114" s="15" t="str">
        <f>VLOOKUP(G114,Correspondance!$A$3:$B$10,2,FALSE)</f>
        <v>ASF</v>
      </c>
      <c r="E114" s="1" t="s">
        <v>1069</v>
      </c>
      <c r="F114" s="2" t="s">
        <v>169</v>
      </c>
      <c r="G114" s="3" t="s">
        <v>41</v>
      </c>
      <c r="H114" s="4" t="s">
        <v>179</v>
      </c>
      <c r="I114" s="4" t="s">
        <v>180</v>
      </c>
      <c r="J114" s="5" t="s">
        <v>235</v>
      </c>
      <c r="K114" s="6">
        <v>98</v>
      </c>
      <c r="L114" s="4" t="s">
        <v>1243</v>
      </c>
      <c r="M114" s="4" t="s">
        <v>237</v>
      </c>
      <c r="N114" s="4" t="s">
        <v>238</v>
      </c>
      <c r="O114" s="4" t="s">
        <v>99</v>
      </c>
      <c r="P114" s="4" t="s">
        <v>1244</v>
      </c>
      <c r="Q114" s="4" t="s">
        <v>49</v>
      </c>
      <c r="R114" s="4">
        <v>1</v>
      </c>
      <c r="S114" s="4">
        <v>1</v>
      </c>
      <c r="T114" s="4" t="s">
        <v>140</v>
      </c>
      <c r="U114" s="4">
        <v>1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</v>
      </c>
      <c r="AC114" s="4">
        <v>1</v>
      </c>
      <c r="AD114" s="4">
        <v>1</v>
      </c>
      <c r="AE114" s="4">
        <v>1</v>
      </c>
      <c r="AF114" s="4" t="s">
        <v>140</v>
      </c>
      <c r="AG114" s="4">
        <v>1</v>
      </c>
      <c r="AH114" s="4">
        <v>0</v>
      </c>
      <c r="AI114" s="4">
        <v>1</v>
      </c>
      <c r="AJ114" s="4">
        <v>1</v>
      </c>
      <c r="AK114" s="4">
        <v>1</v>
      </c>
      <c r="AL114" s="4" t="s">
        <v>140</v>
      </c>
      <c r="AM114" s="4" t="s">
        <v>140</v>
      </c>
      <c r="AN114" s="4" t="s">
        <v>140</v>
      </c>
      <c r="AO114" s="4" t="s">
        <v>1071</v>
      </c>
    </row>
    <row r="115" spans="1:41" hidden="1" x14ac:dyDescent="0.2">
      <c r="A115" s="13">
        <f t="shared" si="2"/>
        <v>6</v>
      </c>
      <c r="B115" s="13">
        <f t="shared" si="3"/>
        <v>2</v>
      </c>
      <c r="C115" s="13" t="str">
        <f>VLOOKUP(B115,Correspondance!$D$3:$E$14,2,FALSE)</f>
        <v>Février</v>
      </c>
      <c r="D115" s="15" t="str">
        <f>VLOOKUP(G115,Correspondance!$A$3:$B$10,2,FALSE)</f>
        <v>ASF</v>
      </c>
      <c r="E115" s="1" t="s">
        <v>1069</v>
      </c>
      <c r="F115" s="2" t="s">
        <v>169</v>
      </c>
      <c r="G115" s="3" t="s">
        <v>41</v>
      </c>
      <c r="H115" s="4" t="s">
        <v>179</v>
      </c>
      <c r="I115" s="4" t="s">
        <v>180</v>
      </c>
      <c r="J115" s="5" t="s">
        <v>235</v>
      </c>
      <c r="K115" s="6">
        <v>100</v>
      </c>
      <c r="L115" s="4" t="s">
        <v>1245</v>
      </c>
      <c r="M115" s="4" t="s">
        <v>174</v>
      </c>
      <c r="N115" s="4" t="s">
        <v>238</v>
      </c>
      <c r="O115" s="4" t="s">
        <v>99</v>
      </c>
      <c r="P115" s="4" t="s">
        <v>1246</v>
      </c>
      <c r="Q115" s="4" t="s">
        <v>49</v>
      </c>
      <c r="R115" s="4">
        <v>1</v>
      </c>
      <c r="S115" s="4">
        <v>1</v>
      </c>
      <c r="T115" s="4">
        <v>1</v>
      </c>
      <c r="U115" s="4">
        <v>1</v>
      </c>
      <c r="V115" s="4">
        <v>1</v>
      </c>
      <c r="W115" s="4">
        <v>1</v>
      </c>
      <c r="X115" s="4">
        <v>1</v>
      </c>
      <c r="Y115" s="4">
        <v>1</v>
      </c>
      <c r="Z115" s="4" t="s">
        <v>140</v>
      </c>
      <c r="AA115" s="4">
        <v>1</v>
      </c>
      <c r="AB115" s="4">
        <v>1</v>
      </c>
      <c r="AC115" s="4">
        <v>1</v>
      </c>
      <c r="AD115" s="4">
        <v>1</v>
      </c>
      <c r="AE115" s="4">
        <v>1</v>
      </c>
      <c r="AF115" s="4">
        <v>1</v>
      </c>
      <c r="AG115" s="4">
        <v>1</v>
      </c>
      <c r="AH115" s="4" t="s">
        <v>140</v>
      </c>
      <c r="AI115" s="4">
        <v>1</v>
      </c>
      <c r="AJ115" s="4">
        <v>1</v>
      </c>
      <c r="AK115" s="4">
        <v>1</v>
      </c>
      <c r="AL115" s="4" t="s">
        <v>140</v>
      </c>
      <c r="AM115" s="4" t="s">
        <v>140</v>
      </c>
      <c r="AN115" s="4" t="s">
        <v>140</v>
      </c>
      <c r="AO115" s="4" t="s">
        <v>1071</v>
      </c>
    </row>
    <row r="116" spans="1:41" hidden="1" x14ac:dyDescent="0.2">
      <c r="A116" s="13">
        <f t="shared" si="2"/>
        <v>6</v>
      </c>
      <c r="B116" s="13">
        <f t="shared" si="3"/>
        <v>2</v>
      </c>
      <c r="C116" s="13" t="str">
        <f>VLOOKUP(B116,Correspondance!$D$3:$E$14,2,FALSE)</f>
        <v>Février</v>
      </c>
      <c r="D116" s="15" t="str">
        <f>VLOOKUP(G116,Correspondance!$A$3:$B$10,2,FALSE)</f>
        <v>ASF</v>
      </c>
      <c r="E116" s="1" t="s">
        <v>1069</v>
      </c>
      <c r="F116" s="2" t="s">
        <v>169</v>
      </c>
      <c r="G116" s="3" t="s">
        <v>52</v>
      </c>
      <c r="H116" s="4" t="s">
        <v>233</v>
      </c>
      <c r="I116" s="4" t="s">
        <v>234</v>
      </c>
      <c r="J116" s="5" t="s">
        <v>235</v>
      </c>
      <c r="K116" s="6">
        <v>97</v>
      </c>
      <c r="L116" s="4" t="s">
        <v>1247</v>
      </c>
      <c r="M116" s="4" t="s">
        <v>365</v>
      </c>
      <c r="N116" s="4" t="s">
        <v>238</v>
      </c>
      <c r="O116" s="4" t="s">
        <v>99</v>
      </c>
      <c r="P116" s="4" t="s">
        <v>1248</v>
      </c>
      <c r="Q116" s="4" t="s">
        <v>49</v>
      </c>
      <c r="R116" s="4">
        <v>1</v>
      </c>
      <c r="S116" s="4">
        <v>1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 t="s">
        <v>140</v>
      </c>
      <c r="AA116" s="4">
        <v>1</v>
      </c>
      <c r="AB116" s="4">
        <v>1</v>
      </c>
      <c r="AC116" s="4">
        <v>1</v>
      </c>
      <c r="AD116" s="4">
        <v>1</v>
      </c>
      <c r="AE116" s="4">
        <v>1</v>
      </c>
      <c r="AF116" s="4">
        <v>1</v>
      </c>
      <c r="AG116" s="4">
        <v>1</v>
      </c>
      <c r="AH116" s="4">
        <v>0</v>
      </c>
      <c r="AI116" s="4">
        <v>1</v>
      </c>
      <c r="AJ116" s="4">
        <v>1</v>
      </c>
      <c r="AK116" s="4">
        <v>1</v>
      </c>
      <c r="AL116" s="4" t="s">
        <v>140</v>
      </c>
      <c r="AM116" s="4" t="s">
        <v>140</v>
      </c>
      <c r="AN116" s="4" t="s">
        <v>140</v>
      </c>
      <c r="AO116" s="4" t="s">
        <v>1071</v>
      </c>
    </row>
    <row r="117" spans="1:41" hidden="1" x14ac:dyDescent="0.2">
      <c r="A117" s="13">
        <f t="shared" ref="A117:A180" si="4">WEEKNUM(E117)</f>
        <v>6</v>
      </c>
      <c r="B117" s="13">
        <f t="shared" ref="B117:B180" si="5">MONTH(E117)</f>
        <v>2</v>
      </c>
      <c r="C117" s="13" t="str">
        <f>VLOOKUP(B117,Correspondance!$D$3:$E$14,2,FALSE)</f>
        <v>Février</v>
      </c>
      <c r="D117" s="15" t="str">
        <f>VLOOKUP(G117,Correspondance!$A$3:$B$10,2,FALSE)</f>
        <v>ASF</v>
      </c>
      <c r="E117" s="1" t="s">
        <v>1069</v>
      </c>
      <c r="F117" s="2" t="s">
        <v>169</v>
      </c>
      <c r="G117" s="3" t="s">
        <v>52</v>
      </c>
      <c r="H117" s="4" t="s">
        <v>233</v>
      </c>
      <c r="I117" s="4" t="s">
        <v>234</v>
      </c>
      <c r="J117" s="5" t="s">
        <v>235</v>
      </c>
      <c r="K117" s="6">
        <v>100</v>
      </c>
      <c r="L117" s="4" t="s">
        <v>1249</v>
      </c>
      <c r="M117" s="4" t="s">
        <v>223</v>
      </c>
      <c r="N117" s="4" t="s">
        <v>238</v>
      </c>
      <c r="O117" s="4" t="s">
        <v>99</v>
      </c>
      <c r="P117" s="4" t="s">
        <v>1250</v>
      </c>
      <c r="Q117" s="4" t="s">
        <v>49</v>
      </c>
      <c r="R117" s="4">
        <v>1</v>
      </c>
      <c r="S117" s="4">
        <v>1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 t="s">
        <v>140</v>
      </c>
      <c r="AA117" s="4">
        <v>1</v>
      </c>
      <c r="AB117" s="4">
        <v>1</v>
      </c>
      <c r="AC117" s="4">
        <v>1</v>
      </c>
      <c r="AD117" s="4">
        <v>1</v>
      </c>
      <c r="AE117" s="4">
        <v>1</v>
      </c>
      <c r="AF117" s="4">
        <v>1</v>
      </c>
      <c r="AG117" s="4">
        <v>1</v>
      </c>
      <c r="AH117" s="4" t="s">
        <v>140</v>
      </c>
      <c r="AI117" s="4">
        <v>1</v>
      </c>
      <c r="AJ117" s="4">
        <v>1</v>
      </c>
      <c r="AK117" s="4">
        <v>1</v>
      </c>
      <c r="AL117" s="4" t="s">
        <v>140</v>
      </c>
      <c r="AM117" s="4" t="s">
        <v>140</v>
      </c>
      <c r="AN117" s="4" t="s">
        <v>140</v>
      </c>
      <c r="AO117" s="4" t="s">
        <v>1071</v>
      </c>
    </row>
    <row r="118" spans="1:41" hidden="1" x14ac:dyDescent="0.2">
      <c r="A118" s="13">
        <f t="shared" si="4"/>
        <v>6</v>
      </c>
      <c r="B118" s="13">
        <f t="shared" si="5"/>
        <v>2</v>
      </c>
      <c r="C118" s="13" t="str">
        <f>VLOOKUP(B118,Correspondance!$D$3:$E$14,2,FALSE)</f>
        <v>Février</v>
      </c>
      <c r="D118" s="15" t="str">
        <f>VLOOKUP(G118,Correspondance!$A$3:$B$10,2,FALSE)</f>
        <v>ASF</v>
      </c>
      <c r="E118" s="1" t="s">
        <v>1069</v>
      </c>
      <c r="F118" s="2" t="s">
        <v>169</v>
      </c>
      <c r="G118" s="3" t="s">
        <v>61</v>
      </c>
      <c r="H118" s="4" t="s">
        <v>197</v>
      </c>
      <c r="I118" s="4" t="s">
        <v>198</v>
      </c>
      <c r="J118" s="5" t="s">
        <v>235</v>
      </c>
      <c r="K118" s="6">
        <v>98</v>
      </c>
      <c r="L118" s="4" t="s">
        <v>1251</v>
      </c>
      <c r="M118" s="4" t="s">
        <v>237</v>
      </c>
      <c r="N118" s="4" t="s">
        <v>238</v>
      </c>
      <c r="O118" s="4" t="s">
        <v>99</v>
      </c>
      <c r="P118" s="4" t="s">
        <v>1252</v>
      </c>
      <c r="Q118" s="4" t="s">
        <v>49</v>
      </c>
      <c r="R118" s="4">
        <v>1</v>
      </c>
      <c r="S118" s="4">
        <v>1</v>
      </c>
      <c r="T118" s="4">
        <v>1</v>
      </c>
      <c r="U118" s="4">
        <v>1</v>
      </c>
      <c r="V118" s="4">
        <v>1</v>
      </c>
      <c r="W118" s="4">
        <v>1</v>
      </c>
      <c r="X118" s="4">
        <v>1</v>
      </c>
      <c r="Y118" s="4">
        <v>1</v>
      </c>
      <c r="Z118" s="4">
        <v>0</v>
      </c>
      <c r="AA118" s="4">
        <v>1</v>
      </c>
      <c r="AB118" s="4">
        <v>1</v>
      </c>
      <c r="AC118" s="4">
        <v>1</v>
      </c>
      <c r="AD118" s="4">
        <v>1</v>
      </c>
      <c r="AE118" s="4">
        <v>1</v>
      </c>
      <c r="AF118" s="4">
        <v>1</v>
      </c>
      <c r="AG118" s="4">
        <v>1</v>
      </c>
      <c r="AH118" s="4">
        <v>1</v>
      </c>
      <c r="AI118" s="4">
        <v>1</v>
      </c>
      <c r="AJ118" s="4">
        <v>1</v>
      </c>
      <c r="AK118" s="4">
        <v>1</v>
      </c>
      <c r="AL118" s="4" t="s">
        <v>140</v>
      </c>
      <c r="AM118" s="4" t="s">
        <v>140</v>
      </c>
      <c r="AN118" s="4" t="s">
        <v>140</v>
      </c>
      <c r="AO118" s="4" t="s">
        <v>1069</v>
      </c>
    </row>
    <row r="119" spans="1:41" hidden="1" x14ac:dyDescent="0.2">
      <c r="A119" s="13">
        <f t="shared" si="4"/>
        <v>6</v>
      </c>
      <c r="B119" s="13">
        <f t="shared" si="5"/>
        <v>2</v>
      </c>
      <c r="C119" s="13" t="str">
        <f>VLOOKUP(B119,Correspondance!$D$3:$E$14,2,FALSE)</f>
        <v>Février</v>
      </c>
      <c r="D119" s="15" t="str">
        <f>VLOOKUP(G119,Correspondance!$A$3:$B$10,2,FALSE)</f>
        <v>ASF</v>
      </c>
      <c r="E119" s="1" t="s">
        <v>1069</v>
      </c>
      <c r="F119" s="2" t="s">
        <v>169</v>
      </c>
      <c r="G119" s="3" t="s">
        <v>61</v>
      </c>
      <c r="H119" s="4" t="s">
        <v>197</v>
      </c>
      <c r="I119" s="4" t="s">
        <v>198</v>
      </c>
      <c r="J119" s="5" t="s">
        <v>61</v>
      </c>
      <c r="K119" s="6">
        <v>100</v>
      </c>
      <c r="L119" s="4" t="s">
        <v>1253</v>
      </c>
      <c r="M119" s="4"/>
      <c r="N119" s="4" t="s">
        <v>66</v>
      </c>
      <c r="O119" s="4" t="s">
        <v>99</v>
      </c>
      <c r="P119" s="4" t="s">
        <v>303</v>
      </c>
      <c r="Q119" s="4" t="s">
        <v>49</v>
      </c>
      <c r="R119" s="4">
        <v>1</v>
      </c>
      <c r="S119" s="4">
        <v>1</v>
      </c>
      <c r="T119" s="4">
        <v>1</v>
      </c>
      <c r="U119" s="4">
        <v>1</v>
      </c>
      <c r="V119" s="4">
        <v>1</v>
      </c>
      <c r="W119" s="4">
        <v>1</v>
      </c>
      <c r="X119" s="4">
        <v>1</v>
      </c>
      <c r="Y119" s="4" t="s">
        <v>140</v>
      </c>
      <c r="Z119" s="4" t="s">
        <v>140</v>
      </c>
      <c r="AA119" s="4">
        <v>1</v>
      </c>
      <c r="AB119" s="4">
        <v>1</v>
      </c>
      <c r="AC119" s="4">
        <v>1</v>
      </c>
      <c r="AD119" s="4">
        <v>1</v>
      </c>
      <c r="AE119" s="4">
        <v>1</v>
      </c>
      <c r="AF119" s="4" t="s">
        <v>140</v>
      </c>
      <c r="AG119" s="4">
        <v>1</v>
      </c>
      <c r="AH119" s="4" t="s">
        <v>140</v>
      </c>
      <c r="AI119" s="4">
        <v>1</v>
      </c>
      <c r="AJ119" s="4">
        <v>1</v>
      </c>
      <c r="AK119" s="4">
        <v>1</v>
      </c>
      <c r="AL119" s="4" t="s">
        <v>140</v>
      </c>
      <c r="AM119" s="4" t="s">
        <v>140</v>
      </c>
      <c r="AN119" s="4" t="s">
        <v>140</v>
      </c>
      <c r="AO119" s="4" t="s">
        <v>1069</v>
      </c>
    </row>
    <row r="120" spans="1:41" hidden="1" x14ac:dyDescent="0.2">
      <c r="A120" s="13">
        <f t="shared" si="4"/>
        <v>6</v>
      </c>
      <c r="B120" s="13">
        <f t="shared" si="5"/>
        <v>2</v>
      </c>
      <c r="C120" s="13" t="str">
        <f>VLOOKUP(B120,Correspondance!$D$3:$E$14,2,FALSE)</f>
        <v>Février</v>
      </c>
      <c r="D120" s="15" t="str">
        <f>VLOOKUP(G120,Correspondance!$A$3:$B$10,2,FALSE)</f>
        <v>ASF</v>
      </c>
      <c r="E120" s="1" t="s">
        <v>1069</v>
      </c>
      <c r="F120" s="2" t="s">
        <v>169</v>
      </c>
      <c r="G120" s="3" t="s">
        <v>61</v>
      </c>
      <c r="H120" s="4" t="s">
        <v>247</v>
      </c>
      <c r="I120" s="4" t="s">
        <v>248</v>
      </c>
      <c r="J120" s="5" t="s">
        <v>235</v>
      </c>
      <c r="K120" s="6">
        <v>93.4</v>
      </c>
      <c r="L120" s="4" t="s">
        <v>1254</v>
      </c>
      <c r="M120" s="4" t="s">
        <v>174</v>
      </c>
      <c r="N120" s="4" t="s">
        <v>238</v>
      </c>
      <c r="O120" s="4" t="s">
        <v>99</v>
      </c>
      <c r="P120" s="4" t="s">
        <v>241</v>
      </c>
      <c r="Q120" s="4" t="s">
        <v>49</v>
      </c>
      <c r="R120" s="4">
        <v>1</v>
      </c>
      <c r="S120" s="4">
        <v>0</v>
      </c>
      <c r="T120" s="4">
        <v>1</v>
      </c>
      <c r="U120" s="4">
        <v>1</v>
      </c>
      <c r="V120" s="4">
        <v>1</v>
      </c>
      <c r="W120" s="4">
        <v>1</v>
      </c>
      <c r="X120" s="4">
        <v>1</v>
      </c>
      <c r="Y120" s="4">
        <v>1</v>
      </c>
      <c r="Z120" s="4">
        <v>1</v>
      </c>
      <c r="AA120" s="4">
        <v>1</v>
      </c>
      <c r="AB120" s="4">
        <v>1</v>
      </c>
      <c r="AC120" s="4">
        <v>1</v>
      </c>
      <c r="AD120" s="4">
        <v>1</v>
      </c>
      <c r="AE120" s="4">
        <v>1</v>
      </c>
      <c r="AF120" s="4">
        <v>1</v>
      </c>
      <c r="AG120" s="4">
        <v>1</v>
      </c>
      <c r="AH120" s="4">
        <v>1</v>
      </c>
      <c r="AI120" s="4">
        <v>1</v>
      </c>
      <c r="AJ120" s="4">
        <v>1</v>
      </c>
      <c r="AK120" s="4">
        <v>1</v>
      </c>
      <c r="AL120" s="4" t="s">
        <v>140</v>
      </c>
      <c r="AM120" s="4" t="s">
        <v>140</v>
      </c>
      <c r="AN120" s="4" t="s">
        <v>140</v>
      </c>
      <c r="AO120" s="4" t="s">
        <v>1175</v>
      </c>
    </row>
    <row r="121" spans="1:41" hidden="1" x14ac:dyDescent="0.2">
      <c r="A121" s="13">
        <f t="shared" si="4"/>
        <v>6</v>
      </c>
      <c r="B121" s="13">
        <f t="shared" si="5"/>
        <v>2</v>
      </c>
      <c r="C121" s="13" t="str">
        <f>VLOOKUP(B121,Correspondance!$D$3:$E$14,2,FALSE)</f>
        <v>Février</v>
      </c>
      <c r="D121" s="15" t="str">
        <f>VLOOKUP(G121,Correspondance!$A$3:$B$10,2,FALSE)</f>
        <v>ASF</v>
      </c>
      <c r="E121" s="1" t="s">
        <v>1069</v>
      </c>
      <c r="F121" s="2" t="s">
        <v>169</v>
      </c>
      <c r="G121" s="3" t="s">
        <v>61</v>
      </c>
      <c r="H121" s="4" t="s">
        <v>247</v>
      </c>
      <c r="I121" s="4" t="s">
        <v>248</v>
      </c>
      <c r="J121" s="5" t="s">
        <v>235</v>
      </c>
      <c r="K121" s="6">
        <v>100</v>
      </c>
      <c r="L121" s="4" t="s">
        <v>1255</v>
      </c>
      <c r="M121" s="4" t="s">
        <v>174</v>
      </c>
      <c r="N121" s="4" t="s">
        <v>238</v>
      </c>
      <c r="O121" s="4" t="s">
        <v>99</v>
      </c>
      <c r="P121" s="4" t="s">
        <v>1244</v>
      </c>
      <c r="Q121" s="4" t="s">
        <v>49</v>
      </c>
      <c r="R121" s="4">
        <v>1</v>
      </c>
      <c r="S121" s="4">
        <v>1</v>
      </c>
      <c r="T121" s="4">
        <v>1</v>
      </c>
      <c r="U121" s="4">
        <v>1</v>
      </c>
      <c r="V121" s="4">
        <v>1</v>
      </c>
      <c r="W121" s="4">
        <v>1</v>
      </c>
      <c r="X121" s="4">
        <v>1</v>
      </c>
      <c r="Y121" s="4">
        <v>1</v>
      </c>
      <c r="Z121" s="4">
        <v>1</v>
      </c>
      <c r="AA121" s="4">
        <v>1</v>
      </c>
      <c r="AB121" s="4">
        <v>1</v>
      </c>
      <c r="AC121" s="4">
        <v>1</v>
      </c>
      <c r="AD121" s="4">
        <v>1</v>
      </c>
      <c r="AE121" s="4">
        <v>1</v>
      </c>
      <c r="AF121" s="4">
        <v>1</v>
      </c>
      <c r="AG121" s="4">
        <v>1</v>
      </c>
      <c r="AH121" s="4">
        <v>1</v>
      </c>
      <c r="AI121" s="4">
        <v>1</v>
      </c>
      <c r="AJ121" s="4">
        <v>1</v>
      </c>
      <c r="AK121" s="4">
        <v>1</v>
      </c>
      <c r="AL121" s="4" t="s">
        <v>140</v>
      </c>
      <c r="AM121" s="4" t="s">
        <v>140</v>
      </c>
      <c r="AN121" s="4" t="s">
        <v>140</v>
      </c>
      <c r="AO121" s="4" t="s">
        <v>1175</v>
      </c>
    </row>
    <row r="122" spans="1:41" hidden="1" x14ac:dyDescent="0.2">
      <c r="A122" s="13">
        <f t="shared" si="4"/>
        <v>6</v>
      </c>
      <c r="B122" s="13">
        <f t="shared" si="5"/>
        <v>2</v>
      </c>
      <c r="C122" s="13" t="str">
        <f>VLOOKUP(B122,Correspondance!$D$3:$E$14,2,FALSE)</f>
        <v>Février</v>
      </c>
      <c r="D122" s="15" t="str">
        <f>VLOOKUP(G122,Correspondance!$A$3:$B$10,2,FALSE)</f>
        <v>ASF</v>
      </c>
      <c r="E122" s="1" t="s">
        <v>1069</v>
      </c>
      <c r="F122" s="2" t="s">
        <v>169</v>
      </c>
      <c r="G122" s="3" t="s">
        <v>61</v>
      </c>
      <c r="H122" s="4" t="s">
        <v>1204</v>
      </c>
      <c r="I122" s="4" t="s">
        <v>208</v>
      </c>
      <c r="J122" s="5" t="s">
        <v>235</v>
      </c>
      <c r="K122" s="6">
        <v>100</v>
      </c>
      <c r="L122" s="4" t="s">
        <v>1256</v>
      </c>
      <c r="M122" s="4" t="s">
        <v>1257</v>
      </c>
      <c r="N122" s="4" t="s">
        <v>238</v>
      </c>
      <c r="O122" s="4" t="s">
        <v>99</v>
      </c>
      <c r="P122" s="4" t="s">
        <v>1258</v>
      </c>
      <c r="Q122" s="4" t="s">
        <v>49</v>
      </c>
      <c r="R122" s="4">
        <v>1</v>
      </c>
      <c r="S122" s="4">
        <v>1</v>
      </c>
      <c r="T122" s="4">
        <v>1</v>
      </c>
      <c r="U122" s="4">
        <v>1</v>
      </c>
      <c r="V122" s="4">
        <v>1</v>
      </c>
      <c r="W122" s="4">
        <v>1</v>
      </c>
      <c r="X122" s="4">
        <v>1</v>
      </c>
      <c r="Y122" s="4">
        <v>1</v>
      </c>
      <c r="Z122" s="4" t="s">
        <v>140</v>
      </c>
      <c r="AA122" s="4">
        <v>1</v>
      </c>
      <c r="AB122" s="4">
        <v>1</v>
      </c>
      <c r="AC122" s="4">
        <v>1</v>
      </c>
      <c r="AD122" s="4">
        <v>1</v>
      </c>
      <c r="AE122" s="4">
        <v>1</v>
      </c>
      <c r="AF122" s="4">
        <v>1</v>
      </c>
      <c r="AG122" s="4">
        <v>1</v>
      </c>
      <c r="AH122" s="4" t="s">
        <v>140</v>
      </c>
      <c r="AI122" s="4">
        <v>1</v>
      </c>
      <c r="AJ122" s="4">
        <v>1</v>
      </c>
      <c r="AK122" s="4">
        <v>1</v>
      </c>
      <c r="AL122" s="4" t="s">
        <v>140</v>
      </c>
      <c r="AM122" s="4" t="s">
        <v>140</v>
      </c>
      <c r="AN122" s="4" t="s">
        <v>140</v>
      </c>
      <c r="AO122" s="4" t="s">
        <v>1096</v>
      </c>
    </row>
    <row r="123" spans="1:41" hidden="1" x14ac:dyDescent="0.2">
      <c r="A123" s="13">
        <f t="shared" si="4"/>
        <v>6</v>
      </c>
      <c r="B123" s="13">
        <f t="shared" si="5"/>
        <v>2</v>
      </c>
      <c r="C123" s="13" t="str">
        <f>VLOOKUP(B123,Correspondance!$D$3:$E$14,2,FALSE)</f>
        <v>Février</v>
      </c>
      <c r="D123" s="15" t="str">
        <f>VLOOKUP(G123,Correspondance!$A$3:$B$10,2,FALSE)</f>
        <v>ASF</v>
      </c>
      <c r="E123" s="1" t="s">
        <v>1069</v>
      </c>
      <c r="F123" s="2" t="s">
        <v>169</v>
      </c>
      <c r="G123" s="3" t="s">
        <v>61</v>
      </c>
      <c r="H123" s="4" t="s">
        <v>1204</v>
      </c>
      <c r="I123" s="4" t="s">
        <v>208</v>
      </c>
      <c r="J123" s="5" t="s">
        <v>235</v>
      </c>
      <c r="K123" s="6">
        <v>100</v>
      </c>
      <c r="L123" s="4" t="s">
        <v>1259</v>
      </c>
      <c r="M123" s="4" t="s">
        <v>365</v>
      </c>
      <c r="N123" s="4" t="s">
        <v>238</v>
      </c>
      <c r="O123" s="4" t="s">
        <v>99</v>
      </c>
      <c r="P123" s="4" t="s">
        <v>551</v>
      </c>
      <c r="Q123" s="4" t="s">
        <v>49</v>
      </c>
      <c r="R123" s="4">
        <v>1</v>
      </c>
      <c r="S123" s="4">
        <v>1</v>
      </c>
      <c r="T123" s="4">
        <v>1</v>
      </c>
      <c r="U123" s="4">
        <v>1</v>
      </c>
      <c r="V123" s="4">
        <v>1</v>
      </c>
      <c r="W123" s="4">
        <v>1</v>
      </c>
      <c r="X123" s="4">
        <v>1</v>
      </c>
      <c r="Y123" s="4">
        <v>1</v>
      </c>
      <c r="Z123" s="4" t="s">
        <v>140</v>
      </c>
      <c r="AA123" s="4">
        <v>1</v>
      </c>
      <c r="AB123" s="4">
        <v>1</v>
      </c>
      <c r="AC123" s="4">
        <v>1</v>
      </c>
      <c r="AD123" s="4">
        <v>1</v>
      </c>
      <c r="AE123" s="4">
        <v>1</v>
      </c>
      <c r="AF123" s="4">
        <v>1</v>
      </c>
      <c r="AG123" s="4">
        <v>1</v>
      </c>
      <c r="AH123" s="4" t="s">
        <v>140</v>
      </c>
      <c r="AI123" s="4">
        <v>1</v>
      </c>
      <c r="AJ123" s="4">
        <v>1</v>
      </c>
      <c r="AK123" s="4">
        <v>1</v>
      </c>
      <c r="AL123" s="4" t="s">
        <v>140</v>
      </c>
      <c r="AM123" s="4" t="s">
        <v>140</v>
      </c>
      <c r="AN123" s="4" t="s">
        <v>140</v>
      </c>
      <c r="AO123" s="4" t="s">
        <v>1096</v>
      </c>
    </row>
    <row r="124" spans="1:41" hidden="1" x14ac:dyDescent="0.2">
      <c r="A124" s="13">
        <f t="shared" si="4"/>
        <v>6</v>
      </c>
      <c r="B124" s="13">
        <f t="shared" si="5"/>
        <v>2</v>
      </c>
      <c r="C124" s="13" t="str">
        <f>VLOOKUP(B124,Correspondance!$D$3:$E$14,2,FALSE)</f>
        <v>Février</v>
      </c>
      <c r="D124" s="15" t="str">
        <f>VLOOKUP(G124,Correspondance!$A$3:$B$10,2,FALSE)</f>
        <v>ASF</v>
      </c>
      <c r="E124" s="1" t="s">
        <v>1104</v>
      </c>
      <c r="F124" s="2" t="s">
        <v>169</v>
      </c>
      <c r="G124" s="3" t="s">
        <v>52</v>
      </c>
      <c r="H124" s="4" t="s">
        <v>484</v>
      </c>
      <c r="I124" s="4" t="s">
        <v>485</v>
      </c>
      <c r="J124" s="5" t="s">
        <v>52</v>
      </c>
      <c r="K124" s="6">
        <v>100</v>
      </c>
      <c r="L124" s="4" t="s">
        <v>1260</v>
      </c>
      <c r="M124" s="4" t="s">
        <v>174</v>
      </c>
      <c r="N124" s="4" t="s">
        <v>66</v>
      </c>
      <c r="O124" s="4" t="s">
        <v>74</v>
      </c>
      <c r="P124" s="4" t="s">
        <v>1261</v>
      </c>
      <c r="Q124" s="4" t="s">
        <v>49</v>
      </c>
      <c r="R124" s="4">
        <v>1</v>
      </c>
      <c r="S124" s="4">
        <v>1</v>
      </c>
      <c r="T124" s="4">
        <v>1</v>
      </c>
      <c r="U124" s="4">
        <v>1</v>
      </c>
      <c r="V124" s="4">
        <v>1</v>
      </c>
      <c r="W124" s="4">
        <v>1</v>
      </c>
      <c r="X124" s="4">
        <v>1</v>
      </c>
      <c r="Y124" s="4" t="s">
        <v>140</v>
      </c>
      <c r="Z124" s="4" t="s">
        <v>140</v>
      </c>
      <c r="AA124" s="4">
        <v>1</v>
      </c>
      <c r="AB124" s="4">
        <v>1</v>
      </c>
      <c r="AC124" s="4">
        <v>1</v>
      </c>
      <c r="AD124" s="4">
        <v>1</v>
      </c>
      <c r="AE124" s="4">
        <v>1</v>
      </c>
      <c r="AF124" s="4" t="s">
        <v>140</v>
      </c>
      <c r="AG124" s="4">
        <v>1</v>
      </c>
      <c r="AH124" s="4" t="s">
        <v>140</v>
      </c>
      <c r="AI124" s="4">
        <v>1</v>
      </c>
      <c r="AJ124" s="4">
        <v>1</v>
      </c>
      <c r="AK124" s="4">
        <v>1</v>
      </c>
      <c r="AL124" s="4" t="s">
        <v>140</v>
      </c>
      <c r="AM124" s="4" t="s">
        <v>140</v>
      </c>
      <c r="AN124" s="4" t="s">
        <v>140</v>
      </c>
      <c r="AO124" s="4" t="s">
        <v>1071</v>
      </c>
    </row>
    <row r="125" spans="1:41" hidden="1" x14ac:dyDescent="0.2">
      <c r="A125" s="13">
        <f t="shared" si="4"/>
        <v>6</v>
      </c>
      <c r="B125" s="13">
        <f t="shared" si="5"/>
        <v>2</v>
      </c>
      <c r="C125" s="13" t="str">
        <f>VLOOKUP(B125,Correspondance!$D$3:$E$14,2,FALSE)</f>
        <v>Février</v>
      </c>
      <c r="D125" s="15" t="str">
        <f>VLOOKUP(G125,Correspondance!$A$3:$B$10,2,FALSE)</f>
        <v>ASF</v>
      </c>
      <c r="E125" s="1" t="s">
        <v>1104</v>
      </c>
      <c r="F125" s="2" t="s">
        <v>169</v>
      </c>
      <c r="G125" s="3" t="s">
        <v>52</v>
      </c>
      <c r="H125" s="4" t="s">
        <v>233</v>
      </c>
      <c r="I125" s="4" t="s">
        <v>234</v>
      </c>
      <c r="J125" s="5" t="s">
        <v>52</v>
      </c>
      <c r="K125" s="6">
        <v>93.4</v>
      </c>
      <c r="L125" s="4" t="s">
        <v>1262</v>
      </c>
      <c r="M125" s="4" t="s">
        <v>245</v>
      </c>
      <c r="N125" s="4" t="s">
        <v>66</v>
      </c>
      <c r="O125" s="4" t="s">
        <v>99</v>
      </c>
      <c r="P125" s="4" t="s">
        <v>1263</v>
      </c>
      <c r="Q125" s="4" t="s">
        <v>49</v>
      </c>
      <c r="R125" s="4">
        <v>1</v>
      </c>
      <c r="S125" s="4">
        <v>0</v>
      </c>
      <c r="T125" s="4">
        <v>1</v>
      </c>
      <c r="U125" s="4">
        <v>1</v>
      </c>
      <c r="V125" s="4">
        <v>1</v>
      </c>
      <c r="W125" s="4">
        <v>1</v>
      </c>
      <c r="X125" s="4">
        <v>1</v>
      </c>
      <c r="Y125" s="4" t="s">
        <v>140</v>
      </c>
      <c r="Z125" s="4" t="s">
        <v>140</v>
      </c>
      <c r="AA125" s="4">
        <v>1</v>
      </c>
      <c r="AB125" s="4">
        <v>1</v>
      </c>
      <c r="AC125" s="4">
        <v>1</v>
      </c>
      <c r="AD125" s="4">
        <v>1</v>
      </c>
      <c r="AE125" s="4">
        <v>1</v>
      </c>
      <c r="AF125" s="4" t="s">
        <v>140</v>
      </c>
      <c r="AG125" s="4">
        <v>1</v>
      </c>
      <c r="AH125" s="4" t="s">
        <v>140</v>
      </c>
      <c r="AI125" s="4">
        <v>1</v>
      </c>
      <c r="AJ125" s="4">
        <v>1</v>
      </c>
      <c r="AK125" s="4">
        <v>1</v>
      </c>
      <c r="AL125" s="4" t="s">
        <v>140</v>
      </c>
      <c r="AM125" s="4" t="s">
        <v>140</v>
      </c>
      <c r="AN125" s="4" t="s">
        <v>140</v>
      </c>
      <c r="AO125" s="4" t="s">
        <v>1071</v>
      </c>
    </row>
    <row r="126" spans="1:41" hidden="1" x14ac:dyDescent="0.2">
      <c r="A126" s="13">
        <f t="shared" si="4"/>
        <v>6</v>
      </c>
      <c r="B126" s="13">
        <f t="shared" si="5"/>
        <v>2</v>
      </c>
      <c r="C126" s="13" t="str">
        <f>VLOOKUP(B126,Correspondance!$D$3:$E$14,2,FALSE)</f>
        <v>Février</v>
      </c>
      <c r="D126" s="15" t="str">
        <f>VLOOKUP(G126,Correspondance!$A$3:$B$10,2,FALSE)</f>
        <v>ASF</v>
      </c>
      <c r="E126" s="1" t="s">
        <v>1104</v>
      </c>
      <c r="F126" s="2" t="s">
        <v>169</v>
      </c>
      <c r="G126" s="3" t="s">
        <v>52</v>
      </c>
      <c r="H126" s="4" t="s">
        <v>135</v>
      </c>
      <c r="I126" s="4" t="s">
        <v>136</v>
      </c>
      <c r="J126" s="5" t="s">
        <v>52</v>
      </c>
      <c r="K126" s="6">
        <v>100</v>
      </c>
      <c r="L126" s="4" t="s">
        <v>1264</v>
      </c>
      <c r="M126" s="4" t="s">
        <v>245</v>
      </c>
      <c r="N126" s="4" t="s">
        <v>66</v>
      </c>
      <c r="O126" s="4" t="s">
        <v>47</v>
      </c>
      <c r="P126" s="4" t="s">
        <v>1265</v>
      </c>
      <c r="Q126" s="4" t="s">
        <v>49</v>
      </c>
      <c r="R126" s="4">
        <v>1</v>
      </c>
      <c r="S126" s="4">
        <v>1</v>
      </c>
      <c r="T126" s="4">
        <v>1</v>
      </c>
      <c r="U126" s="4">
        <v>1</v>
      </c>
      <c r="V126" s="4">
        <v>1</v>
      </c>
      <c r="W126" s="4">
        <v>1</v>
      </c>
      <c r="X126" s="4">
        <v>1</v>
      </c>
      <c r="Y126" s="4" t="s">
        <v>140</v>
      </c>
      <c r="Z126" s="4" t="s">
        <v>140</v>
      </c>
      <c r="AA126" s="4">
        <v>1</v>
      </c>
      <c r="AB126" s="4">
        <v>1</v>
      </c>
      <c r="AC126" s="4">
        <v>1</v>
      </c>
      <c r="AD126" s="4">
        <v>1</v>
      </c>
      <c r="AE126" s="4">
        <v>1</v>
      </c>
      <c r="AF126" s="4" t="s">
        <v>140</v>
      </c>
      <c r="AG126" s="4">
        <v>1</v>
      </c>
      <c r="AH126" s="4" t="s">
        <v>140</v>
      </c>
      <c r="AI126" s="4">
        <v>1</v>
      </c>
      <c r="AJ126" s="4">
        <v>1</v>
      </c>
      <c r="AK126" s="4">
        <v>1</v>
      </c>
      <c r="AL126" s="4">
        <v>1</v>
      </c>
      <c r="AM126" s="4" t="s">
        <v>140</v>
      </c>
      <c r="AN126" s="4" t="s">
        <v>140</v>
      </c>
      <c r="AO126" s="4" t="s">
        <v>1071</v>
      </c>
    </row>
    <row r="127" spans="1:41" hidden="1" x14ac:dyDescent="0.2">
      <c r="A127" s="13">
        <f t="shared" si="4"/>
        <v>6</v>
      </c>
      <c r="B127" s="13">
        <f t="shared" si="5"/>
        <v>2</v>
      </c>
      <c r="C127" s="13" t="str">
        <f>VLOOKUP(B127,Correspondance!$D$3:$E$14,2,FALSE)</f>
        <v>Février</v>
      </c>
      <c r="D127" s="15" t="str">
        <f>VLOOKUP(G127,Correspondance!$A$3:$B$10,2,FALSE)</f>
        <v>ASF</v>
      </c>
      <c r="E127" s="1" t="s">
        <v>1104</v>
      </c>
      <c r="F127" s="2" t="s">
        <v>169</v>
      </c>
      <c r="G127" s="3" t="s">
        <v>52</v>
      </c>
      <c r="H127" s="4" t="s">
        <v>93</v>
      </c>
      <c r="I127" s="4" t="s">
        <v>94</v>
      </c>
      <c r="J127" s="5" t="s">
        <v>52</v>
      </c>
      <c r="K127" s="6">
        <v>93.4</v>
      </c>
      <c r="L127" s="4" t="s">
        <v>1266</v>
      </c>
      <c r="M127" s="4" t="s">
        <v>245</v>
      </c>
      <c r="N127" s="4" t="s">
        <v>66</v>
      </c>
      <c r="O127" s="4" t="s">
        <v>74</v>
      </c>
      <c r="P127" s="4" t="s">
        <v>1267</v>
      </c>
      <c r="Q127" s="4" t="s">
        <v>49</v>
      </c>
      <c r="R127" s="4">
        <v>1</v>
      </c>
      <c r="S127" s="4">
        <v>1</v>
      </c>
      <c r="T127" s="4">
        <v>1</v>
      </c>
      <c r="U127" s="4">
        <v>1</v>
      </c>
      <c r="V127" s="4">
        <v>1</v>
      </c>
      <c r="W127" s="4">
        <v>1</v>
      </c>
      <c r="X127" s="4">
        <v>1</v>
      </c>
      <c r="Y127" s="4" t="s">
        <v>140</v>
      </c>
      <c r="Z127" s="4" t="s">
        <v>140</v>
      </c>
      <c r="AA127" s="4">
        <v>1</v>
      </c>
      <c r="AB127" s="4">
        <v>1</v>
      </c>
      <c r="AC127" s="4">
        <v>1</v>
      </c>
      <c r="AD127" s="4" t="s">
        <v>140</v>
      </c>
      <c r="AE127" s="4">
        <v>0</v>
      </c>
      <c r="AF127" s="4" t="s">
        <v>140</v>
      </c>
      <c r="AG127" s="4">
        <v>1</v>
      </c>
      <c r="AH127" s="4" t="s">
        <v>140</v>
      </c>
      <c r="AI127" s="4">
        <v>1</v>
      </c>
      <c r="AJ127" s="4">
        <v>1</v>
      </c>
      <c r="AK127" s="4">
        <v>1</v>
      </c>
      <c r="AL127" s="4" t="s">
        <v>140</v>
      </c>
      <c r="AM127" s="4" t="s">
        <v>140</v>
      </c>
      <c r="AN127" s="4" t="s">
        <v>140</v>
      </c>
      <c r="AO127" s="4" t="s">
        <v>1183</v>
      </c>
    </row>
    <row r="128" spans="1:41" hidden="1" x14ac:dyDescent="0.2">
      <c r="A128" s="13">
        <f t="shared" si="4"/>
        <v>6</v>
      </c>
      <c r="B128" s="13">
        <f t="shared" si="5"/>
        <v>2</v>
      </c>
      <c r="C128" s="13" t="str">
        <f>VLOOKUP(B128,Correspondance!$D$3:$E$14,2,FALSE)</f>
        <v>Février</v>
      </c>
      <c r="D128" s="15" t="str">
        <f>VLOOKUP(G128,Correspondance!$A$3:$B$10,2,FALSE)</f>
        <v>ASF</v>
      </c>
      <c r="E128" s="1" t="s">
        <v>1104</v>
      </c>
      <c r="F128" s="2" t="s">
        <v>169</v>
      </c>
      <c r="G128" s="3" t="s">
        <v>52</v>
      </c>
      <c r="H128" s="4" t="s">
        <v>191</v>
      </c>
      <c r="I128" s="4" t="s">
        <v>192</v>
      </c>
      <c r="J128" s="5" t="s">
        <v>52</v>
      </c>
      <c r="K128" s="6">
        <v>100</v>
      </c>
      <c r="L128" s="4" t="s">
        <v>1268</v>
      </c>
      <c r="M128" s="4" t="s">
        <v>263</v>
      </c>
      <c r="N128" s="4" t="s">
        <v>66</v>
      </c>
      <c r="O128" s="4" t="s">
        <v>47</v>
      </c>
      <c r="P128" s="4" t="s">
        <v>1269</v>
      </c>
      <c r="Q128" s="4" t="s">
        <v>49</v>
      </c>
      <c r="R128" s="4">
        <v>1</v>
      </c>
      <c r="S128" s="4">
        <v>1</v>
      </c>
      <c r="T128" s="4">
        <v>1</v>
      </c>
      <c r="U128" s="4">
        <v>1</v>
      </c>
      <c r="V128" s="4">
        <v>1</v>
      </c>
      <c r="W128" s="4">
        <v>1</v>
      </c>
      <c r="X128" s="4">
        <v>1</v>
      </c>
      <c r="Y128" s="4" t="s">
        <v>140</v>
      </c>
      <c r="Z128" s="4" t="s">
        <v>140</v>
      </c>
      <c r="AA128" s="4">
        <v>1</v>
      </c>
      <c r="AB128" s="4">
        <v>1</v>
      </c>
      <c r="AC128" s="4">
        <v>1</v>
      </c>
      <c r="AD128" s="4">
        <v>1</v>
      </c>
      <c r="AE128" s="4">
        <v>1</v>
      </c>
      <c r="AF128" s="4" t="s">
        <v>140</v>
      </c>
      <c r="AG128" s="4">
        <v>1</v>
      </c>
      <c r="AH128" s="4" t="s">
        <v>140</v>
      </c>
      <c r="AI128" s="4">
        <v>1</v>
      </c>
      <c r="AJ128" s="4">
        <v>1</v>
      </c>
      <c r="AK128" s="4" t="s">
        <v>140</v>
      </c>
      <c r="AL128" s="4" t="s">
        <v>140</v>
      </c>
      <c r="AM128" s="4" t="s">
        <v>140</v>
      </c>
      <c r="AN128" s="4" t="s">
        <v>140</v>
      </c>
      <c r="AO128" s="4" t="s">
        <v>1071</v>
      </c>
    </row>
    <row r="129" spans="1:41" hidden="1" x14ac:dyDescent="0.2">
      <c r="A129" s="13">
        <f t="shared" si="4"/>
        <v>6</v>
      </c>
      <c r="B129" s="13">
        <f t="shared" si="5"/>
        <v>2</v>
      </c>
      <c r="C129" s="13" t="str">
        <f>VLOOKUP(B129,Correspondance!$D$3:$E$14,2,FALSE)</f>
        <v>Février</v>
      </c>
      <c r="D129" s="15" t="str">
        <f>VLOOKUP(G129,Correspondance!$A$3:$B$10,2,FALSE)</f>
        <v>ASF</v>
      </c>
      <c r="E129" s="1" t="s">
        <v>1104</v>
      </c>
      <c r="F129" s="2" t="s">
        <v>169</v>
      </c>
      <c r="G129" s="3" t="s">
        <v>52</v>
      </c>
      <c r="H129" s="4" t="s">
        <v>53</v>
      </c>
      <c r="I129" s="4" t="s">
        <v>54</v>
      </c>
      <c r="J129" s="5" t="s">
        <v>52</v>
      </c>
      <c r="K129" s="6">
        <v>100</v>
      </c>
      <c r="L129" s="4" t="s">
        <v>1270</v>
      </c>
      <c r="M129" s="4" t="s">
        <v>368</v>
      </c>
      <c r="N129" s="4" t="s">
        <v>66</v>
      </c>
      <c r="O129" s="4" t="s">
        <v>175</v>
      </c>
      <c r="P129" s="4" t="s">
        <v>497</v>
      </c>
      <c r="Q129" s="4" t="s">
        <v>49</v>
      </c>
      <c r="R129" s="4">
        <v>1</v>
      </c>
      <c r="S129" s="4">
        <v>1</v>
      </c>
      <c r="T129" s="4">
        <v>1</v>
      </c>
      <c r="U129" s="4">
        <v>1</v>
      </c>
      <c r="V129" s="4">
        <v>1</v>
      </c>
      <c r="W129" s="4">
        <v>1</v>
      </c>
      <c r="X129" s="4">
        <v>1</v>
      </c>
      <c r="Y129" s="4" t="s">
        <v>140</v>
      </c>
      <c r="Z129" s="4" t="s">
        <v>140</v>
      </c>
      <c r="AA129" s="4">
        <v>1</v>
      </c>
      <c r="AB129" s="4">
        <v>1</v>
      </c>
      <c r="AC129" s="4">
        <v>1</v>
      </c>
      <c r="AD129" s="4">
        <v>1</v>
      </c>
      <c r="AE129" s="4">
        <v>1</v>
      </c>
      <c r="AF129" s="4" t="s">
        <v>140</v>
      </c>
      <c r="AG129" s="4">
        <v>1</v>
      </c>
      <c r="AH129" s="4" t="s">
        <v>140</v>
      </c>
      <c r="AI129" s="4">
        <v>1</v>
      </c>
      <c r="AJ129" s="4">
        <v>1</v>
      </c>
      <c r="AK129" s="4" t="s">
        <v>140</v>
      </c>
      <c r="AL129" s="4" t="s">
        <v>140</v>
      </c>
      <c r="AM129" s="4" t="s">
        <v>140</v>
      </c>
      <c r="AN129" s="4" t="s">
        <v>140</v>
      </c>
      <c r="AO129" s="4" t="s">
        <v>1085</v>
      </c>
    </row>
    <row r="130" spans="1:41" hidden="1" x14ac:dyDescent="0.2">
      <c r="A130" s="13">
        <f t="shared" si="4"/>
        <v>6</v>
      </c>
      <c r="B130" s="13">
        <f t="shared" si="5"/>
        <v>2</v>
      </c>
      <c r="C130" s="13" t="str">
        <f>VLOOKUP(B130,Correspondance!$D$3:$E$14,2,FALSE)</f>
        <v>Février</v>
      </c>
      <c r="D130" s="15" t="str">
        <f>VLOOKUP(G130,Correspondance!$A$3:$B$10,2,FALSE)</f>
        <v>ASF</v>
      </c>
      <c r="E130" s="1" t="s">
        <v>1073</v>
      </c>
      <c r="F130" s="2" t="s">
        <v>169</v>
      </c>
      <c r="G130" s="3" t="s">
        <v>41</v>
      </c>
      <c r="H130" s="4" t="s">
        <v>300</v>
      </c>
      <c r="I130" s="4" t="s">
        <v>301</v>
      </c>
      <c r="J130" s="5" t="s">
        <v>57</v>
      </c>
      <c r="K130" s="6">
        <v>95</v>
      </c>
      <c r="L130" s="4" t="s">
        <v>1271</v>
      </c>
      <c r="M130" s="4" t="s">
        <v>174</v>
      </c>
      <c r="N130" s="4" t="s">
        <v>46</v>
      </c>
      <c r="O130" s="4" t="s">
        <v>99</v>
      </c>
      <c r="P130" s="4" t="s">
        <v>1272</v>
      </c>
      <c r="Q130" s="4" t="s">
        <v>49</v>
      </c>
      <c r="R130" s="4">
        <v>1</v>
      </c>
      <c r="S130" s="4">
        <v>1</v>
      </c>
      <c r="T130" s="4">
        <v>1</v>
      </c>
      <c r="U130" s="4">
        <v>1</v>
      </c>
      <c r="V130" s="4">
        <v>1</v>
      </c>
      <c r="W130" s="4">
        <v>1</v>
      </c>
      <c r="X130" s="4">
        <v>1</v>
      </c>
      <c r="Y130" s="4" t="s">
        <v>140</v>
      </c>
      <c r="Z130" s="4">
        <v>1</v>
      </c>
      <c r="AA130" s="4">
        <v>1</v>
      </c>
      <c r="AB130" s="4">
        <v>1</v>
      </c>
      <c r="AC130" s="4">
        <v>1</v>
      </c>
      <c r="AD130" s="4">
        <v>1</v>
      </c>
      <c r="AE130" s="4">
        <v>0</v>
      </c>
      <c r="AF130" s="4" t="s">
        <v>140</v>
      </c>
      <c r="AG130" s="4">
        <v>1</v>
      </c>
      <c r="AH130" s="4" t="s">
        <v>140</v>
      </c>
      <c r="AI130" s="4">
        <v>1</v>
      </c>
      <c r="AJ130" s="4">
        <v>1</v>
      </c>
      <c r="AK130" s="4">
        <v>1</v>
      </c>
      <c r="AL130" s="4">
        <v>1</v>
      </c>
      <c r="AM130" s="4">
        <v>1</v>
      </c>
      <c r="AN130" s="4">
        <v>1</v>
      </c>
      <c r="AO130" s="4" t="s">
        <v>1071</v>
      </c>
    </row>
    <row r="131" spans="1:41" hidden="1" x14ac:dyDescent="0.2">
      <c r="A131" s="13">
        <f t="shared" si="4"/>
        <v>6</v>
      </c>
      <c r="B131" s="13">
        <f t="shared" si="5"/>
        <v>2</v>
      </c>
      <c r="C131" s="13" t="str">
        <f>VLOOKUP(B131,Correspondance!$D$3:$E$14,2,FALSE)</f>
        <v>Février</v>
      </c>
      <c r="D131" s="15" t="str">
        <f>VLOOKUP(G131,Correspondance!$A$3:$B$10,2,FALSE)</f>
        <v>ASF</v>
      </c>
      <c r="E131" s="1" t="s">
        <v>1073</v>
      </c>
      <c r="F131" s="2" t="s">
        <v>169</v>
      </c>
      <c r="G131" s="3" t="s">
        <v>41</v>
      </c>
      <c r="H131" s="4" t="s">
        <v>529</v>
      </c>
      <c r="I131" s="4" t="s">
        <v>530</v>
      </c>
      <c r="J131" s="5" t="s">
        <v>235</v>
      </c>
      <c r="K131" s="6">
        <v>98</v>
      </c>
      <c r="L131" s="4" t="s">
        <v>1273</v>
      </c>
      <c r="M131" s="4" t="s">
        <v>174</v>
      </c>
      <c r="N131" s="4" t="s">
        <v>238</v>
      </c>
      <c r="O131" s="4" t="s">
        <v>99</v>
      </c>
      <c r="P131" s="4" t="s">
        <v>549</v>
      </c>
      <c r="Q131" s="4" t="s">
        <v>49</v>
      </c>
      <c r="R131" s="4">
        <v>1</v>
      </c>
      <c r="S131" s="4">
        <v>1</v>
      </c>
      <c r="T131" s="4">
        <v>1</v>
      </c>
      <c r="U131" s="4">
        <v>1</v>
      </c>
      <c r="V131" s="4">
        <v>1</v>
      </c>
      <c r="W131" s="4">
        <v>1</v>
      </c>
      <c r="X131" s="4">
        <v>1</v>
      </c>
      <c r="Y131" s="4">
        <v>1</v>
      </c>
      <c r="Z131" s="4">
        <v>1</v>
      </c>
      <c r="AA131" s="4">
        <v>1</v>
      </c>
      <c r="AB131" s="4">
        <v>1</v>
      </c>
      <c r="AC131" s="4">
        <v>1</v>
      </c>
      <c r="AD131" s="4">
        <v>1</v>
      </c>
      <c r="AE131" s="4">
        <v>1</v>
      </c>
      <c r="AF131" s="4" t="s">
        <v>140</v>
      </c>
      <c r="AG131" s="4">
        <v>1</v>
      </c>
      <c r="AH131" s="4">
        <v>0</v>
      </c>
      <c r="AI131" s="4">
        <v>1</v>
      </c>
      <c r="AJ131" s="4">
        <v>1</v>
      </c>
      <c r="AK131" s="4">
        <v>1</v>
      </c>
      <c r="AL131" s="4" t="s">
        <v>140</v>
      </c>
      <c r="AM131" s="4" t="s">
        <v>140</v>
      </c>
      <c r="AN131" s="4" t="s">
        <v>140</v>
      </c>
      <c r="AO131" s="4" t="s">
        <v>1095</v>
      </c>
    </row>
    <row r="132" spans="1:41" hidden="1" x14ac:dyDescent="0.2">
      <c r="A132" s="13">
        <f t="shared" si="4"/>
        <v>6</v>
      </c>
      <c r="B132" s="13">
        <f t="shared" si="5"/>
        <v>2</v>
      </c>
      <c r="C132" s="13" t="str">
        <f>VLOOKUP(B132,Correspondance!$D$3:$E$14,2,FALSE)</f>
        <v>Février</v>
      </c>
      <c r="D132" s="15" t="str">
        <f>VLOOKUP(G132,Correspondance!$A$3:$B$10,2,FALSE)</f>
        <v>ASF</v>
      </c>
      <c r="E132" s="1" t="s">
        <v>1073</v>
      </c>
      <c r="F132" s="2" t="s">
        <v>169</v>
      </c>
      <c r="G132" s="3" t="s">
        <v>41</v>
      </c>
      <c r="H132" s="4" t="s">
        <v>529</v>
      </c>
      <c r="I132" s="4" t="s">
        <v>530</v>
      </c>
      <c r="J132" s="5" t="s">
        <v>235</v>
      </c>
      <c r="K132" s="6">
        <v>100</v>
      </c>
      <c r="L132" s="4" t="s">
        <v>1274</v>
      </c>
      <c r="M132" s="4" t="s">
        <v>174</v>
      </c>
      <c r="N132" s="4" t="s">
        <v>238</v>
      </c>
      <c r="O132" s="4" t="s">
        <v>99</v>
      </c>
      <c r="P132" s="4" t="s">
        <v>705</v>
      </c>
      <c r="Q132" s="4" t="s">
        <v>49</v>
      </c>
      <c r="R132" s="4">
        <v>1</v>
      </c>
      <c r="S132" s="4">
        <v>1</v>
      </c>
      <c r="T132" s="4">
        <v>1</v>
      </c>
      <c r="U132" s="4">
        <v>1</v>
      </c>
      <c r="V132" s="4">
        <v>1</v>
      </c>
      <c r="W132" s="4">
        <v>1</v>
      </c>
      <c r="X132" s="4">
        <v>1</v>
      </c>
      <c r="Y132" s="4">
        <v>1</v>
      </c>
      <c r="Z132" s="4" t="s">
        <v>140</v>
      </c>
      <c r="AA132" s="4">
        <v>1</v>
      </c>
      <c r="AB132" s="4">
        <v>1</v>
      </c>
      <c r="AC132" s="4">
        <v>1</v>
      </c>
      <c r="AD132" s="4">
        <v>1</v>
      </c>
      <c r="AE132" s="4">
        <v>1</v>
      </c>
      <c r="AF132" s="4" t="s">
        <v>140</v>
      </c>
      <c r="AG132" s="4">
        <v>1</v>
      </c>
      <c r="AH132" s="4">
        <v>1</v>
      </c>
      <c r="AI132" s="4">
        <v>1</v>
      </c>
      <c r="AJ132" s="4">
        <v>1</v>
      </c>
      <c r="AK132" s="4">
        <v>1</v>
      </c>
      <c r="AL132" s="4" t="s">
        <v>140</v>
      </c>
      <c r="AM132" s="4" t="s">
        <v>140</v>
      </c>
      <c r="AN132" s="4" t="s">
        <v>140</v>
      </c>
      <c r="AO132" s="4" t="s">
        <v>1095</v>
      </c>
    </row>
    <row r="133" spans="1:41" hidden="1" x14ac:dyDescent="0.2">
      <c r="A133" s="13">
        <f t="shared" si="4"/>
        <v>6</v>
      </c>
      <c r="B133" s="13">
        <f t="shared" si="5"/>
        <v>2</v>
      </c>
      <c r="C133" s="13" t="str">
        <f>VLOOKUP(B133,Correspondance!$D$3:$E$14,2,FALSE)</f>
        <v>Février</v>
      </c>
      <c r="D133" s="15" t="str">
        <f>VLOOKUP(G133,Correspondance!$A$3:$B$10,2,FALSE)</f>
        <v>ASF</v>
      </c>
      <c r="E133" s="1" t="s">
        <v>1073</v>
      </c>
      <c r="F133" s="2" t="s">
        <v>169</v>
      </c>
      <c r="G133" s="3" t="s">
        <v>52</v>
      </c>
      <c r="H133" s="4" t="s">
        <v>1203</v>
      </c>
      <c r="I133" s="4" t="s">
        <v>194</v>
      </c>
      <c r="J133" s="5" t="s">
        <v>235</v>
      </c>
      <c r="K133" s="6">
        <v>88</v>
      </c>
      <c r="L133" s="4" t="s">
        <v>1275</v>
      </c>
      <c r="M133" s="4" t="s">
        <v>365</v>
      </c>
      <c r="N133" s="4" t="s">
        <v>238</v>
      </c>
      <c r="O133" s="4" t="s">
        <v>99</v>
      </c>
      <c r="P133" s="4" t="s">
        <v>551</v>
      </c>
      <c r="Q133" s="4" t="s">
        <v>49</v>
      </c>
      <c r="R133" s="4">
        <v>0</v>
      </c>
      <c r="S133" s="4">
        <v>1</v>
      </c>
      <c r="T133" s="4">
        <v>1</v>
      </c>
      <c r="U133" s="4">
        <v>1</v>
      </c>
      <c r="V133" s="4">
        <v>1</v>
      </c>
      <c r="W133" s="4">
        <v>1</v>
      </c>
      <c r="X133" s="4">
        <v>1</v>
      </c>
      <c r="Y133" s="4" t="s">
        <v>140</v>
      </c>
      <c r="Z133" s="4" t="s">
        <v>140</v>
      </c>
      <c r="AA133" s="4">
        <v>1</v>
      </c>
      <c r="AB133" s="4">
        <v>1</v>
      </c>
      <c r="AC133" s="4">
        <v>1</v>
      </c>
      <c r="AD133" s="4">
        <v>1</v>
      </c>
      <c r="AE133" s="4">
        <v>1</v>
      </c>
      <c r="AF133" s="4" t="s">
        <v>140</v>
      </c>
      <c r="AG133" s="4">
        <v>1</v>
      </c>
      <c r="AH133" s="4" t="s">
        <v>140</v>
      </c>
      <c r="AI133" s="4">
        <v>1</v>
      </c>
      <c r="AJ133" s="4">
        <v>1</v>
      </c>
      <c r="AK133" s="4">
        <v>1</v>
      </c>
      <c r="AL133" s="4" t="s">
        <v>140</v>
      </c>
      <c r="AM133" s="4" t="s">
        <v>140</v>
      </c>
      <c r="AN133" s="4" t="s">
        <v>140</v>
      </c>
      <c r="AO133" s="4" t="s">
        <v>1071</v>
      </c>
    </row>
    <row r="134" spans="1:41" hidden="1" x14ac:dyDescent="0.2">
      <c r="A134" s="13">
        <f t="shared" si="4"/>
        <v>6</v>
      </c>
      <c r="B134" s="13">
        <f t="shared" si="5"/>
        <v>2</v>
      </c>
      <c r="C134" s="13" t="str">
        <f>VLOOKUP(B134,Correspondance!$D$3:$E$14,2,FALSE)</f>
        <v>Février</v>
      </c>
      <c r="D134" s="15" t="str">
        <f>VLOOKUP(G134,Correspondance!$A$3:$B$10,2,FALSE)</f>
        <v>ASF</v>
      </c>
      <c r="E134" s="1" t="s">
        <v>1073</v>
      </c>
      <c r="F134" s="2" t="s">
        <v>169</v>
      </c>
      <c r="G134" s="3" t="s">
        <v>52</v>
      </c>
      <c r="H134" s="4" t="s">
        <v>1203</v>
      </c>
      <c r="I134" s="4" t="s">
        <v>194</v>
      </c>
      <c r="J134" s="5" t="s">
        <v>235</v>
      </c>
      <c r="K134" s="6">
        <v>100</v>
      </c>
      <c r="L134" s="4" t="s">
        <v>1276</v>
      </c>
      <c r="M134" s="4" t="s">
        <v>174</v>
      </c>
      <c r="N134" s="4" t="s">
        <v>238</v>
      </c>
      <c r="O134" s="4" t="s">
        <v>99</v>
      </c>
      <c r="P134" s="4" t="s">
        <v>200</v>
      </c>
      <c r="Q134" s="4" t="s">
        <v>49</v>
      </c>
      <c r="R134" s="4">
        <v>1</v>
      </c>
      <c r="S134" s="4">
        <v>1</v>
      </c>
      <c r="T134" s="4">
        <v>1</v>
      </c>
      <c r="U134" s="4">
        <v>1</v>
      </c>
      <c r="V134" s="4">
        <v>1</v>
      </c>
      <c r="W134" s="4">
        <v>1</v>
      </c>
      <c r="X134" s="4">
        <v>1</v>
      </c>
      <c r="Y134" s="4">
        <v>1</v>
      </c>
      <c r="Z134" s="4" t="s">
        <v>140</v>
      </c>
      <c r="AA134" s="4">
        <v>1</v>
      </c>
      <c r="AB134" s="4">
        <v>1</v>
      </c>
      <c r="AC134" s="4">
        <v>1</v>
      </c>
      <c r="AD134" s="4">
        <v>1</v>
      </c>
      <c r="AE134" s="4">
        <v>1</v>
      </c>
      <c r="AF134" s="4">
        <v>1</v>
      </c>
      <c r="AG134" s="4">
        <v>1</v>
      </c>
      <c r="AH134" s="4" t="s">
        <v>140</v>
      </c>
      <c r="AI134" s="4">
        <v>1</v>
      </c>
      <c r="AJ134" s="4">
        <v>1</v>
      </c>
      <c r="AK134" s="4">
        <v>1</v>
      </c>
      <c r="AL134" s="4" t="s">
        <v>140</v>
      </c>
      <c r="AM134" s="4" t="s">
        <v>140</v>
      </c>
      <c r="AN134" s="4" t="s">
        <v>140</v>
      </c>
      <c r="AO134" s="4" t="s">
        <v>1071</v>
      </c>
    </row>
    <row r="135" spans="1:41" hidden="1" x14ac:dyDescent="0.2">
      <c r="A135" s="13">
        <f t="shared" si="4"/>
        <v>6</v>
      </c>
      <c r="B135" s="13">
        <f t="shared" si="5"/>
        <v>2</v>
      </c>
      <c r="C135" s="13" t="str">
        <f>VLOOKUP(B135,Correspondance!$D$3:$E$14,2,FALSE)</f>
        <v>Février</v>
      </c>
      <c r="D135" s="15" t="str">
        <f>VLOOKUP(G135,Correspondance!$A$3:$B$10,2,FALSE)</f>
        <v>ASF</v>
      </c>
      <c r="E135" s="1" t="s">
        <v>1073</v>
      </c>
      <c r="F135" s="2" t="s">
        <v>169</v>
      </c>
      <c r="G135" s="3" t="s">
        <v>61</v>
      </c>
      <c r="H135" s="4" t="s">
        <v>197</v>
      </c>
      <c r="I135" s="4" t="s">
        <v>198</v>
      </c>
      <c r="J135" s="5" t="s">
        <v>61</v>
      </c>
      <c r="K135" s="6">
        <v>100</v>
      </c>
      <c r="L135" s="4" t="s">
        <v>1277</v>
      </c>
      <c r="M135" s="4" t="s">
        <v>245</v>
      </c>
      <c r="N135" s="4" t="s">
        <v>66</v>
      </c>
      <c r="O135" s="4" t="s">
        <v>99</v>
      </c>
      <c r="P135" s="4" t="s">
        <v>239</v>
      </c>
      <c r="Q135" s="4" t="s">
        <v>49</v>
      </c>
      <c r="R135" s="4">
        <v>1</v>
      </c>
      <c r="S135" s="4">
        <v>1</v>
      </c>
      <c r="T135" s="4">
        <v>1</v>
      </c>
      <c r="U135" s="4">
        <v>1</v>
      </c>
      <c r="V135" s="4">
        <v>1</v>
      </c>
      <c r="W135" s="4">
        <v>1</v>
      </c>
      <c r="X135" s="4">
        <v>1</v>
      </c>
      <c r="Y135" s="4" t="s">
        <v>140</v>
      </c>
      <c r="Z135" s="4" t="s">
        <v>140</v>
      </c>
      <c r="AA135" s="4">
        <v>1</v>
      </c>
      <c r="AB135" s="4">
        <v>1</v>
      </c>
      <c r="AC135" s="4">
        <v>1</v>
      </c>
      <c r="AD135" s="4">
        <v>1</v>
      </c>
      <c r="AE135" s="4">
        <v>1</v>
      </c>
      <c r="AF135" s="4" t="s">
        <v>140</v>
      </c>
      <c r="AG135" s="4">
        <v>1</v>
      </c>
      <c r="AH135" s="4" t="s">
        <v>140</v>
      </c>
      <c r="AI135" s="4">
        <v>1</v>
      </c>
      <c r="AJ135" s="4">
        <v>1</v>
      </c>
      <c r="AK135" s="4">
        <v>1</v>
      </c>
      <c r="AL135" s="4" t="s">
        <v>140</v>
      </c>
      <c r="AM135" s="4" t="s">
        <v>140</v>
      </c>
      <c r="AN135" s="4" t="s">
        <v>140</v>
      </c>
      <c r="AO135" s="4"/>
    </row>
    <row r="136" spans="1:41" hidden="1" x14ac:dyDescent="0.2">
      <c r="A136" s="13">
        <f t="shared" si="4"/>
        <v>6</v>
      </c>
      <c r="B136" s="13">
        <f t="shared" si="5"/>
        <v>2</v>
      </c>
      <c r="C136" s="13" t="str">
        <f>VLOOKUP(B136,Correspondance!$D$3:$E$14,2,FALSE)</f>
        <v>Février</v>
      </c>
      <c r="D136" s="15" t="str">
        <f>VLOOKUP(G136,Correspondance!$A$3:$B$10,2,FALSE)</f>
        <v>ASF</v>
      </c>
      <c r="E136" s="1" t="s">
        <v>1073</v>
      </c>
      <c r="F136" s="2" t="s">
        <v>169</v>
      </c>
      <c r="G136" s="3" t="s">
        <v>61</v>
      </c>
      <c r="H136" s="4" t="s">
        <v>201</v>
      </c>
      <c r="I136" s="4" t="s">
        <v>202</v>
      </c>
      <c r="J136" s="5" t="s">
        <v>57</v>
      </c>
      <c r="K136" s="6">
        <v>100</v>
      </c>
      <c r="L136" s="4" t="s">
        <v>1278</v>
      </c>
      <c r="M136" s="4" t="s">
        <v>245</v>
      </c>
      <c r="N136" s="4" t="s">
        <v>46</v>
      </c>
      <c r="O136" s="4" t="s">
        <v>175</v>
      </c>
      <c r="P136" s="4" t="s">
        <v>1279</v>
      </c>
      <c r="Q136" s="4" t="s">
        <v>49</v>
      </c>
      <c r="R136" s="4">
        <v>1</v>
      </c>
      <c r="S136" s="4">
        <v>1</v>
      </c>
      <c r="T136" s="4">
        <v>1</v>
      </c>
      <c r="U136" s="4">
        <v>1</v>
      </c>
      <c r="V136" s="4">
        <v>1</v>
      </c>
      <c r="W136" s="4">
        <v>1</v>
      </c>
      <c r="X136" s="4">
        <v>1</v>
      </c>
      <c r="Y136" s="4" t="s">
        <v>140</v>
      </c>
      <c r="Z136" s="4">
        <v>1</v>
      </c>
      <c r="AA136" s="4">
        <v>1</v>
      </c>
      <c r="AB136" s="4">
        <v>1</v>
      </c>
      <c r="AC136" s="4">
        <v>1</v>
      </c>
      <c r="AD136" s="4">
        <v>1</v>
      </c>
      <c r="AE136" s="4">
        <v>1</v>
      </c>
      <c r="AF136" s="4" t="s">
        <v>140</v>
      </c>
      <c r="AG136" s="4">
        <v>1</v>
      </c>
      <c r="AH136" s="4">
        <v>1</v>
      </c>
      <c r="AI136" s="4">
        <v>1</v>
      </c>
      <c r="AJ136" s="4">
        <v>1</v>
      </c>
      <c r="AK136" s="4">
        <v>1</v>
      </c>
      <c r="AL136" s="4">
        <v>1</v>
      </c>
      <c r="AM136" s="4">
        <v>1</v>
      </c>
      <c r="AN136" s="4">
        <v>1</v>
      </c>
      <c r="AO136" s="4" t="s">
        <v>1095</v>
      </c>
    </row>
    <row r="137" spans="1:41" hidden="1" x14ac:dyDescent="0.2">
      <c r="A137" s="13">
        <f t="shared" si="4"/>
        <v>6</v>
      </c>
      <c r="B137" s="13">
        <f t="shared" si="5"/>
        <v>2</v>
      </c>
      <c r="C137" s="13" t="str">
        <f>VLOOKUP(B137,Correspondance!$D$3:$E$14,2,FALSE)</f>
        <v>Février</v>
      </c>
      <c r="D137" s="15" t="str">
        <f>VLOOKUP(G137,Correspondance!$A$3:$B$10,2,FALSE)</f>
        <v>ASF</v>
      </c>
      <c r="E137" s="1" t="s">
        <v>1073</v>
      </c>
      <c r="F137" s="2" t="s">
        <v>169</v>
      </c>
      <c r="G137" s="3" t="s">
        <v>61</v>
      </c>
      <c r="H137" s="4" t="s">
        <v>130</v>
      </c>
      <c r="I137" s="4" t="s">
        <v>131</v>
      </c>
      <c r="J137" s="5" t="s">
        <v>57</v>
      </c>
      <c r="K137" s="6">
        <v>98</v>
      </c>
      <c r="L137" s="4" t="s">
        <v>1280</v>
      </c>
      <c r="M137" s="4" t="s">
        <v>215</v>
      </c>
      <c r="N137" s="4" t="s">
        <v>46</v>
      </c>
      <c r="O137" s="4" t="s">
        <v>47</v>
      </c>
      <c r="P137" s="4" t="s">
        <v>1281</v>
      </c>
      <c r="Q137" s="4" t="s">
        <v>49</v>
      </c>
      <c r="R137" s="4">
        <v>1</v>
      </c>
      <c r="S137" s="4">
        <v>1</v>
      </c>
      <c r="T137" s="4">
        <v>1</v>
      </c>
      <c r="U137" s="4">
        <v>1</v>
      </c>
      <c r="V137" s="4">
        <v>1</v>
      </c>
      <c r="W137" s="4">
        <v>1</v>
      </c>
      <c r="X137" s="4">
        <v>1</v>
      </c>
      <c r="Y137" s="4" t="s">
        <v>140</v>
      </c>
      <c r="Z137" s="4">
        <v>1</v>
      </c>
      <c r="AA137" s="4">
        <v>1</v>
      </c>
      <c r="AB137" s="4">
        <v>1</v>
      </c>
      <c r="AC137" s="4">
        <v>1</v>
      </c>
      <c r="AD137" s="4">
        <v>1</v>
      </c>
      <c r="AE137" s="4">
        <v>1</v>
      </c>
      <c r="AF137" s="4" t="s">
        <v>140</v>
      </c>
      <c r="AG137" s="4">
        <v>1</v>
      </c>
      <c r="AH137" s="4">
        <v>0</v>
      </c>
      <c r="AI137" s="4">
        <v>1</v>
      </c>
      <c r="AJ137" s="4">
        <v>1</v>
      </c>
      <c r="AK137" s="4">
        <v>1</v>
      </c>
      <c r="AL137" s="4">
        <v>1</v>
      </c>
      <c r="AM137" s="4">
        <v>1</v>
      </c>
      <c r="AN137" s="4">
        <v>1</v>
      </c>
      <c r="AO137" s="4" t="s">
        <v>1079</v>
      </c>
    </row>
    <row r="138" spans="1:41" hidden="1" x14ac:dyDescent="0.2">
      <c r="A138" s="13">
        <f t="shared" si="4"/>
        <v>6</v>
      </c>
      <c r="B138" s="13">
        <f t="shared" si="5"/>
        <v>2</v>
      </c>
      <c r="C138" s="13" t="str">
        <f>VLOOKUP(B138,Correspondance!$D$3:$E$14,2,FALSE)</f>
        <v>Février</v>
      </c>
      <c r="D138" s="15" t="str">
        <f>VLOOKUP(G138,Correspondance!$A$3:$B$10,2,FALSE)</f>
        <v>ASF</v>
      </c>
      <c r="E138" s="1" t="s">
        <v>1073</v>
      </c>
      <c r="F138" s="2" t="s">
        <v>169</v>
      </c>
      <c r="G138" s="3" t="s">
        <v>61</v>
      </c>
      <c r="H138" s="4" t="s">
        <v>1204</v>
      </c>
      <c r="I138" s="4" t="s">
        <v>208</v>
      </c>
      <c r="J138" s="5" t="s">
        <v>61</v>
      </c>
      <c r="K138" s="6">
        <v>100</v>
      </c>
      <c r="L138" s="4" t="s">
        <v>1282</v>
      </c>
      <c r="M138" s="4" t="s">
        <v>223</v>
      </c>
      <c r="N138" s="4" t="s">
        <v>238</v>
      </c>
      <c r="O138" s="4" t="s">
        <v>99</v>
      </c>
      <c r="P138" s="4" t="s">
        <v>705</v>
      </c>
      <c r="Q138" s="4" t="s">
        <v>49</v>
      </c>
      <c r="R138" s="4">
        <v>1</v>
      </c>
      <c r="S138" s="4" t="s">
        <v>140</v>
      </c>
      <c r="T138" s="4" t="s">
        <v>140</v>
      </c>
      <c r="U138" s="4">
        <v>1</v>
      </c>
      <c r="V138" s="4">
        <v>1</v>
      </c>
      <c r="W138" s="4">
        <v>1</v>
      </c>
      <c r="X138" s="4">
        <v>1</v>
      </c>
      <c r="Y138" s="4" t="s">
        <v>140</v>
      </c>
      <c r="Z138" s="4" t="s">
        <v>140</v>
      </c>
      <c r="AA138" s="4">
        <v>1</v>
      </c>
      <c r="AB138" s="4">
        <v>1</v>
      </c>
      <c r="AC138" s="4" t="s">
        <v>140</v>
      </c>
      <c r="AD138" s="4">
        <v>1</v>
      </c>
      <c r="AE138" s="4" t="s">
        <v>140</v>
      </c>
      <c r="AF138" s="4" t="s">
        <v>140</v>
      </c>
      <c r="AG138" s="4" t="s">
        <v>140</v>
      </c>
      <c r="AH138" s="4" t="s">
        <v>140</v>
      </c>
      <c r="AI138" s="4" t="s">
        <v>140</v>
      </c>
      <c r="AJ138" s="4" t="s">
        <v>140</v>
      </c>
      <c r="AK138" s="4" t="s">
        <v>140</v>
      </c>
      <c r="AL138" s="4" t="s">
        <v>140</v>
      </c>
      <c r="AM138" s="4" t="s">
        <v>140</v>
      </c>
      <c r="AN138" s="4" t="s">
        <v>140</v>
      </c>
      <c r="AO138" s="4" t="s">
        <v>1151</v>
      </c>
    </row>
    <row r="139" spans="1:41" hidden="1" x14ac:dyDescent="0.2">
      <c r="A139" s="13">
        <f t="shared" si="4"/>
        <v>6</v>
      </c>
      <c r="B139" s="13">
        <f t="shared" si="5"/>
        <v>2</v>
      </c>
      <c r="C139" s="13" t="str">
        <f>VLOOKUP(B139,Correspondance!$D$3:$E$14,2,FALSE)</f>
        <v>Février</v>
      </c>
      <c r="D139" s="15" t="str">
        <f>VLOOKUP(G139,Correspondance!$A$3:$B$10,2,FALSE)</f>
        <v>ASF</v>
      </c>
      <c r="E139" s="1" t="s">
        <v>1073</v>
      </c>
      <c r="F139" s="2" t="s">
        <v>169</v>
      </c>
      <c r="G139" s="3" t="s">
        <v>61</v>
      </c>
      <c r="H139" s="4" t="s">
        <v>1204</v>
      </c>
      <c r="I139" s="4" t="s">
        <v>208</v>
      </c>
      <c r="J139" s="5" t="s">
        <v>61</v>
      </c>
      <c r="K139" s="6">
        <v>100</v>
      </c>
      <c r="L139" s="4" t="s">
        <v>1283</v>
      </c>
      <c r="M139" s="4" t="s">
        <v>174</v>
      </c>
      <c r="N139" s="4" t="s">
        <v>238</v>
      </c>
      <c r="O139" s="4" t="s">
        <v>99</v>
      </c>
      <c r="P139" s="4" t="s">
        <v>1284</v>
      </c>
      <c r="Q139" s="4" t="s">
        <v>49</v>
      </c>
      <c r="R139" s="4">
        <v>1</v>
      </c>
      <c r="S139" s="4">
        <v>1</v>
      </c>
      <c r="T139" s="4">
        <v>1</v>
      </c>
      <c r="U139" s="4">
        <v>1</v>
      </c>
      <c r="V139" s="4">
        <v>1</v>
      </c>
      <c r="W139" s="4">
        <v>1</v>
      </c>
      <c r="X139" s="4">
        <v>1</v>
      </c>
      <c r="Y139" s="4">
        <v>1</v>
      </c>
      <c r="Z139" s="4" t="s">
        <v>140</v>
      </c>
      <c r="AA139" s="4">
        <v>1</v>
      </c>
      <c r="AB139" s="4">
        <v>1</v>
      </c>
      <c r="AC139" s="4">
        <v>1</v>
      </c>
      <c r="AD139" s="4">
        <v>1</v>
      </c>
      <c r="AE139" s="4">
        <v>1</v>
      </c>
      <c r="AF139" s="4">
        <v>1</v>
      </c>
      <c r="AG139" s="4">
        <v>1</v>
      </c>
      <c r="AH139" s="4" t="s">
        <v>140</v>
      </c>
      <c r="AI139" s="4">
        <v>1</v>
      </c>
      <c r="AJ139" s="4">
        <v>1</v>
      </c>
      <c r="AK139" s="4">
        <v>1</v>
      </c>
      <c r="AL139" s="4" t="s">
        <v>140</v>
      </c>
      <c r="AM139" s="4" t="s">
        <v>140</v>
      </c>
      <c r="AN139" s="4" t="s">
        <v>140</v>
      </c>
      <c r="AO139" s="4" t="s">
        <v>1151</v>
      </c>
    </row>
    <row r="140" spans="1:41" hidden="1" x14ac:dyDescent="0.2">
      <c r="A140" s="13">
        <f t="shared" si="4"/>
        <v>7</v>
      </c>
      <c r="B140" s="13">
        <f t="shared" si="5"/>
        <v>2</v>
      </c>
      <c r="C140" s="13" t="str">
        <f>VLOOKUP(B140,Correspondance!$D$3:$E$14,2,FALSE)</f>
        <v>Février</v>
      </c>
      <c r="D140" s="15" t="str">
        <f>VLOOKUP(G140,Correspondance!$A$3:$B$10,2,FALSE)</f>
        <v>ASF</v>
      </c>
      <c r="E140" s="1" t="s">
        <v>1113</v>
      </c>
      <c r="F140" s="2" t="s">
        <v>169</v>
      </c>
      <c r="G140" s="3" t="s">
        <v>41</v>
      </c>
      <c r="H140" s="4" t="s">
        <v>905</v>
      </c>
      <c r="I140" s="4" t="s">
        <v>170</v>
      </c>
      <c r="J140" s="5" t="s">
        <v>41</v>
      </c>
      <c r="K140" s="6">
        <v>97</v>
      </c>
      <c r="L140" s="4" t="s">
        <v>1285</v>
      </c>
      <c r="M140" s="4" t="s">
        <v>174</v>
      </c>
      <c r="N140" s="4" t="s">
        <v>66</v>
      </c>
      <c r="O140" s="4" t="s">
        <v>99</v>
      </c>
      <c r="P140" s="4" t="s">
        <v>212</v>
      </c>
      <c r="Q140" s="4" t="s">
        <v>49</v>
      </c>
      <c r="R140" s="4">
        <v>1</v>
      </c>
      <c r="S140" s="4">
        <v>1</v>
      </c>
      <c r="T140" s="4">
        <v>1</v>
      </c>
      <c r="U140" s="4">
        <v>1</v>
      </c>
      <c r="V140" s="4">
        <v>1</v>
      </c>
      <c r="W140" s="4">
        <v>1</v>
      </c>
      <c r="X140" s="4">
        <v>1</v>
      </c>
      <c r="Y140" s="4">
        <v>1</v>
      </c>
      <c r="Z140" s="4" t="s">
        <v>140</v>
      </c>
      <c r="AA140" s="4">
        <v>1</v>
      </c>
      <c r="AB140" s="4">
        <v>1</v>
      </c>
      <c r="AC140" s="4">
        <v>1</v>
      </c>
      <c r="AD140" s="4">
        <v>1</v>
      </c>
      <c r="AE140" s="4">
        <v>1</v>
      </c>
      <c r="AF140" s="4" t="s">
        <v>140</v>
      </c>
      <c r="AG140" s="4">
        <v>1</v>
      </c>
      <c r="AH140" s="4">
        <v>0</v>
      </c>
      <c r="AI140" s="4">
        <v>1</v>
      </c>
      <c r="AJ140" s="4">
        <v>1</v>
      </c>
      <c r="AK140" s="4">
        <v>1</v>
      </c>
      <c r="AL140" s="4" t="s">
        <v>140</v>
      </c>
      <c r="AM140" s="4" t="s">
        <v>140</v>
      </c>
      <c r="AN140" s="4" t="s">
        <v>140</v>
      </c>
      <c r="AO140" s="4" t="s">
        <v>1236</v>
      </c>
    </row>
    <row r="141" spans="1:41" hidden="1" x14ac:dyDescent="0.2">
      <c r="A141" s="13">
        <f t="shared" si="4"/>
        <v>7</v>
      </c>
      <c r="B141" s="13">
        <f t="shared" si="5"/>
        <v>2</v>
      </c>
      <c r="C141" s="13" t="str">
        <f>VLOOKUP(B141,Correspondance!$D$3:$E$14,2,FALSE)</f>
        <v>Février</v>
      </c>
      <c r="D141" s="15" t="str">
        <f>VLOOKUP(G141,Correspondance!$A$3:$B$10,2,FALSE)</f>
        <v>ASF</v>
      </c>
      <c r="E141" s="1" t="s">
        <v>1113</v>
      </c>
      <c r="F141" s="2" t="s">
        <v>169</v>
      </c>
      <c r="G141" s="3" t="s">
        <v>41</v>
      </c>
      <c r="H141" s="4" t="s">
        <v>905</v>
      </c>
      <c r="I141" s="4" t="s">
        <v>170</v>
      </c>
      <c r="J141" s="5" t="s">
        <v>41</v>
      </c>
      <c r="K141" s="6">
        <v>100</v>
      </c>
      <c r="L141" s="4" t="s">
        <v>1286</v>
      </c>
      <c r="M141" s="4" t="s">
        <v>237</v>
      </c>
      <c r="N141" s="4" t="s">
        <v>66</v>
      </c>
      <c r="O141" s="4" t="s">
        <v>99</v>
      </c>
      <c r="P141" s="4" t="s">
        <v>92</v>
      </c>
      <c r="Q141" s="4" t="s">
        <v>49</v>
      </c>
      <c r="R141" s="4">
        <v>1</v>
      </c>
      <c r="S141" s="4">
        <v>1</v>
      </c>
      <c r="T141" s="4">
        <v>1</v>
      </c>
      <c r="U141" s="4">
        <v>1</v>
      </c>
      <c r="V141" s="4">
        <v>1</v>
      </c>
      <c r="W141" s="4">
        <v>1</v>
      </c>
      <c r="X141" s="4">
        <v>0</v>
      </c>
      <c r="Y141" s="4">
        <v>1</v>
      </c>
      <c r="Z141" s="4" t="s">
        <v>140</v>
      </c>
      <c r="AA141" s="4">
        <v>0</v>
      </c>
      <c r="AB141" s="4">
        <v>1</v>
      </c>
      <c r="AC141" s="4">
        <v>1</v>
      </c>
      <c r="AD141" s="4">
        <v>1</v>
      </c>
      <c r="AE141" s="4">
        <v>1</v>
      </c>
      <c r="AF141" s="4" t="s">
        <v>140</v>
      </c>
      <c r="AG141" s="4">
        <v>1</v>
      </c>
      <c r="AH141" s="4" t="s">
        <v>140</v>
      </c>
      <c r="AI141" s="4">
        <v>1</v>
      </c>
      <c r="AJ141" s="4">
        <v>1</v>
      </c>
      <c r="AK141" s="4" t="s">
        <v>140</v>
      </c>
      <c r="AL141" s="4" t="s">
        <v>140</v>
      </c>
      <c r="AM141" s="4" t="s">
        <v>140</v>
      </c>
      <c r="AN141" s="4" t="s">
        <v>140</v>
      </c>
      <c r="AO141" s="4" t="s">
        <v>1109</v>
      </c>
    </row>
    <row r="142" spans="1:41" hidden="1" x14ac:dyDescent="0.2">
      <c r="A142" s="13">
        <f t="shared" si="4"/>
        <v>7</v>
      </c>
      <c r="B142" s="13">
        <f t="shared" si="5"/>
        <v>2</v>
      </c>
      <c r="C142" s="13" t="str">
        <f>VLOOKUP(B142,Correspondance!$D$3:$E$14,2,FALSE)</f>
        <v>Février</v>
      </c>
      <c r="D142" s="15" t="str">
        <f>VLOOKUP(G142,Correspondance!$A$3:$B$10,2,FALSE)</f>
        <v>ASF</v>
      </c>
      <c r="E142" s="1" t="s">
        <v>1113</v>
      </c>
      <c r="F142" s="2" t="s">
        <v>169</v>
      </c>
      <c r="G142" s="3" t="s">
        <v>41</v>
      </c>
      <c r="H142" s="4" t="s">
        <v>300</v>
      </c>
      <c r="I142" s="4" t="s">
        <v>301</v>
      </c>
      <c r="J142" s="5" t="s">
        <v>41</v>
      </c>
      <c r="K142" s="6">
        <v>100</v>
      </c>
      <c r="L142" s="4" t="s">
        <v>1287</v>
      </c>
      <c r="M142" s="4" t="s">
        <v>174</v>
      </c>
      <c r="N142" s="4" t="s">
        <v>66</v>
      </c>
      <c r="O142" s="4" t="s">
        <v>99</v>
      </c>
      <c r="P142" s="4" t="s">
        <v>178</v>
      </c>
      <c r="Q142" s="4" t="s">
        <v>49</v>
      </c>
      <c r="R142" s="4">
        <v>1</v>
      </c>
      <c r="S142" s="4">
        <v>1</v>
      </c>
      <c r="T142" s="4">
        <v>1</v>
      </c>
      <c r="U142" s="4">
        <v>1</v>
      </c>
      <c r="V142" s="4">
        <v>1</v>
      </c>
      <c r="W142" s="4">
        <v>1</v>
      </c>
      <c r="X142" s="4">
        <v>1</v>
      </c>
      <c r="Y142" s="4" t="s">
        <v>140</v>
      </c>
      <c r="Z142" s="4" t="s">
        <v>140</v>
      </c>
      <c r="AA142" s="4">
        <v>1</v>
      </c>
      <c r="AB142" s="4">
        <v>1</v>
      </c>
      <c r="AC142" s="4">
        <v>1</v>
      </c>
      <c r="AD142" s="4">
        <v>1</v>
      </c>
      <c r="AE142" s="4">
        <v>1</v>
      </c>
      <c r="AF142" s="4" t="s">
        <v>140</v>
      </c>
      <c r="AG142" s="4">
        <v>1</v>
      </c>
      <c r="AH142" s="4" t="s">
        <v>140</v>
      </c>
      <c r="AI142" s="4">
        <v>1</v>
      </c>
      <c r="AJ142" s="4">
        <v>1</v>
      </c>
      <c r="AK142" s="4">
        <v>1</v>
      </c>
      <c r="AL142" s="4">
        <v>1</v>
      </c>
      <c r="AM142" s="4" t="s">
        <v>140</v>
      </c>
      <c r="AN142" s="4" t="s">
        <v>140</v>
      </c>
      <c r="AO142" s="4" t="s">
        <v>1071</v>
      </c>
    </row>
    <row r="143" spans="1:41" hidden="1" x14ac:dyDescent="0.2">
      <c r="A143" s="13">
        <f t="shared" si="4"/>
        <v>7</v>
      </c>
      <c r="B143" s="13">
        <f t="shared" si="5"/>
        <v>2</v>
      </c>
      <c r="C143" s="13" t="str">
        <f>VLOOKUP(B143,Correspondance!$D$3:$E$14,2,FALSE)</f>
        <v>Février</v>
      </c>
      <c r="D143" s="15" t="str">
        <f>VLOOKUP(G143,Correspondance!$A$3:$B$10,2,FALSE)</f>
        <v>ASF</v>
      </c>
      <c r="E143" s="1" t="s">
        <v>1113</v>
      </c>
      <c r="F143" s="2" t="s">
        <v>169</v>
      </c>
      <c r="G143" s="3" t="s">
        <v>41</v>
      </c>
      <c r="H143" s="4" t="s">
        <v>300</v>
      </c>
      <c r="I143" s="4" t="s">
        <v>301</v>
      </c>
      <c r="J143" s="5" t="s">
        <v>41</v>
      </c>
      <c r="K143" s="6">
        <v>100</v>
      </c>
      <c r="L143" s="4" t="s">
        <v>1288</v>
      </c>
      <c r="M143" s="4" t="s">
        <v>174</v>
      </c>
      <c r="N143" s="4" t="s">
        <v>66</v>
      </c>
      <c r="O143" s="4" t="s">
        <v>99</v>
      </c>
      <c r="P143" s="4" t="s">
        <v>188</v>
      </c>
      <c r="Q143" s="4" t="s">
        <v>49</v>
      </c>
      <c r="R143" s="4">
        <v>1</v>
      </c>
      <c r="S143" s="4">
        <v>1</v>
      </c>
      <c r="T143" s="4">
        <v>1</v>
      </c>
      <c r="U143" s="4">
        <v>1</v>
      </c>
      <c r="V143" s="4">
        <v>1</v>
      </c>
      <c r="W143" s="4">
        <v>1</v>
      </c>
      <c r="X143" s="4">
        <v>1</v>
      </c>
      <c r="Y143" s="4">
        <v>1</v>
      </c>
      <c r="Z143" s="4" t="s">
        <v>140</v>
      </c>
      <c r="AA143" s="4">
        <v>1</v>
      </c>
      <c r="AB143" s="4">
        <v>1</v>
      </c>
      <c r="AC143" s="4">
        <v>1</v>
      </c>
      <c r="AD143" s="4">
        <v>1</v>
      </c>
      <c r="AE143" s="4">
        <v>1</v>
      </c>
      <c r="AF143" s="4" t="s">
        <v>140</v>
      </c>
      <c r="AG143" s="4">
        <v>1</v>
      </c>
      <c r="AH143" s="4">
        <v>1</v>
      </c>
      <c r="AI143" s="4">
        <v>1</v>
      </c>
      <c r="AJ143" s="4">
        <v>1</v>
      </c>
      <c r="AK143" s="4">
        <v>1</v>
      </c>
      <c r="AL143" s="4" t="s">
        <v>140</v>
      </c>
      <c r="AM143" s="4" t="s">
        <v>140</v>
      </c>
      <c r="AN143" s="4" t="s">
        <v>140</v>
      </c>
      <c r="AO143" s="4" t="s">
        <v>1071</v>
      </c>
    </row>
    <row r="144" spans="1:41" hidden="1" x14ac:dyDescent="0.2">
      <c r="A144" s="13">
        <f t="shared" si="4"/>
        <v>7</v>
      </c>
      <c r="B144" s="13">
        <f t="shared" si="5"/>
        <v>2</v>
      </c>
      <c r="C144" s="13" t="str">
        <f>VLOOKUP(B144,Correspondance!$D$3:$E$14,2,FALSE)</f>
        <v>Février</v>
      </c>
      <c r="D144" s="15" t="str">
        <f>VLOOKUP(G144,Correspondance!$A$3:$B$10,2,FALSE)</f>
        <v>ASF</v>
      </c>
      <c r="E144" s="1" t="s">
        <v>1113</v>
      </c>
      <c r="F144" s="2" t="s">
        <v>169</v>
      </c>
      <c r="G144" s="3" t="s">
        <v>41</v>
      </c>
      <c r="H144" s="4" t="s">
        <v>527</v>
      </c>
      <c r="I144" s="4" t="s">
        <v>528</v>
      </c>
      <c r="J144" s="5" t="s">
        <v>41</v>
      </c>
      <c r="K144" s="6">
        <v>97</v>
      </c>
      <c r="L144" s="4" t="s">
        <v>1289</v>
      </c>
      <c r="M144" s="4" t="s">
        <v>245</v>
      </c>
      <c r="N144" s="4" t="s">
        <v>66</v>
      </c>
      <c r="O144" s="4" t="s">
        <v>99</v>
      </c>
      <c r="P144" s="4" t="s">
        <v>1290</v>
      </c>
      <c r="Q144" s="4" t="s">
        <v>49</v>
      </c>
      <c r="R144" s="4">
        <v>1</v>
      </c>
      <c r="S144" s="4">
        <v>1</v>
      </c>
      <c r="T144" s="4">
        <v>1</v>
      </c>
      <c r="U144" s="4">
        <v>1</v>
      </c>
      <c r="V144" s="4">
        <v>1</v>
      </c>
      <c r="W144" s="4">
        <v>1</v>
      </c>
      <c r="X144" s="4">
        <v>1</v>
      </c>
      <c r="Y144" s="4">
        <v>1</v>
      </c>
      <c r="Z144" s="4" t="s">
        <v>140</v>
      </c>
      <c r="AA144" s="4">
        <v>1</v>
      </c>
      <c r="AB144" s="4">
        <v>1</v>
      </c>
      <c r="AC144" s="4">
        <v>1</v>
      </c>
      <c r="AD144" s="4">
        <v>1</v>
      </c>
      <c r="AE144" s="4">
        <v>1</v>
      </c>
      <c r="AF144" s="4" t="s">
        <v>140</v>
      </c>
      <c r="AG144" s="4">
        <v>1</v>
      </c>
      <c r="AH144" s="4">
        <v>0</v>
      </c>
      <c r="AI144" s="4">
        <v>1</v>
      </c>
      <c r="AJ144" s="4">
        <v>1</v>
      </c>
      <c r="AK144" s="4">
        <v>1</v>
      </c>
      <c r="AL144" s="4">
        <v>1</v>
      </c>
      <c r="AM144" s="4" t="s">
        <v>140</v>
      </c>
      <c r="AN144" s="4" t="s">
        <v>140</v>
      </c>
      <c r="AO144" s="4" t="s">
        <v>1095</v>
      </c>
    </row>
    <row r="145" spans="1:41" hidden="1" x14ac:dyDescent="0.2">
      <c r="A145" s="13">
        <f t="shared" si="4"/>
        <v>7</v>
      </c>
      <c r="B145" s="13">
        <f t="shared" si="5"/>
        <v>2</v>
      </c>
      <c r="C145" s="13" t="str">
        <f>VLOOKUP(B145,Correspondance!$D$3:$E$14,2,FALSE)</f>
        <v>Février</v>
      </c>
      <c r="D145" s="15" t="str">
        <f>VLOOKUP(G145,Correspondance!$A$3:$B$10,2,FALSE)</f>
        <v>ASF</v>
      </c>
      <c r="E145" s="1" t="s">
        <v>1113</v>
      </c>
      <c r="F145" s="2" t="s">
        <v>169</v>
      </c>
      <c r="G145" s="3" t="s">
        <v>41</v>
      </c>
      <c r="H145" s="4" t="s">
        <v>527</v>
      </c>
      <c r="I145" s="4" t="s">
        <v>528</v>
      </c>
      <c r="J145" s="5" t="s">
        <v>41</v>
      </c>
      <c r="K145" s="6">
        <v>100</v>
      </c>
      <c r="L145" s="4" t="s">
        <v>1291</v>
      </c>
      <c r="M145" s="4" t="s">
        <v>215</v>
      </c>
      <c r="N145" s="4" t="s">
        <v>66</v>
      </c>
      <c r="O145" s="4" t="s">
        <v>99</v>
      </c>
      <c r="P145" s="4" t="s">
        <v>1292</v>
      </c>
      <c r="Q145" s="4" t="s">
        <v>49</v>
      </c>
      <c r="R145" s="4">
        <v>1</v>
      </c>
      <c r="S145" s="4">
        <v>1</v>
      </c>
      <c r="T145" s="4">
        <v>1</v>
      </c>
      <c r="U145" s="4">
        <v>1</v>
      </c>
      <c r="V145" s="4">
        <v>1</v>
      </c>
      <c r="W145" s="4">
        <v>1</v>
      </c>
      <c r="X145" s="4">
        <v>1</v>
      </c>
      <c r="Y145" s="4" t="s">
        <v>140</v>
      </c>
      <c r="Z145" s="4" t="s">
        <v>140</v>
      </c>
      <c r="AA145" s="4">
        <v>1</v>
      </c>
      <c r="AB145" s="4">
        <v>1</v>
      </c>
      <c r="AC145" s="4">
        <v>1</v>
      </c>
      <c r="AD145" s="4">
        <v>1</v>
      </c>
      <c r="AE145" s="4">
        <v>1</v>
      </c>
      <c r="AF145" s="4" t="s">
        <v>140</v>
      </c>
      <c r="AG145" s="4">
        <v>1</v>
      </c>
      <c r="AH145" s="4" t="s">
        <v>140</v>
      </c>
      <c r="AI145" s="4">
        <v>1</v>
      </c>
      <c r="AJ145" s="4">
        <v>1</v>
      </c>
      <c r="AK145" s="4">
        <v>1</v>
      </c>
      <c r="AL145" s="4">
        <v>1</v>
      </c>
      <c r="AM145" s="4" t="s">
        <v>140</v>
      </c>
      <c r="AN145" s="4" t="s">
        <v>140</v>
      </c>
      <c r="AO145" s="4" t="s">
        <v>1095</v>
      </c>
    </row>
    <row r="146" spans="1:41" hidden="1" x14ac:dyDescent="0.2">
      <c r="A146" s="13">
        <f t="shared" si="4"/>
        <v>7</v>
      </c>
      <c r="B146" s="13">
        <f t="shared" si="5"/>
        <v>2</v>
      </c>
      <c r="C146" s="13" t="str">
        <f>VLOOKUP(B146,Correspondance!$D$3:$E$14,2,FALSE)</f>
        <v>Février</v>
      </c>
      <c r="D146" s="15" t="str">
        <f>VLOOKUP(G146,Correspondance!$A$3:$B$10,2,FALSE)</f>
        <v>ASF</v>
      </c>
      <c r="E146" s="1" t="s">
        <v>1113</v>
      </c>
      <c r="F146" s="2" t="s">
        <v>169</v>
      </c>
      <c r="G146" s="3" t="s">
        <v>41</v>
      </c>
      <c r="H146" s="4" t="s">
        <v>1293</v>
      </c>
      <c r="I146" s="4" t="s">
        <v>1294</v>
      </c>
      <c r="J146" s="5" t="s">
        <v>41</v>
      </c>
      <c r="K146" s="6">
        <v>100</v>
      </c>
      <c r="L146" s="4" t="s">
        <v>1295</v>
      </c>
      <c r="M146" s="4" t="s">
        <v>174</v>
      </c>
      <c r="N146" s="4" t="s">
        <v>66</v>
      </c>
      <c r="O146" s="4" t="s">
        <v>47</v>
      </c>
      <c r="P146" s="4" t="s">
        <v>534</v>
      </c>
      <c r="Q146" s="4" t="s">
        <v>49</v>
      </c>
      <c r="R146" s="4">
        <v>1</v>
      </c>
      <c r="S146" s="4">
        <v>1</v>
      </c>
      <c r="T146" s="4">
        <v>1</v>
      </c>
      <c r="U146" s="4">
        <v>1</v>
      </c>
      <c r="V146" s="4">
        <v>1</v>
      </c>
      <c r="W146" s="4">
        <v>1</v>
      </c>
      <c r="X146" s="4">
        <v>1</v>
      </c>
      <c r="Y146" s="4">
        <v>1</v>
      </c>
      <c r="Z146" s="4">
        <v>1</v>
      </c>
      <c r="AA146" s="4">
        <v>1</v>
      </c>
      <c r="AB146" s="4">
        <v>1</v>
      </c>
      <c r="AC146" s="4">
        <v>1</v>
      </c>
      <c r="AD146" s="4">
        <v>1</v>
      </c>
      <c r="AE146" s="4">
        <v>1</v>
      </c>
      <c r="AF146" s="4" t="s">
        <v>140</v>
      </c>
      <c r="AG146" s="4">
        <v>1</v>
      </c>
      <c r="AH146" s="4" t="s">
        <v>140</v>
      </c>
      <c r="AI146" s="4">
        <v>1</v>
      </c>
      <c r="AJ146" s="4">
        <v>1</v>
      </c>
      <c r="AK146" s="4">
        <v>1</v>
      </c>
      <c r="AL146" s="4">
        <v>1</v>
      </c>
      <c r="AM146" s="4">
        <v>1</v>
      </c>
      <c r="AN146" s="4" t="s">
        <v>140</v>
      </c>
      <c r="AO146" s="4" t="s">
        <v>1085</v>
      </c>
    </row>
    <row r="147" spans="1:41" hidden="1" x14ac:dyDescent="0.2">
      <c r="A147" s="13">
        <f t="shared" si="4"/>
        <v>7</v>
      </c>
      <c r="B147" s="13">
        <f t="shared" si="5"/>
        <v>2</v>
      </c>
      <c r="C147" s="13" t="str">
        <f>VLOOKUP(B147,Correspondance!$D$3:$E$14,2,FALSE)</f>
        <v>Février</v>
      </c>
      <c r="D147" s="15" t="str">
        <f>VLOOKUP(G147,Correspondance!$A$3:$B$10,2,FALSE)</f>
        <v>ASF</v>
      </c>
      <c r="E147" s="1" t="s">
        <v>1113</v>
      </c>
      <c r="F147" s="2" t="s">
        <v>169</v>
      </c>
      <c r="G147" s="3" t="s">
        <v>41</v>
      </c>
      <c r="H147" s="4" t="s">
        <v>1293</v>
      </c>
      <c r="I147" s="4" t="s">
        <v>1294</v>
      </c>
      <c r="J147" s="5" t="s">
        <v>41</v>
      </c>
      <c r="K147" s="6">
        <v>100</v>
      </c>
      <c r="L147" s="4" t="s">
        <v>1296</v>
      </c>
      <c r="M147" s="4" t="s">
        <v>215</v>
      </c>
      <c r="N147" s="4" t="s">
        <v>66</v>
      </c>
      <c r="O147" s="4" t="s">
        <v>74</v>
      </c>
      <c r="P147" s="4" t="s">
        <v>665</v>
      </c>
      <c r="Q147" s="4" t="s">
        <v>49</v>
      </c>
      <c r="R147" s="4">
        <v>1</v>
      </c>
      <c r="S147" s="4">
        <v>1</v>
      </c>
      <c r="T147" s="4">
        <v>1</v>
      </c>
      <c r="U147" s="4">
        <v>1</v>
      </c>
      <c r="V147" s="4">
        <v>1</v>
      </c>
      <c r="W147" s="4">
        <v>1</v>
      </c>
      <c r="X147" s="4">
        <v>1</v>
      </c>
      <c r="Y147" s="4">
        <v>1</v>
      </c>
      <c r="Z147" s="4">
        <v>1</v>
      </c>
      <c r="AA147" s="4">
        <v>1</v>
      </c>
      <c r="AB147" s="4">
        <v>1</v>
      </c>
      <c r="AC147" s="4">
        <v>1</v>
      </c>
      <c r="AD147" s="4">
        <v>1</v>
      </c>
      <c r="AE147" s="4">
        <v>1</v>
      </c>
      <c r="AF147" s="4" t="s">
        <v>140</v>
      </c>
      <c r="AG147" s="4">
        <v>1</v>
      </c>
      <c r="AH147" s="4" t="s">
        <v>140</v>
      </c>
      <c r="AI147" s="4">
        <v>1</v>
      </c>
      <c r="AJ147" s="4">
        <v>1</v>
      </c>
      <c r="AK147" s="4">
        <v>1</v>
      </c>
      <c r="AL147" s="4">
        <v>1</v>
      </c>
      <c r="AM147" s="4" t="s">
        <v>140</v>
      </c>
      <c r="AN147" s="4" t="s">
        <v>140</v>
      </c>
      <c r="AO147" s="4" t="s">
        <v>1085</v>
      </c>
    </row>
    <row r="148" spans="1:41" ht="25.5" hidden="1" x14ac:dyDescent="0.2">
      <c r="A148" s="13">
        <f t="shared" si="4"/>
        <v>7</v>
      </c>
      <c r="B148" s="13">
        <f t="shared" si="5"/>
        <v>2</v>
      </c>
      <c r="C148" s="13" t="str">
        <f>VLOOKUP(B148,Correspondance!$D$3:$E$14,2,FALSE)</f>
        <v>Février</v>
      </c>
      <c r="D148" s="15" t="str">
        <f>VLOOKUP(G148,Correspondance!$A$3:$B$10,2,FALSE)</f>
        <v>ASF</v>
      </c>
      <c r="E148" s="1" t="s">
        <v>1236</v>
      </c>
      <c r="F148" s="2" t="s">
        <v>169</v>
      </c>
      <c r="G148" s="3" t="s">
        <v>41</v>
      </c>
      <c r="H148" s="4" t="s">
        <v>532</v>
      </c>
      <c r="I148" s="4" t="s">
        <v>533</v>
      </c>
      <c r="J148" s="5" t="s">
        <v>57</v>
      </c>
      <c r="K148" s="6">
        <v>100</v>
      </c>
      <c r="L148" s="4" t="s">
        <v>1297</v>
      </c>
      <c r="M148" s="4" t="s">
        <v>552</v>
      </c>
      <c r="N148" s="4" t="s">
        <v>114</v>
      </c>
      <c r="O148" s="4" t="s">
        <v>175</v>
      </c>
      <c r="P148" s="4" t="s">
        <v>77</v>
      </c>
      <c r="Q148" s="4" t="s">
        <v>49</v>
      </c>
      <c r="R148" s="4">
        <v>1</v>
      </c>
      <c r="S148" s="4">
        <v>1</v>
      </c>
      <c r="T148" s="4">
        <v>1</v>
      </c>
      <c r="U148" s="4">
        <v>1</v>
      </c>
      <c r="V148" s="4">
        <v>1</v>
      </c>
      <c r="W148" s="4">
        <v>1</v>
      </c>
      <c r="X148" s="4">
        <v>1</v>
      </c>
      <c r="Y148" s="4" t="s">
        <v>140</v>
      </c>
      <c r="Z148" s="4">
        <v>1</v>
      </c>
      <c r="AA148" s="4">
        <v>1</v>
      </c>
      <c r="AB148" s="4">
        <v>1</v>
      </c>
      <c r="AC148" s="4">
        <v>1</v>
      </c>
      <c r="AD148" s="4">
        <v>1</v>
      </c>
      <c r="AE148" s="4">
        <v>1</v>
      </c>
      <c r="AF148" s="4" t="s">
        <v>140</v>
      </c>
      <c r="AG148" s="4">
        <v>1</v>
      </c>
      <c r="AH148" s="4">
        <v>1</v>
      </c>
      <c r="AI148" s="4">
        <v>1</v>
      </c>
      <c r="AJ148" s="4">
        <v>1</v>
      </c>
      <c r="AK148" s="4">
        <v>1</v>
      </c>
      <c r="AL148" s="4">
        <v>1</v>
      </c>
      <c r="AM148" s="4">
        <v>1</v>
      </c>
      <c r="AN148" s="4">
        <v>1</v>
      </c>
      <c r="AO148" s="4" t="s">
        <v>1095</v>
      </c>
    </row>
    <row r="149" spans="1:41" hidden="1" x14ac:dyDescent="0.2">
      <c r="A149" s="13">
        <f t="shared" si="4"/>
        <v>7</v>
      </c>
      <c r="B149" s="13">
        <f t="shared" si="5"/>
        <v>2</v>
      </c>
      <c r="C149" s="13" t="str">
        <f>VLOOKUP(B149,Correspondance!$D$3:$E$14,2,FALSE)</f>
        <v>Février</v>
      </c>
      <c r="D149" s="15" t="str">
        <f>VLOOKUP(G149,Correspondance!$A$3:$B$10,2,FALSE)</f>
        <v>ASF</v>
      </c>
      <c r="E149" s="1" t="s">
        <v>1236</v>
      </c>
      <c r="F149" s="2" t="s">
        <v>169</v>
      </c>
      <c r="G149" s="3" t="s">
        <v>41</v>
      </c>
      <c r="H149" s="4" t="s">
        <v>527</v>
      </c>
      <c r="I149" s="4" t="s">
        <v>528</v>
      </c>
      <c r="J149" s="5" t="s">
        <v>57</v>
      </c>
      <c r="K149" s="6">
        <v>100</v>
      </c>
      <c r="L149" s="4" t="s">
        <v>1298</v>
      </c>
      <c r="M149" s="4" t="s">
        <v>174</v>
      </c>
      <c r="N149" s="4" t="s">
        <v>114</v>
      </c>
      <c r="O149" s="4" t="s">
        <v>175</v>
      </c>
      <c r="P149" s="4" t="s">
        <v>547</v>
      </c>
      <c r="Q149" s="4" t="s">
        <v>49</v>
      </c>
      <c r="R149" s="4">
        <v>1</v>
      </c>
      <c r="S149" s="4">
        <v>1</v>
      </c>
      <c r="T149" s="4">
        <v>1</v>
      </c>
      <c r="U149" s="4">
        <v>1</v>
      </c>
      <c r="V149" s="4">
        <v>1</v>
      </c>
      <c r="W149" s="4">
        <v>1</v>
      </c>
      <c r="X149" s="4">
        <v>1</v>
      </c>
      <c r="Y149" s="4" t="s">
        <v>140</v>
      </c>
      <c r="Z149" s="4">
        <v>1</v>
      </c>
      <c r="AA149" s="4">
        <v>1</v>
      </c>
      <c r="AB149" s="4">
        <v>1</v>
      </c>
      <c r="AC149" s="4">
        <v>1</v>
      </c>
      <c r="AD149" s="4">
        <v>1</v>
      </c>
      <c r="AE149" s="4">
        <v>1</v>
      </c>
      <c r="AF149" s="4" t="s">
        <v>140</v>
      </c>
      <c r="AG149" s="4">
        <v>1</v>
      </c>
      <c r="AH149" s="4">
        <v>1</v>
      </c>
      <c r="AI149" s="4">
        <v>1</v>
      </c>
      <c r="AJ149" s="4">
        <v>1</v>
      </c>
      <c r="AK149" s="4">
        <v>1</v>
      </c>
      <c r="AL149" s="4">
        <v>1</v>
      </c>
      <c r="AM149" s="4">
        <v>1</v>
      </c>
      <c r="AN149" s="4">
        <v>1</v>
      </c>
      <c r="AO149" s="4" t="s">
        <v>1095</v>
      </c>
    </row>
    <row r="150" spans="1:41" hidden="1" x14ac:dyDescent="0.2">
      <c r="A150" s="13">
        <f t="shared" si="4"/>
        <v>7</v>
      </c>
      <c r="B150" s="13">
        <f t="shared" si="5"/>
        <v>2</v>
      </c>
      <c r="C150" s="13" t="str">
        <f>VLOOKUP(B150,Correspondance!$D$3:$E$14,2,FALSE)</f>
        <v>Février</v>
      </c>
      <c r="D150" s="15" t="str">
        <f>VLOOKUP(G150,Correspondance!$A$3:$B$10,2,FALSE)</f>
        <v>ASF</v>
      </c>
      <c r="E150" s="1" t="s">
        <v>1236</v>
      </c>
      <c r="F150" s="2" t="s">
        <v>169</v>
      </c>
      <c r="G150" s="3" t="s">
        <v>41</v>
      </c>
      <c r="H150" s="4" t="s">
        <v>42</v>
      </c>
      <c r="I150" s="4" t="s">
        <v>43</v>
      </c>
      <c r="J150" s="5" t="s">
        <v>41</v>
      </c>
      <c r="K150" s="6">
        <v>100</v>
      </c>
      <c r="L150" s="4" t="s">
        <v>1299</v>
      </c>
      <c r="M150" s="4" t="s">
        <v>174</v>
      </c>
      <c r="N150" s="4" t="s">
        <v>114</v>
      </c>
      <c r="O150" s="4" t="s">
        <v>175</v>
      </c>
      <c r="P150" s="4" t="s">
        <v>553</v>
      </c>
      <c r="Q150" s="4" t="s">
        <v>49</v>
      </c>
      <c r="R150" s="4">
        <v>1</v>
      </c>
      <c r="S150" s="4">
        <v>1</v>
      </c>
      <c r="T150" s="4">
        <v>1</v>
      </c>
      <c r="U150" s="4">
        <v>1</v>
      </c>
      <c r="V150" s="4">
        <v>1</v>
      </c>
      <c r="W150" s="4">
        <v>1</v>
      </c>
      <c r="X150" s="4">
        <v>1</v>
      </c>
      <c r="Y150" s="4" t="s">
        <v>140</v>
      </c>
      <c r="Z150" s="4">
        <v>1</v>
      </c>
      <c r="AA150" s="4">
        <v>1</v>
      </c>
      <c r="AB150" s="4">
        <v>1</v>
      </c>
      <c r="AC150" s="4">
        <v>1</v>
      </c>
      <c r="AD150" s="4">
        <v>1</v>
      </c>
      <c r="AE150" s="4">
        <v>1</v>
      </c>
      <c r="AF150" s="4" t="s">
        <v>140</v>
      </c>
      <c r="AG150" s="4">
        <v>1</v>
      </c>
      <c r="AH150" s="4">
        <v>1</v>
      </c>
      <c r="AI150" s="4">
        <v>1</v>
      </c>
      <c r="AJ150" s="4">
        <v>1</v>
      </c>
      <c r="AK150" s="4">
        <v>1</v>
      </c>
      <c r="AL150" s="4">
        <v>1</v>
      </c>
      <c r="AM150" s="4">
        <v>1</v>
      </c>
      <c r="AN150" s="4">
        <v>1</v>
      </c>
      <c r="AO150" s="4" t="s">
        <v>1095</v>
      </c>
    </row>
    <row r="151" spans="1:41" hidden="1" x14ac:dyDescent="0.2">
      <c r="A151" s="13">
        <f t="shared" si="4"/>
        <v>7</v>
      </c>
      <c r="B151" s="13">
        <f t="shared" si="5"/>
        <v>2</v>
      </c>
      <c r="C151" s="13" t="str">
        <f>VLOOKUP(B151,Correspondance!$D$3:$E$14,2,FALSE)</f>
        <v>Février</v>
      </c>
      <c r="D151" s="15" t="str">
        <f>VLOOKUP(G151,Correspondance!$A$3:$B$10,2,FALSE)</f>
        <v>ASF</v>
      </c>
      <c r="E151" s="1" t="s">
        <v>1236</v>
      </c>
      <c r="F151" s="2" t="s">
        <v>169</v>
      </c>
      <c r="G151" s="3" t="s">
        <v>41</v>
      </c>
      <c r="H151" s="4" t="s">
        <v>78</v>
      </c>
      <c r="I151" s="4" t="s">
        <v>79</v>
      </c>
      <c r="J151" s="5" t="s">
        <v>57</v>
      </c>
      <c r="K151" s="6">
        <v>100</v>
      </c>
      <c r="L151" s="4" t="s">
        <v>1300</v>
      </c>
      <c r="M151" s="4" t="s">
        <v>215</v>
      </c>
      <c r="N151" s="4" t="s">
        <v>114</v>
      </c>
      <c r="O151" s="4" t="s">
        <v>175</v>
      </c>
      <c r="P151" s="4" t="s">
        <v>547</v>
      </c>
      <c r="Q151" s="4" t="s">
        <v>49</v>
      </c>
      <c r="R151" s="4">
        <v>1</v>
      </c>
      <c r="S151" s="4">
        <v>1</v>
      </c>
      <c r="T151" s="4">
        <v>1</v>
      </c>
      <c r="U151" s="4">
        <v>1</v>
      </c>
      <c r="V151" s="4">
        <v>1</v>
      </c>
      <c r="W151" s="4">
        <v>1</v>
      </c>
      <c r="X151" s="4">
        <v>1</v>
      </c>
      <c r="Y151" s="4" t="s">
        <v>140</v>
      </c>
      <c r="Z151" s="4">
        <v>1</v>
      </c>
      <c r="AA151" s="4">
        <v>1</v>
      </c>
      <c r="AB151" s="4">
        <v>1</v>
      </c>
      <c r="AC151" s="4">
        <v>1</v>
      </c>
      <c r="AD151" s="4">
        <v>1</v>
      </c>
      <c r="AE151" s="4">
        <v>1</v>
      </c>
      <c r="AF151" s="4" t="s">
        <v>140</v>
      </c>
      <c r="AG151" s="4">
        <v>1</v>
      </c>
      <c r="AH151" s="4">
        <v>1</v>
      </c>
      <c r="AI151" s="4">
        <v>1</v>
      </c>
      <c r="AJ151" s="4">
        <v>1</v>
      </c>
      <c r="AK151" s="4">
        <v>1</v>
      </c>
      <c r="AL151" s="4">
        <v>1</v>
      </c>
      <c r="AM151" s="4">
        <v>1</v>
      </c>
      <c r="AN151" s="4">
        <v>1</v>
      </c>
      <c r="AO151" s="4" t="s">
        <v>1095</v>
      </c>
    </row>
    <row r="152" spans="1:41" hidden="1" x14ac:dyDescent="0.2">
      <c r="A152" s="13">
        <f t="shared" si="4"/>
        <v>7</v>
      </c>
      <c r="B152" s="13">
        <f t="shared" si="5"/>
        <v>2</v>
      </c>
      <c r="C152" s="13" t="str">
        <f>VLOOKUP(B152,Correspondance!$D$3:$E$14,2,FALSE)</f>
        <v>Février</v>
      </c>
      <c r="D152" s="15" t="str">
        <f>VLOOKUP(G152,Correspondance!$A$3:$B$10,2,FALSE)</f>
        <v>ASF</v>
      </c>
      <c r="E152" s="1" t="s">
        <v>1236</v>
      </c>
      <c r="F152" s="2" t="s">
        <v>169</v>
      </c>
      <c r="G152" s="3" t="s">
        <v>41</v>
      </c>
      <c r="H152" s="4" t="s">
        <v>82</v>
      </c>
      <c r="I152" s="4" t="s">
        <v>83</v>
      </c>
      <c r="J152" s="5" t="s">
        <v>57</v>
      </c>
      <c r="K152" s="6">
        <v>100</v>
      </c>
      <c r="L152" s="4" t="s">
        <v>1301</v>
      </c>
      <c r="M152" s="4" t="s">
        <v>174</v>
      </c>
      <c r="N152" s="4" t="s">
        <v>114</v>
      </c>
      <c r="O152" s="4" t="s">
        <v>175</v>
      </c>
      <c r="P152" s="4" t="s">
        <v>1302</v>
      </c>
      <c r="Q152" s="4" t="s">
        <v>49</v>
      </c>
      <c r="R152" s="4">
        <v>1</v>
      </c>
      <c r="S152" s="4">
        <v>1</v>
      </c>
      <c r="T152" s="4">
        <v>1</v>
      </c>
      <c r="U152" s="4">
        <v>1</v>
      </c>
      <c r="V152" s="4">
        <v>1</v>
      </c>
      <c r="W152" s="4">
        <v>1</v>
      </c>
      <c r="X152" s="4">
        <v>1</v>
      </c>
      <c r="Y152" s="4" t="s">
        <v>140</v>
      </c>
      <c r="Z152" s="4">
        <v>1</v>
      </c>
      <c r="AA152" s="4">
        <v>1</v>
      </c>
      <c r="AB152" s="4">
        <v>1</v>
      </c>
      <c r="AC152" s="4">
        <v>1</v>
      </c>
      <c r="AD152" s="4">
        <v>1</v>
      </c>
      <c r="AE152" s="4">
        <v>1</v>
      </c>
      <c r="AF152" s="4" t="s">
        <v>140</v>
      </c>
      <c r="AG152" s="4">
        <v>1</v>
      </c>
      <c r="AH152" s="4">
        <v>1</v>
      </c>
      <c r="AI152" s="4">
        <v>1</v>
      </c>
      <c r="AJ152" s="4">
        <v>1</v>
      </c>
      <c r="AK152" s="4">
        <v>1</v>
      </c>
      <c r="AL152" s="4">
        <v>1</v>
      </c>
      <c r="AM152" s="4">
        <v>1</v>
      </c>
      <c r="AN152" s="4">
        <v>1</v>
      </c>
      <c r="AO152" s="4" t="s">
        <v>1095</v>
      </c>
    </row>
    <row r="153" spans="1:41" hidden="1" x14ac:dyDescent="0.2">
      <c r="A153" s="13">
        <f t="shared" si="4"/>
        <v>7</v>
      </c>
      <c r="B153" s="13">
        <f t="shared" si="5"/>
        <v>2</v>
      </c>
      <c r="C153" s="13" t="str">
        <f>VLOOKUP(B153,Correspondance!$D$3:$E$14,2,FALSE)</f>
        <v>Février</v>
      </c>
      <c r="D153" s="15" t="str">
        <f>VLOOKUP(G153,Correspondance!$A$3:$B$10,2,FALSE)</f>
        <v>ASF</v>
      </c>
      <c r="E153" s="1" t="s">
        <v>1236</v>
      </c>
      <c r="F153" s="2" t="s">
        <v>169</v>
      </c>
      <c r="G153" s="3" t="s">
        <v>61</v>
      </c>
      <c r="H153" s="4" t="s">
        <v>201</v>
      </c>
      <c r="I153" s="4" t="s">
        <v>202</v>
      </c>
      <c r="J153" s="5" t="s">
        <v>57</v>
      </c>
      <c r="K153" s="6">
        <v>100</v>
      </c>
      <c r="L153" s="4" t="s">
        <v>1303</v>
      </c>
      <c r="M153" s="4" t="s">
        <v>223</v>
      </c>
      <c r="N153" s="4" t="s">
        <v>114</v>
      </c>
      <c r="O153" s="4" t="s">
        <v>175</v>
      </c>
      <c r="P153" s="4" t="s">
        <v>77</v>
      </c>
      <c r="Q153" s="4" t="s">
        <v>49</v>
      </c>
      <c r="R153" s="4">
        <v>1</v>
      </c>
      <c r="S153" s="4">
        <v>1</v>
      </c>
      <c r="T153" s="4">
        <v>1</v>
      </c>
      <c r="U153" s="4">
        <v>1</v>
      </c>
      <c r="V153" s="4">
        <v>1</v>
      </c>
      <c r="W153" s="4">
        <v>1</v>
      </c>
      <c r="X153" s="4">
        <v>1</v>
      </c>
      <c r="Y153" s="4" t="s">
        <v>140</v>
      </c>
      <c r="Z153" s="4">
        <v>1</v>
      </c>
      <c r="AA153" s="4">
        <v>1</v>
      </c>
      <c r="AB153" s="4">
        <v>1</v>
      </c>
      <c r="AC153" s="4">
        <v>1</v>
      </c>
      <c r="AD153" s="4">
        <v>1</v>
      </c>
      <c r="AE153" s="4">
        <v>1</v>
      </c>
      <c r="AF153" s="4" t="s">
        <v>140</v>
      </c>
      <c r="AG153" s="4">
        <v>1</v>
      </c>
      <c r="AH153" s="4">
        <v>1</v>
      </c>
      <c r="AI153" s="4">
        <v>1</v>
      </c>
      <c r="AJ153" s="4">
        <v>1</v>
      </c>
      <c r="AK153" s="4">
        <v>1</v>
      </c>
      <c r="AL153" s="4">
        <v>1</v>
      </c>
      <c r="AM153" s="4">
        <v>1</v>
      </c>
      <c r="AN153" s="4">
        <v>1</v>
      </c>
      <c r="AO153" s="4" t="s">
        <v>1095</v>
      </c>
    </row>
    <row r="154" spans="1:41" hidden="1" x14ac:dyDescent="0.2">
      <c r="A154" s="13">
        <f t="shared" si="4"/>
        <v>7</v>
      </c>
      <c r="B154" s="13">
        <f t="shared" si="5"/>
        <v>2</v>
      </c>
      <c r="C154" s="13" t="str">
        <f>VLOOKUP(B154,Correspondance!$D$3:$E$14,2,FALSE)</f>
        <v>Février</v>
      </c>
      <c r="D154" s="15" t="str">
        <f>VLOOKUP(G154,Correspondance!$A$3:$B$10,2,FALSE)</f>
        <v>ASF</v>
      </c>
      <c r="E154" s="1" t="s">
        <v>1236</v>
      </c>
      <c r="F154" s="2" t="s">
        <v>169</v>
      </c>
      <c r="G154" s="3" t="s">
        <v>61</v>
      </c>
      <c r="H154" s="4" t="s">
        <v>201</v>
      </c>
      <c r="I154" s="4" t="s">
        <v>202</v>
      </c>
      <c r="J154" s="5" t="s">
        <v>57</v>
      </c>
      <c r="K154" s="6">
        <v>100</v>
      </c>
      <c r="L154" s="4" t="s">
        <v>1304</v>
      </c>
      <c r="M154" s="4" t="s">
        <v>215</v>
      </c>
      <c r="N154" s="4" t="s">
        <v>114</v>
      </c>
      <c r="O154" s="4" t="s">
        <v>175</v>
      </c>
      <c r="P154" s="4" t="s">
        <v>77</v>
      </c>
      <c r="Q154" s="4" t="s">
        <v>49</v>
      </c>
      <c r="R154" s="4">
        <v>1</v>
      </c>
      <c r="S154" s="4">
        <v>1</v>
      </c>
      <c r="T154" s="4">
        <v>1</v>
      </c>
      <c r="U154" s="4">
        <v>1</v>
      </c>
      <c r="V154" s="4">
        <v>1</v>
      </c>
      <c r="W154" s="4">
        <v>1</v>
      </c>
      <c r="X154" s="4">
        <v>1</v>
      </c>
      <c r="Y154" s="4" t="s">
        <v>140</v>
      </c>
      <c r="Z154" s="4">
        <v>1</v>
      </c>
      <c r="AA154" s="4">
        <v>1</v>
      </c>
      <c r="AB154" s="4">
        <v>1</v>
      </c>
      <c r="AC154" s="4">
        <v>1</v>
      </c>
      <c r="AD154" s="4">
        <v>1</v>
      </c>
      <c r="AE154" s="4">
        <v>1</v>
      </c>
      <c r="AF154" s="4" t="s">
        <v>140</v>
      </c>
      <c r="AG154" s="4">
        <v>1</v>
      </c>
      <c r="AH154" s="4">
        <v>1</v>
      </c>
      <c r="AI154" s="4">
        <v>1</v>
      </c>
      <c r="AJ154" s="4">
        <v>1</v>
      </c>
      <c r="AK154" s="4">
        <v>1</v>
      </c>
      <c r="AL154" s="4">
        <v>1</v>
      </c>
      <c r="AM154" s="4">
        <v>1</v>
      </c>
      <c r="AN154" s="4">
        <v>1</v>
      </c>
      <c r="AO154" s="4" t="s">
        <v>1095</v>
      </c>
    </row>
    <row r="155" spans="1:41" hidden="1" x14ac:dyDescent="0.2">
      <c r="A155" s="13">
        <f t="shared" si="4"/>
        <v>7</v>
      </c>
      <c r="B155" s="13">
        <f t="shared" si="5"/>
        <v>2</v>
      </c>
      <c r="C155" s="13" t="str">
        <f>VLOOKUP(B155,Correspondance!$D$3:$E$14,2,FALSE)</f>
        <v>Février</v>
      </c>
      <c r="D155" s="15" t="str">
        <f>VLOOKUP(G155,Correspondance!$A$3:$B$10,2,FALSE)</f>
        <v>ASF</v>
      </c>
      <c r="E155" s="1" t="s">
        <v>1236</v>
      </c>
      <c r="F155" s="2" t="s">
        <v>169</v>
      </c>
      <c r="G155" s="3" t="s">
        <v>61</v>
      </c>
      <c r="H155" s="4" t="s">
        <v>201</v>
      </c>
      <c r="I155" s="4" t="s">
        <v>202</v>
      </c>
      <c r="J155" s="5" t="s">
        <v>57</v>
      </c>
      <c r="K155" s="6">
        <v>100</v>
      </c>
      <c r="L155" s="4" t="s">
        <v>1305</v>
      </c>
      <c r="M155" s="4" t="s">
        <v>190</v>
      </c>
      <c r="N155" s="4" t="s">
        <v>114</v>
      </c>
      <c r="O155" s="4" t="s">
        <v>175</v>
      </c>
      <c r="P155" s="4" t="s">
        <v>502</v>
      </c>
      <c r="Q155" s="4" t="s">
        <v>49</v>
      </c>
      <c r="R155" s="4">
        <v>1</v>
      </c>
      <c r="S155" s="4">
        <v>1</v>
      </c>
      <c r="T155" s="4">
        <v>1</v>
      </c>
      <c r="U155" s="4">
        <v>1</v>
      </c>
      <c r="V155" s="4">
        <v>1</v>
      </c>
      <c r="W155" s="4">
        <v>1</v>
      </c>
      <c r="X155" s="4">
        <v>1</v>
      </c>
      <c r="Y155" s="4" t="s">
        <v>140</v>
      </c>
      <c r="Z155" s="4">
        <v>1</v>
      </c>
      <c r="AA155" s="4">
        <v>1</v>
      </c>
      <c r="AB155" s="4">
        <v>1</v>
      </c>
      <c r="AC155" s="4">
        <v>1</v>
      </c>
      <c r="AD155" s="4">
        <v>1</v>
      </c>
      <c r="AE155" s="4">
        <v>1</v>
      </c>
      <c r="AF155" s="4" t="s">
        <v>140</v>
      </c>
      <c r="AG155" s="4">
        <v>1</v>
      </c>
      <c r="AH155" s="4">
        <v>1</v>
      </c>
      <c r="AI155" s="4">
        <v>1</v>
      </c>
      <c r="AJ155" s="4">
        <v>1</v>
      </c>
      <c r="AK155" s="4">
        <v>1</v>
      </c>
      <c r="AL155" s="4">
        <v>1</v>
      </c>
      <c r="AM155" s="4">
        <v>1</v>
      </c>
      <c r="AN155" s="4">
        <v>1</v>
      </c>
      <c r="AO155" s="4" t="s">
        <v>1095</v>
      </c>
    </row>
    <row r="156" spans="1:41" hidden="1" x14ac:dyDescent="0.2">
      <c r="A156" s="13">
        <f t="shared" si="4"/>
        <v>7</v>
      </c>
      <c r="B156" s="13">
        <f t="shared" si="5"/>
        <v>2</v>
      </c>
      <c r="C156" s="13" t="str">
        <f>VLOOKUP(B156,Correspondance!$D$3:$E$14,2,FALSE)</f>
        <v>Février</v>
      </c>
      <c r="D156" s="15" t="str">
        <f>VLOOKUP(G156,Correspondance!$A$3:$B$10,2,FALSE)</f>
        <v>ASF</v>
      </c>
      <c r="E156" s="1" t="s">
        <v>1236</v>
      </c>
      <c r="F156" s="2" t="s">
        <v>169</v>
      </c>
      <c r="G156" s="3" t="s">
        <v>61</v>
      </c>
      <c r="H156" s="4" t="s">
        <v>201</v>
      </c>
      <c r="I156" s="4" t="s">
        <v>202</v>
      </c>
      <c r="J156" s="5" t="s">
        <v>57</v>
      </c>
      <c r="K156" s="6">
        <v>100</v>
      </c>
      <c r="L156" s="4" t="s">
        <v>1306</v>
      </c>
      <c r="M156" s="4" t="s">
        <v>174</v>
      </c>
      <c r="N156" s="4" t="s">
        <v>114</v>
      </c>
      <c r="O156" s="4" t="s">
        <v>175</v>
      </c>
      <c r="P156" s="4" t="s">
        <v>540</v>
      </c>
      <c r="Q156" s="4" t="s">
        <v>49</v>
      </c>
      <c r="R156" s="4">
        <v>1</v>
      </c>
      <c r="S156" s="4">
        <v>1</v>
      </c>
      <c r="T156" s="4">
        <v>1</v>
      </c>
      <c r="U156" s="4">
        <v>1</v>
      </c>
      <c r="V156" s="4">
        <v>1</v>
      </c>
      <c r="W156" s="4">
        <v>1</v>
      </c>
      <c r="X156" s="4">
        <v>1</v>
      </c>
      <c r="Y156" s="4" t="s">
        <v>140</v>
      </c>
      <c r="Z156" s="4">
        <v>1</v>
      </c>
      <c r="AA156" s="4">
        <v>1</v>
      </c>
      <c r="AB156" s="4">
        <v>1</v>
      </c>
      <c r="AC156" s="4">
        <v>1</v>
      </c>
      <c r="AD156" s="4">
        <v>1</v>
      </c>
      <c r="AE156" s="4">
        <v>1</v>
      </c>
      <c r="AF156" s="4" t="s">
        <v>140</v>
      </c>
      <c r="AG156" s="4">
        <v>1</v>
      </c>
      <c r="AH156" s="4">
        <v>1</v>
      </c>
      <c r="AI156" s="4">
        <v>1</v>
      </c>
      <c r="AJ156" s="4">
        <v>1</v>
      </c>
      <c r="AK156" s="4">
        <v>1</v>
      </c>
      <c r="AL156" s="4">
        <v>1</v>
      </c>
      <c r="AM156" s="4">
        <v>1</v>
      </c>
      <c r="AN156" s="4">
        <v>1</v>
      </c>
      <c r="AO156" s="4" t="s">
        <v>1095</v>
      </c>
    </row>
    <row r="157" spans="1:41" hidden="1" x14ac:dyDescent="0.2">
      <c r="A157" s="13">
        <f t="shared" si="4"/>
        <v>7</v>
      </c>
      <c r="B157" s="13">
        <f t="shared" si="5"/>
        <v>2</v>
      </c>
      <c r="C157" s="13" t="str">
        <f>VLOOKUP(B157,Correspondance!$D$3:$E$14,2,FALSE)</f>
        <v>Février</v>
      </c>
      <c r="D157" s="15" t="str">
        <f>VLOOKUP(G157,Correspondance!$A$3:$B$10,2,FALSE)</f>
        <v>ASF</v>
      </c>
      <c r="E157" s="1" t="s">
        <v>1307</v>
      </c>
      <c r="F157" s="2" t="s">
        <v>169</v>
      </c>
      <c r="G157" s="3" t="s">
        <v>41</v>
      </c>
      <c r="H157" s="4" t="s">
        <v>78</v>
      </c>
      <c r="I157" s="4" t="s">
        <v>79</v>
      </c>
      <c r="J157" s="5" t="s">
        <v>41</v>
      </c>
      <c r="K157" s="6">
        <v>100</v>
      </c>
      <c r="L157" s="4" t="s">
        <v>1308</v>
      </c>
      <c r="M157" s="4" t="s">
        <v>215</v>
      </c>
      <c r="N157" s="4" t="s">
        <v>66</v>
      </c>
      <c r="O157" s="4" t="s">
        <v>175</v>
      </c>
      <c r="P157" s="4" t="s">
        <v>182</v>
      </c>
      <c r="Q157" s="4" t="s">
        <v>49</v>
      </c>
      <c r="R157" s="4">
        <v>1</v>
      </c>
      <c r="S157" s="4">
        <v>1</v>
      </c>
      <c r="T157" s="4">
        <v>1</v>
      </c>
      <c r="U157" s="4">
        <v>1</v>
      </c>
      <c r="V157" s="4">
        <v>1</v>
      </c>
      <c r="W157" s="4">
        <v>1</v>
      </c>
      <c r="X157" s="4">
        <v>1</v>
      </c>
      <c r="Y157" s="4" t="s">
        <v>140</v>
      </c>
      <c r="Z157" s="4" t="s">
        <v>140</v>
      </c>
      <c r="AA157" s="4">
        <v>1</v>
      </c>
      <c r="AB157" s="4">
        <v>1</v>
      </c>
      <c r="AC157" s="4">
        <v>1</v>
      </c>
      <c r="AD157" s="4">
        <v>1</v>
      </c>
      <c r="AE157" s="4">
        <v>1</v>
      </c>
      <c r="AF157" s="4">
        <v>1</v>
      </c>
      <c r="AG157" s="4">
        <v>1</v>
      </c>
      <c r="AH157" s="4" t="s">
        <v>140</v>
      </c>
      <c r="AI157" s="4">
        <v>1</v>
      </c>
      <c r="AJ157" s="4" t="s">
        <v>140</v>
      </c>
      <c r="AK157" s="4">
        <v>1</v>
      </c>
      <c r="AL157" s="4" t="s">
        <v>140</v>
      </c>
      <c r="AM157" s="4" t="s">
        <v>140</v>
      </c>
      <c r="AN157" s="4" t="s">
        <v>140</v>
      </c>
      <c r="AO157" s="4" t="s">
        <v>1095</v>
      </c>
    </row>
    <row r="158" spans="1:41" hidden="1" x14ac:dyDescent="0.2">
      <c r="A158" s="13">
        <f t="shared" si="4"/>
        <v>7</v>
      </c>
      <c r="B158" s="13">
        <f t="shared" si="5"/>
        <v>2</v>
      </c>
      <c r="C158" s="13" t="str">
        <f>VLOOKUP(B158,Correspondance!$D$3:$E$14,2,FALSE)</f>
        <v>Février</v>
      </c>
      <c r="D158" s="15" t="str">
        <f>VLOOKUP(G158,Correspondance!$A$3:$B$10,2,FALSE)</f>
        <v>ASF</v>
      </c>
      <c r="E158" s="1" t="s">
        <v>1307</v>
      </c>
      <c r="F158" s="2" t="s">
        <v>169</v>
      </c>
      <c r="G158" s="3" t="s">
        <v>41</v>
      </c>
      <c r="H158" s="4" t="s">
        <v>179</v>
      </c>
      <c r="I158" s="4" t="s">
        <v>180</v>
      </c>
      <c r="J158" s="5" t="s">
        <v>57</v>
      </c>
      <c r="K158" s="6">
        <v>100</v>
      </c>
      <c r="L158" s="4" t="s">
        <v>1309</v>
      </c>
      <c r="M158" s="4" t="s">
        <v>215</v>
      </c>
      <c r="N158" s="4" t="s">
        <v>46</v>
      </c>
      <c r="O158" s="4" t="s">
        <v>99</v>
      </c>
      <c r="P158" s="4" t="s">
        <v>754</v>
      </c>
      <c r="Q158" s="4" t="s">
        <v>49</v>
      </c>
      <c r="R158" s="4">
        <v>1</v>
      </c>
      <c r="S158" s="4">
        <v>1</v>
      </c>
      <c r="T158" s="4">
        <v>1</v>
      </c>
      <c r="U158" s="4">
        <v>1</v>
      </c>
      <c r="V158" s="4">
        <v>1</v>
      </c>
      <c r="W158" s="4">
        <v>1</v>
      </c>
      <c r="X158" s="4">
        <v>1</v>
      </c>
      <c r="Y158" s="4" t="s">
        <v>140</v>
      </c>
      <c r="Z158" s="4" t="s">
        <v>140</v>
      </c>
      <c r="AA158" s="4">
        <v>1</v>
      </c>
      <c r="AB158" s="4">
        <v>1</v>
      </c>
      <c r="AC158" s="4">
        <v>1</v>
      </c>
      <c r="AD158" s="4">
        <v>1</v>
      </c>
      <c r="AE158" s="4">
        <v>1</v>
      </c>
      <c r="AF158" s="4" t="s">
        <v>140</v>
      </c>
      <c r="AG158" s="4">
        <v>1</v>
      </c>
      <c r="AH158" s="4">
        <v>1</v>
      </c>
      <c r="AI158" s="4">
        <v>1</v>
      </c>
      <c r="AJ158" s="4">
        <v>1</v>
      </c>
      <c r="AK158" s="4">
        <v>1</v>
      </c>
      <c r="AL158" s="4">
        <v>1</v>
      </c>
      <c r="AM158" s="4">
        <v>1</v>
      </c>
      <c r="AN158" s="4">
        <v>1</v>
      </c>
      <c r="AO158" s="4" t="s">
        <v>1109</v>
      </c>
    </row>
    <row r="159" spans="1:41" hidden="1" x14ac:dyDescent="0.2">
      <c r="A159" s="13">
        <f t="shared" si="4"/>
        <v>7</v>
      </c>
      <c r="B159" s="13">
        <f t="shared" si="5"/>
        <v>2</v>
      </c>
      <c r="C159" s="13" t="str">
        <f>VLOOKUP(B159,Correspondance!$D$3:$E$14,2,FALSE)</f>
        <v>Février</v>
      </c>
      <c r="D159" s="15" t="str">
        <f>VLOOKUP(G159,Correspondance!$A$3:$B$10,2,FALSE)</f>
        <v>ASF</v>
      </c>
      <c r="E159" s="1" t="s">
        <v>1307</v>
      </c>
      <c r="F159" s="2" t="s">
        <v>169</v>
      </c>
      <c r="G159" s="3" t="s">
        <v>52</v>
      </c>
      <c r="H159" s="4" t="s">
        <v>233</v>
      </c>
      <c r="I159" s="4" t="s">
        <v>234</v>
      </c>
      <c r="J159" s="5" t="s">
        <v>57</v>
      </c>
      <c r="K159" s="6">
        <v>100</v>
      </c>
      <c r="L159" s="4" t="s">
        <v>1310</v>
      </c>
      <c r="M159" s="4" t="s">
        <v>526</v>
      </c>
      <c r="N159" s="4" t="s">
        <v>46</v>
      </c>
      <c r="O159" s="4" t="s">
        <v>99</v>
      </c>
      <c r="P159" s="4" t="s">
        <v>1311</v>
      </c>
      <c r="Q159" s="4" t="s">
        <v>49</v>
      </c>
      <c r="R159" s="4">
        <v>1</v>
      </c>
      <c r="S159" s="4">
        <v>1</v>
      </c>
      <c r="T159" s="4">
        <v>1</v>
      </c>
      <c r="U159" s="4">
        <v>1</v>
      </c>
      <c r="V159" s="4">
        <v>1</v>
      </c>
      <c r="W159" s="4">
        <v>1</v>
      </c>
      <c r="X159" s="4">
        <v>1</v>
      </c>
      <c r="Y159" s="4" t="s">
        <v>140</v>
      </c>
      <c r="Z159" s="4" t="s">
        <v>140</v>
      </c>
      <c r="AA159" s="4">
        <v>1</v>
      </c>
      <c r="AB159" s="4">
        <v>1</v>
      </c>
      <c r="AC159" s="4">
        <v>1</v>
      </c>
      <c r="AD159" s="4">
        <v>1</v>
      </c>
      <c r="AE159" s="4">
        <v>1</v>
      </c>
      <c r="AF159" s="4" t="s">
        <v>140</v>
      </c>
      <c r="AG159" s="4">
        <v>1</v>
      </c>
      <c r="AH159" s="4">
        <v>1</v>
      </c>
      <c r="AI159" s="4">
        <v>1</v>
      </c>
      <c r="AJ159" s="4">
        <v>1</v>
      </c>
      <c r="AK159" s="4">
        <v>1</v>
      </c>
      <c r="AL159" s="4">
        <v>1</v>
      </c>
      <c r="AM159" s="4">
        <v>1</v>
      </c>
      <c r="AN159" s="4">
        <v>1</v>
      </c>
      <c r="AO159" s="4" t="s">
        <v>1109</v>
      </c>
    </row>
    <row r="160" spans="1:41" ht="25.5" hidden="1" x14ac:dyDescent="0.2">
      <c r="A160" s="13">
        <f t="shared" si="4"/>
        <v>7</v>
      </c>
      <c r="B160" s="13">
        <f t="shared" si="5"/>
        <v>2</v>
      </c>
      <c r="C160" s="13" t="str">
        <f>VLOOKUP(B160,Correspondance!$D$3:$E$14,2,FALSE)</f>
        <v>Février</v>
      </c>
      <c r="D160" s="15" t="str">
        <f>VLOOKUP(G160,Correspondance!$A$3:$B$10,2,FALSE)</f>
        <v>ASF</v>
      </c>
      <c r="E160" s="1" t="s">
        <v>1307</v>
      </c>
      <c r="F160" s="2" t="s">
        <v>169</v>
      </c>
      <c r="G160" s="3" t="s">
        <v>61</v>
      </c>
      <c r="H160" s="4" t="s">
        <v>247</v>
      </c>
      <c r="I160" s="4" t="s">
        <v>248</v>
      </c>
      <c r="J160" s="5" t="s">
        <v>57</v>
      </c>
      <c r="K160" s="6">
        <v>100</v>
      </c>
      <c r="L160" s="4" t="s">
        <v>1312</v>
      </c>
      <c r="M160" s="4" t="s">
        <v>174</v>
      </c>
      <c r="N160" s="4" t="s">
        <v>46</v>
      </c>
      <c r="O160" s="4" t="s">
        <v>99</v>
      </c>
      <c r="P160" s="4" t="s">
        <v>1313</v>
      </c>
      <c r="Q160" s="4" t="s">
        <v>49</v>
      </c>
      <c r="R160" s="4">
        <v>1</v>
      </c>
      <c r="S160" s="4">
        <v>1</v>
      </c>
      <c r="T160" s="4">
        <v>1</v>
      </c>
      <c r="U160" s="4">
        <v>1</v>
      </c>
      <c r="V160" s="4">
        <v>1</v>
      </c>
      <c r="W160" s="4">
        <v>1</v>
      </c>
      <c r="X160" s="4">
        <v>1</v>
      </c>
      <c r="Y160" s="4" t="s">
        <v>140</v>
      </c>
      <c r="Z160" s="4">
        <v>1</v>
      </c>
      <c r="AA160" s="4">
        <v>1</v>
      </c>
      <c r="AB160" s="4">
        <v>1</v>
      </c>
      <c r="AC160" s="4">
        <v>1</v>
      </c>
      <c r="AD160" s="4">
        <v>1</v>
      </c>
      <c r="AE160" s="4">
        <v>1</v>
      </c>
      <c r="AF160" s="4" t="s">
        <v>140</v>
      </c>
      <c r="AG160" s="4">
        <v>1</v>
      </c>
      <c r="AH160" s="4">
        <v>1</v>
      </c>
      <c r="AI160" s="4">
        <v>1</v>
      </c>
      <c r="AJ160" s="4">
        <v>1</v>
      </c>
      <c r="AK160" s="4">
        <v>1</v>
      </c>
      <c r="AL160" s="4">
        <v>1</v>
      </c>
      <c r="AM160" s="4">
        <v>1</v>
      </c>
      <c r="AN160" s="4">
        <v>1</v>
      </c>
      <c r="AO160" s="4" t="s">
        <v>1175</v>
      </c>
    </row>
    <row r="161" spans="1:41" hidden="1" x14ac:dyDescent="0.2">
      <c r="A161" s="13">
        <f t="shared" si="4"/>
        <v>7</v>
      </c>
      <c r="B161" s="13">
        <f t="shared" si="5"/>
        <v>2</v>
      </c>
      <c r="C161" s="13" t="str">
        <f>VLOOKUP(B161,Correspondance!$D$3:$E$14,2,FALSE)</f>
        <v>Février</v>
      </c>
      <c r="D161" s="15" t="str">
        <f>VLOOKUP(G161,Correspondance!$A$3:$B$10,2,FALSE)</f>
        <v>ASF</v>
      </c>
      <c r="E161" s="1" t="s">
        <v>1307</v>
      </c>
      <c r="F161" s="2" t="s">
        <v>169</v>
      </c>
      <c r="G161" s="3" t="s">
        <v>61</v>
      </c>
      <c r="H161" s="4" t="s">
        <v>247</v>
      </c>
      <c r="I161" s="4" t="s">
        <v>248</v>
      </c>
      <c r="J161" s="5" t="s">
        <v>57</v>
      </c>
      <c r="K161" s="6">
        <v>100</v>
      </c>
      <c r="L161" s="4" t="s">
        <v>1314</v>
      </c>
      <c r="M161" s="4" t="s">
        <v>223</v>
      </c>
      <c r="N161" s="4" t="s">
        <v>46</v>
      </c>
      <c r="O161" s="4" t="s">
        <v>47</v>
      </c>
      <c r="P161" s="4" t="s">
        <v>1315</v>
      </c>
      <c r="Q161" s="4" t="s">
        <v>49</v>
      </c>
      <c r="R161" s="4">
        <v>1</v>
      </c>
      <c r="S161" s="4">
        <v>1</v>
      </c>
      <c r="T161" s="4">
        <v>1</v>
      </c>
      <c r="U161" s="4">
        <v>1</v>
      </c>
      <c r="V161" s="4">
        <v>1</v>
      </c>
      <c r="W161" s="4">
        <v>1</v>
      </c>
      <c r="X161" s="4">
        <v>1</v>
      </c>
      <c r="Y161" s="4" t="s">
        <v>140</v>
      </c>
      <c r="Z161" s="4">
        <v>1</v>
      </c>
      <c r="AA161" s="4">
        <v>1</v>
      </c>
      <c r="AB161" s="4">
        <v>1</v>
      </c>
      <c r="AC161" s="4">
        <v>1</v>
      </c>
      <c r="AD161" s="4">
        <v>1</v>
      </c>
      <c r="AE161" s="4">
        <v>1</v>
      </c>
      <c r="AF161" s="4" t="s">
        <v>140</v>
      </c>
      <c r="AG161" s="4">
        <v>1</v>
      </c>
      <c r="AH161" s="4">
        <v>1</v>
      </c>
      <c r="AI161" s="4">
        <v>1</v>
      </c>
      <c r="AJ161" s="4">
        <v>1</v>
      </c>
      <c r="AK161" s="4">
        <v>1</v>
      </c>
      <c r="AL161" s="4">
        <v>1</v>
      </c>
      <c r="AM161" s="4">
        <v>1</v>
      </c>
      <c r="AN161" s="4">
        <v>1</v>
      </c>
      <c r="AO161" s="4" t="s">
        <v>1175</v>
      </c>
    </row>
    <row r="162" spans="1:41" hidden="1" x14ac:dyDescent="0.2">
      <c r="A162" s="13">
        <f t="shared" si="4"/>
        <v>8</v>
      </c>
      <c r="B162" s="13">
        <f t="shared" si="5"/>
        <v>2</v>
      </c>
      <c r="C162" s="13" t="str">
        <f>VLOOKUP(B162,Correspondance!$D$3:$E$14,2,FALSE)</f>
        <v>Février</v>
      </c>
      <c r="D162" s="15" t="str">
        <f>VLOOKUP(G162,Correspondance!$A$3:$B$10,2,FALSE)</f>
        <v>ASF</v>
      </c>
      <c r="E162" s="1" t="s">
        <v>1151</v>
      </c>
      <c r="F162" s="2" t="s">
        <v>169</v>
      </c>
      <c r="G162" s="3" t="s">
        <v>61</v>
      </c>
      <c r="H162" s="4" t="s">
        <v>323</v>
      </c>
      <c r="I162" s="4" t="s">
        <v>324</v>
      </c>
      <c r="J162" s="5" t="s">
        <v>57</v>
      </c>
      <c r="K162" s="6">
        <v>89.392857142857139</v>
      </c>
      <c r="L162" s="4" t="s">
        <v>1316</v>
      </c>
      <c r="M162" s="4" t="s">
        <v>174</v>
      </c>
      <c r="N162" s="4" t="s">
        <v>46</v>
      </c>
      <c r="O162" s="4" t="s">
        <v>175</v>
      </c>
      <c r="P162" s="4" t="s">
        <v>678</v>
      </c>
      <c r="Q162" s="4" t="s">
        <v>49</v>
      </c>
      <c r="R162" s="4">
        <v>1</v>
      </c>
      <c r="S162" s="4">
        <v>1</v>
      </c>
      <c r="T162" s="4">
        <v>1</v>
      </c>
      <c r="U162" s="4">
        <v>1</v>
      </c>
      <c r="V162" s="4">
        <v>1</v>
      </c>
      <c r="W162" s="4">
        <v>1</v>
      </c>
      <c r="X162" s="4">
        <v>1</v>
      </c>
      <c r="Y162" s="4" t="s">
        <v>140</v>
      </c>
      <c r="Z162" s="4">
        <v>1</v>
      </c>
      <c r="AA162" s="4">
        <v>1</v>
      </c>
      <c r="AB162" s="4">
        <v>1</v>
      </c>
      <c r="AC162" s="4">
        <v>1</v>
      </c>
      <c r="AD162" s="4">
        <v>1</v>
      </c>
      <c r="AE162" s="4">
        <v>0</v>
      </c>
      <c r="AF162" s="4" t="s">
        <v>140</v>
      </c>
      <c r="AG162" s="4">
        <v>1</v>
      </c>
      <c r="AH162" s="4">
        <v>1</v>
      </c>
      <c r="AI162" s="4">
        <v>0</v>
      </c>
      <c r="AJ162" s="4">
        <v>1</v>
      </c>
      <c r="AK162" s="4">
        <v>1</v>
      </c>
      <c r="AL162" s="4" t="s">
        <v>140</v>
      </c>
      <c r="AM162" s="4" t="s">
        <v>140</v>
      </c>
      <c r="AN162" s="4">
        <v>1</v>
      </c>
      <c r="AO162" s="4"/>
    </row>
    <row r="163" spans="1:41" hidden="1" x14ac:dyDescent="0.2">
      <c r="A163" s="13">
        <f t="shared" si="4"/>
        <v>8</v>
      </c>
      <c r="B163" s="13">
        <f t="shared" si="5"/>
        <v>2</v>
      </c>
      <c r="C163" s="13" t="str">
        <f>VLOOKUP(B163,Correspondance!$D$3:$E$14,2,FALSE)</f>
        <v>Février</v>
      </c>
      <c r="D163" s="15" t="str">
        <f>VLOOKUP(G163,Correspondance!$A$3:$B$10,2,FALSE)</f>
        <v>ASF</v>
      </c>
      <c r="E163" s="1" t="s">
        <v>1095</v>
      </c>
      <c r="F163" s="2" t="s">
        <v>169</v>
      </c>
      <c r="G163" s="3" t="s">
        <v>41</v>
      </c>
      <c r="H163" s="4" t="s">
        <v>905</v>
      </c>
      <c r="I163" s="4" t="s">
        <v>170</v>
      </c>
      <c r="J163" s="5" t="s">
        <v>57</v>
      </c>
      <c r="K163" s="6">
        <v>90</v>
      </c>
      <c r="L163" s="4" t="s">
        <v>1317</v>
      </c>
      <c r="M163" s="4" t="s">
        <v>223</v>
      </c>
      <c r="N163" s="4" t="s">
        <v>46</v>
      </c>
      <c r="O163" s="4" t="s">
        <v>99</v>
      </c>
      <c r="P163" s="4" t="s">
        <v>1318</v>
      </c>
      <c r="Q163" s="4" t="s">
        <v>49</v>
      </c>
      <c r="R163" s="4">
        <v>1</v>
      </c>
      <c r="S163" s="4">
        <v>0</v>
      </c>
      <c r="T163" s="4">
        <v>1</v>
      </c>
      <c r="U163" s="4">
        <v>1</v>
      </c>
      <c r="V163" s="4">
        <v>1</v>
      </c>
      <c r="W163" s="4">
        <v>1</v>
      </c>
      <c r="X163" s="4">
        <v>1</v>
      </c>
      <c r="Y163" s="4" t="s">
        <v>140</v>
      </c>
      <c r="Z163" s="4">
        <v>1</v>
      </c>
      <c r="AA163" s="4">
        <v>1</v>
      </c>
      <c r="AB163" s="4">
        <v>1</v>
      </c>
      <c r="AC163" s="4">
        <v>1</v>
      </c>
      <c r="AD163" s="4">
        <v>1</v>
      </c>
      <c r="AE163" s="4">
        <v>0</v>
      </c>
      <c r="AF163" s="4" t="s">
        <v>140</v>
      </c>
      <c r="AG163" s="4">
        <v>1</v>
      </c>
      <c r="AH163" s="4">
        <v>1</v>
      </c>
      <c r="AI163" s="4">
        <v>1</v>
      </c>
      <c r="AJ163" s="4">
        <v>1</v>
      </c>
      <c r="AK163" s="4">
        <v>1</v>
      </c>
      <c r="AL163" s="4">
        <v>1</v>
      </c>
      <c r="AM163" s="4">
        <v>1</v>
      </c>
      <c r="AN163" s="4">
        <v>1</v>
      </c>
      <c r="AO163" s="4" t="s">
        <v>1109</v>
      </c>
    </row>
    <row r="164" spans="1:41" hidden="1" x14ac:dyDescent="0.2">
      <c r="A164" s="13">
        <f t="shared" si="4"/>
        <v>8</v>
      </c>
      <c r="B164" s="13">
        <f t="shared" si="5"/>
        <v>2</v>
      </c>
      <c r="C164" s="13" t="str">
        <f>VLOOKUP(B164,Correspondance!$D$3:$E$14,2,FALSE)</f>
        <v>Février</v>
      </c>
      <c r="D164" s="15" t="str">
        <f>VLOOKUP(G164,Correspondance!$A$3:$B$10,2,FALSE)</f>
        <v>ASF</v>
      </c>
      <c r="E164" s="1" t="s">
        <v>1095</v>
      </c>
      <c r="F164" s="2" t="s">
        <v>169</v>
      </c>
      <c r="G164" s="3" t="s">
        <v>52</v>
      </c>
      <c r="H164" s="4" t="s">
        <v>233</v>
      </c>
      <c r="I164" s="4" t="s">
        <v>234</v>
      </c>
      <c r="J164" s="5" t="s">
        <v>57</v>
      </c>
      <c r="K164" s="6">
        <v>100</v>
      </c>
      <c r="L164" s="4" t="s">
        <v>1319</v>
      </c>
      <c r="M164" s="4" t="s">
        <v>223</v>
      </c>
      <c r="N164" s="4" t="s">
        <v>46</v>
      </c>
      <c r="O164" s="4" t="s">
        <v>99</v>
      </c>
      <c r="P164" s="4" t="s">
        <v>907</v>
      </c>
      <c r="Q164" s="4" t="s">
        <v>49</v>
      </c>
      <c r="R164" s="4">
        <v>1</v>
      </c>
      <c r="S164" s="4">
        <v>1</v>
      </c>
      <c r="T164" s="4">
        <v>1</v>
      </c>
      <c r="U164" s="4">
        <v>1</v>
      </c>
      <c r="V164" s="4">
        <v>1</v>
      </c>
      <c r="W164" s="4">
        <v>1</v>
      </c>
      <c r="X164" s="4">
        <v>1</v>
      </c>
      <c r="Y164" s="4" t="s">
        <v>140</v>
      </c>
      <c r="Z164" s="4">
        <v>1</v>
      </c>
      <c r="AA164" s="4">
        <v>1</v>
      </c>
      <c r="AB164" s="4">
        <v>1</v>
      </c>
      <c r="AC164" s="4">
        <v>1</v>
      </c>
      <c r="AD164" s="4">
        <v>1</v>
      </c>
      <c r="AE164" s="4">
        <v>1</v>
      </c>
      <c r="AF164" s="4" t="s">
        <v>140</v>
      </c>
      <c r="AG164" s="4">
        <v>1</v>
      </c>
      <c r="AH164" s="4">
        <v>1</v>
      </c>
      <c r="AI164" s="4">
        <v>1</v>
      </c>
      <c r="AJ164" s="4">
        <v>1</v>
      </c>
      <c r="AK164" s="4">
        <v>1</v>
      </c>
      <c r="AL164" s="4">
        <v>1</v>
      </c>
      <c r="AM164" s="4" t="s">
        <v>140</v>
      </c>
      <c r="AN164" s="4">
        <v>1</v>
      </c>
      <c r="AO164" s="4" t="s">
        <v>1109</v>
      </c>
    </row>
    <row r="165" spans="1:41" hidden="1" x14ac:dyDescent="0.2">
      <c r="A165" s="13">
        <f t="shared" si="4"/>
        <v>8</v>
      </c>
      <c r="B165" s="13">
        <f t="shared" si="5"/>
        <v>2</v>
      </c>
      <c r="C165" s="13" t="str">
        <f>VLOOKUP(B165,Correspondance!$D$3:$E$14,2,FALSE)</f>
        <v>Février</v>
      </c>
      <c r="D165" s="15" t="str">
        <f>VLOOKUP(G165,Correspondance!$A$3:$B$10,2,FALSE)</f>
        <v>ASF</v>
      </c>
      <c r="E165" s="1" t="s">
        <v>1095</v>
      </c>
      <c r="F165" s="2" t="s">
        <v>169</v>
      </c>
      <c r="G165" s="3" t="s">
        <v>61</v>
      </c>
      <c r="H165" s="4" t="s">
        <v>247</v>
      </c>
      <c r="I165" s="4" t="s">
        <v>248</v>
      </c>
      <c r="J165" s="5" t="s">
        <v>57</v>
      </c>
      <c r="K165" s="6">
        <v>100</v>
      </c>
      <c r="L165" s="4" t="s">
        <v>1320</v>
      </c>
      <c r="M165" s="4" t="s">
        <v>215</v>
      </c>
      <c r="N165" s="4" t="s">
        <v>46</v>
      </c>
      <c r="O165" s="4" t="s">
        <v>99</v>
      </c>
      <c r="P165" s="4" t="s">
        <v>658</v>
      </c>
      <c r="Q165" s="4" t="s">
        <v>49</v>
      </c>
      <c r="R165" s="4">
        <v>1</v>
      </c>
      <c r="S165" s="4">
        <v>1</v>
      </c>
      <c r="T165" s="4">
        <v>1</v>
      </c>
      <c r="U165" s="4">
        <v>1</v>
      </c>
      <c r="V165" s="4">
        <v>1</v>
      </c>
      <c r="W165" s="4">
        <v>1</v>
      </c>
      <c r="X165" s="4">
        <v>1</v>
      </c>
      <c r="Y165" s="4" t="s">
        <v>140</v>
      </c>
      <c r="Z165" s="4" t="s">
        <v>140</v>
      </c>
      <c r="AA165" s="4">
        <v>1</v>
      </c>
      <c r="AB165" s="4">
        <v>1</v>
      </c>
      <c r="AC165" s="4">
        <v>1</v>
      </c>
      <c r="AD165" s="4">
        <v>1</v>
      </c>
      <c r="AE165" s="4">
        <v>1</v>
      </c>
      <c r="AF165" s="4" t="s">
        <v>140</v>
      </c>
      <c r="AG165" s="4">
        <v>1</v>
      </c>
      <c r="AH165" s="4">
        <v>1</v>
      </c>
      <c r="AI165" s="4">
        <v>1</v>
      </c>
      <c r="AJ165" s="4">
        <v>1</v>
      </c>
      <c r="AK165" s="4">
        <v>1</v>
      </c>
      <c r="AL165" s="4">
        <v>1</v>
      </c>
      <c r="AM165" s="4">
        <v>1</v>
      </c>
      <c r="AN165" s="4">
        <v>1</v>
      </c>
      <c r="AO165" s="4" t="s">
        <v>1109</v>
      </c>
    </row>
    <row r="166" spans="1:41" hidden="1" x14ac:dyDescent="0.2">
      <c r="A166" s="13">
        <f t="shared" si="4"/>
        <v>8</v>
      </c>
      <c r="B166" s="13">
        <f t="shared" si="5"/>
        <v>2</v>
      </c>
      <c r="C166" s="13" t="str">
        <f>VLOOKUP(B166,Correspondance!$D$3:$E$14,2,FALSE)</f>
        <v>Février</v>
      </c>
      <c r="D166" s="15" t="str">
        <f>VLOOKUP(G166,Correspondance!$A$3:$B$10,2,FALSE)</f>
        <v>ASF</v>
      </c>
      <c r="E166" s="1" t="s">
        <v>1095</v>
      </c>
      <c r="F166" s="2" t="s">
        <v>169</v>
      </c>
      <c r="G166" s="3" t="s">
        <v>61</v>
      </c>
      <c r="H166" s="4" t="s">
        <v>323</v>
      </c>
      <c r="I166" s="4" t="s">
        <v>324</v>
      </c>
      <c r="J166" s="5" t="s">
        <v>57</v>
      </c>
      <c r="K166" s="6">
        <v>83</v>
      </c>
      <c r="L166" s="4" t="s">
        <v>1321</v>
      </c>
      <c r="M166" s="4" t="s">
        <v>223</v>
      </c>
      <c r="N166" s="4" t="s">
        <v>46</v>
      </c>
      <c r="O166" s="4" t="s">
        <v>175</v>
      </c>
      <c r="P166" s="4" t="s">
        <v>782</v>
      </c>
      <c r="Q166" s="4" t="s">
        <v>49</v>
      </c>
      <c r="R166" s="4">
        <v>1</v>
      </c>
      <c r="S166" s="4">
        <v>1</v>
      </c>
      <c r="T166" s="4">
        <v>1</v>
      </c>
      <c r="U166" s="4">
        <v>1</v>
      </c>
      <c r="V166" s="4">
        <v>1</v>
      </c>
      <c r="W166" s="4">
        <v>1</v>
      </c>
      <c r="X166" s="4">
        <v>1</v>
      </c>
      <c r="Y166" s="4" t="s">
        <v>140</v>
      </c>
      <c r="Z166" s="4">
        <v>1</v>
      </c>
      <c r="AA166" s="4">
        <v>1</v>
      </c>
      <c r="AB166" s="4">
        <v>1</v>
      </c>
      <c r="AC166" s="4">
        <v>1</v>
      </c>
      <c r="AD166" s="4">
        <v>0</v>
      </c>
      <c r="AE166" s="4">
        <v>1</v>
      </c>
      <c r="AF166" s="4" t="s">
        <v>140</v>
      </c>
      <c r="AG166" s="4">
        <v>1</v>
      </c>
      <c r="AH166" s="4">
        <v>1</v>
      </c>
      <c r="AI166" s="4">
        <v>0</v>
      </c>
      <c r="AJ166" s="4">
        <v>1</v>
      </c>
      <c r="AK166" s="4" t="s">
        <v>140</v>
      </c>
      <c r="AL166" s="4" t="s">
        <v>140</v>
      </c>
      <c r="AM166" s="4" t="s">
        <v>140</v>
      </c>
      <c r="AN166" s="4" t="s">
        <v>140</v>
      </c>
      <c r="AO166" s="4"/>
    </row>
    <row r="167" spans="1:41" hidden="1" x14ac:dyDescent="0.2">
      <c r="A167" s="13">
        <f t="shared" si="4"/>
        <v>8</v>
      </c>
      <c r="B167" s="13">
        <f t="shared" si="5"/>
        <v>2</v>
      </c>
      <c r="C167" s="13" t="str">
        <f>VLOOKUP(B167,Correspondance!$D$3:$E$14,2,FALSE)</f>
        <v>Février</v>
      </c>
      <c r="D167" s="15" t="str">
        <f>VLOOKUP(G167,Correspondance!$A$3:$B$10,2,FALSE)</f>
        <v>ASF</v>
      </c>
      <c r="E167" s="1" t="s">
        <v>1095</v>
      </c>
      <c r="F167" s="2" t="s">
        <v>169</v>
      </c>
      <c r="G167" s="3" t="s">
        <v>61</v>
      </c>
      <c r="H167" s="4" t="s">
        <v>323</v>
      </c>
      <c r="I167" s="4" t="s">
        <v>324</v>
      </c>
      <c r="J167" s="5" t="s">
        <v>57</v>
      </c>
      <c r="K167" s="6">
        <v>94</v>
      </c>
      <c r="L167" s="4" t="s">
        <v>1322</v>
      </c>
      <c r="M167" s="4" t="s">
        <v>174</v>
      </c>
      <c r="N167" s="4" t="s">
        <v>46</v>
      </c>
      <c r="O167" s="4" t="s">
        <v>47</v>
      </c>
      <c r="P167" s="4" t="s">
        <v>1323</v>
      </c>
      <c r="Q167" s="4" t="s">
        <v>49</v>
      </c>
      <c r="R167" s="4">
        <v>1</v>
      </c>
      <c r="S167" s="4">
        <v>1</v>
      </c>
      <c r="T167" s="4">
        <v>1</v>
      </c>
      <c r="U167" s="4">
        <v>1</v>
      </c>
      <c r="V167" s="4">
        <v>1</v>
      </c>
      <c r="W167" s="4">
        <v>1</v>
      </c>
      <c r="X167" s="4">
        <v>1</v>
      </c>
      <c r="Y167" s="4" t="s">
        <v>140</v>
      </c>
      <c r="Z167" s="4">
        <v>1</v>
      </c>
      <c r="AA167" s="4">
        <v>1</v>
      </c>
      <c r="AB167" s="4">
        <v>1</v>
      </c>
      <c r="AC167" s="4">
        <v>1</v>
      </c>
      <c r="AD167" s="4">
        <v>1</v>
      </c>
      <c r="AE167" s="4">
        <v>1</v>
      </c>
      <c r="AF167" s="4" t="s">
        <v>140</v>
      </c>
      <c r="AG167" s="4">
        <v>1</v>
      </c>
      <c r="AH167" s="4">
        <v>0</v>
      </c>
      <c r="AI167" s="4">
        <v>0</v>
      </c>
      <c r="AJ167" s="4">
        <v>1</v>
      </c>
      <c r="AK167" s="4">
        <v>1</v>
      </c>
      <c r="AL167" s="4">
        <v>1</v>
      </c>
      <c r="AM167" s="4">
        <v>1</v>
      </c>
      <c r="AN167" s="4">
        <v>1</v>
      </c>
      <c r="AO167" s="4"/>
    </row>
    <row r="168" spans="1:41" hidden="1" x14ac:dyDescent="0.2">
      <c r="A168" s="13">
        <f t="shared" si="4"/>
        <v>8</v>
      </c>
      <c r="B168" s="13">
        <f t="shared" si="5"/>
        <v>2</v>
      </c>
      <c r="C168" s="13" t="str">
        <f>VLOOKUP(B168,Correspondance!$D$3:$E$14,2,FALSE)</f>
        <v>Février</v>
      </c>
      <c r="D168" s="15" t="str">
        <f>VLOOKUP(G168,Correspondance!$A$3:$B$10,2,FALSE)</f>
        <v>ASF</v>
      </c>
      <c r="E168" s="1" t="s">
        <v>1095</v>
      </c>
      <c r="F168" s="2" t="s">
        <v>169</v>
      </c>
      <c r="G168" s="3" t="s">
        <v>61</v>
      </c>
      <c r="H168" s="4" t="s">
        <v>323</v>
      </c>
      <c r="I168" s="4" t="s">
        <v>324</v>
      </c>
      <c r="J168" s="5" t="s">
        <v>57</v>
      </c>
      <c r="K168" s="6">
        <v>100</v>
      </c>
      <c r="L168" s="4" t="s">
        <v>1324</v>
      </c>
      <c r="M168" s="4" t="s">
        <v>368</v>
      </c>
      <c r="N168" s="4" t="s">
        <v>46</v>
      </c>
      <c r="O168" s="4" t="s">
        <v>175</v>
      </c>
      <c r="P168" s="4" t="s">
        <v>1325</v>
      </c>
      <c r="Q168" s="4" t="s">
        <v>49</v>
      </c>
      <c r="R168" s="4">
        <v>1</v>
      </c>
      <c r="S168" s="4">
        <v>1</v>
      </c>
      <c r="T168" s="4">
        <v>1</v>
      </c>
      <c r="U168" s="4">
        <v>1</v>
      </c>
      <c r="V168" s="4">
        <v>1</v>
      </c>
      <c r="W168" s="4">
        <v>1</v>
      </c>
      <c r="X168" s="4">
        <v>1</v>
      </c>
      <c r="Y168" s="4" t="s">
        <v>140</v>
      </c>
      <c r="Z168" s="4">
        <v>1</v>
      </c>
      <c r="AA168" s="4">
        <v>1</v>
      </c>
      <c r="AB168" s="4">
        <v>1</v>
      </c>
      <c r="AC168" s="4">
        <v>1</v>
      </c>
      <c r="AD168" s="4">
        <v>1</v>
      </c>
      <c r="AE168" s="4">
        <v>1</v>
      </c>
      <c r="AF168" s="4" t="s">
        <v>140</v>
      </c>
      <c r="AG168" s="4">
        <v>1</v>
      </c>
      <c r="AH168" s="4">
        <v>1</v>
      </c>
      <c r="AI168" s="4">
        <v>1</v>
      </c>
      <c r="AJ168" s="4">
        <v>1</v>
      </c>
      <c r="AK168" s="4">
        <v>1</v>
      </c>
      <c r="AL168" s="4">
        <v>1</v>
      </c>
      <c r="AM168" s="4">
        <v>1</v>
      </c>
      <c r="AN168" s="4">
        <v>1</v>
      </c>
      <c r="AO168" s="4"/>
    </row>
    <row r="169" spans="1:41" hidden="1" x14ac:dyDescent="0.2">
      <c r="A169" s="13">
        <f t="shared" si="4"/>
        <v>8</v>
      </c>
      <c r="B169" s="13">
        <f t="shared" si="5"/>
        <v>2</v>
      </c>
      <c r="C169" s="13" t="str">
        <f>VLOOKUP(B169,Correspondance!$D$3:$E$14,2,FALSE)</f>
        <v>Février</v>
      </c>
      <c r="D169" s="15" t="str">
        <f>VLOOKUP(G169,Correspondance!$A$3:$B$10,2,FALSE)</f>
        <v>ASF</v>
      </c>
      <c r="E169" s="1" t="s">
        <v>1071</v>
      </c>
      <c r="F169" s="2" t="s">
        <v>169</v>
      </c>
      <c r="G169" s="3" t="s">
        <v>52</v>
      </c>
      <c r="H169" s="4" t="s">
        <v>191</v>
      </c>
      <c r="I169" s="4" t="s">
        <v>192</v>
      </c>
      <c r="J169" s="5" t="s">
        <v>57</v>
      </c>
      <c r="K169" s="6">
        <v>100</v>
      </c>
      <c r="L169" s="4" t="s">
        <v>1326</v>
      </c>
      <c r="M169" s="4" t="s">
        <v>215</v>
      </c>
      <c r="N169" s="4" t="s">
        <v>46</v>
      </c>
      <c r="O169" s="4" t="s">
        <v>99</v>
      </c>
      <c r="P169" s="4" t="s">
        <v>1162</v>
      </c>
      <c r="Q169" s="4" t="s">
        <v>49</v>
      </c>
      <c r="R169" s="4">
        <v>1</v>
      </c>
      <c r="S169" s="4">
        <v>1</v>
      </c>
      <c r="T169" s="4">
        <v>1</v>
      </c>
      <c r="U169" s="4">
        <v>1</v>
      </c>
      <c r="V169" s="4">
        <v>1</v>
      </c>
      <c r="W169" s="4">
        <v>1</v>
      </c>
      <c r="X169" s="4">
        <v>1</v>
      </c>
      <c r="Y169" s="4" t="s">
        <v>140</v>
      </c>
      <c r="Z169" s="4">
        <v>1</v>
      </c>
      <c r="AA169" s="4">
        <v>1</v>
      </c>
      <c r="AB169" s="4">
        <v>1</v>
      </c>
      <c r="AC169" s="4">
        <v>1</v>
      </c>
      <c r="AD169" s="4">
        <v>1</v>
      </c>
      <c r="AE169" s="4">
        <v>1</v>
      </c>
      <c r="AF169" s="4" t="s">
        <v>140</v>
      </c>
      <c r="AG169" s="4">
        <v>1</v>
      </c>
      <c r="AH169" s="4">
        <v>1</v>
      </c>
      <c r="AI169" s="4">
        <v>1</v>
      </c>
      <c r="AJ169" s="4">
        <v>1</v>
      </c>
      <c r="AK169" s="4">
        <v>1</v>
      </c>
      <c r="AL169" s="4">
        <v>1</v>
      </c>
      <c r="AM169" s="4">
        <v>1</v>
      </c>
      <c r="AN169" s="4">
        <v>1</v>
      </c>
      <c r="AO169" s="4" t="s">
        <v>1183</v>
      </c>
    </row>
    <row r="170" spans="1:41" hidden="1" x14ac:dyDescent="0.2">
      <c r="A170" s="13">
        <f t="shared" si="4"/>
        <v>8</v>
      </c>
      <c r="B170" s="13">
        <f t="shared" si="5"/>
        <v>2</v>
      </c>
      <c r="C170" s="13" t="str">
        <f>VLOOKUP(B170,Correspondance!$D$3:$E$14,2,FALSE)</f>
        <v>Février</v>
      </c>
      <c r="D170" s="15" t="str">
        <f>VLOOKUP(G170,Correspondance!$A$3:$B$10,2,FALSE)</f>
        <v>ASF</v>
      </c>
      <c r="E170" s="1" t="s">
        <v>1071</v>
      </c>
      <c r="F170" s="2" t="s">
        <v>169</v>
      </c>
      <c r="G170" s="3" t="s">
        <v>52</v>
      </c>
      <c r="H170" s="4" t="s">
        <v>1203</v>
      </c>
      <c r="I170" s="4" t="s">
        <v>194</v>
      </c>
      <c r="J170" s="5" t="s">
        <v>57</v>
      </c>
      <c r="K170" s="6">
        <v>100</v>
      </c>
      <c r="L170" s="4" t="s">
        <v>1327</v>
      </c>
      <c r="M170" s="4" t="s">
        <v>215</v>
      </c>
      <c r="N170" s="4" t="s">
        <v>46</v>
      </c>
      <c r="O170" s="4" t="s">
        <v>99</v>
      </c>
      <c r="P170" s="4" t="s">
        <v>1328</v>
      </c>
      <c r="Q170" s="4" t="s">
        <v>49</v>
      </c>
      <c r="R170" s="4">
        <v>1</v>
      </c>
      <c r="S170" s="4">
        <v>1</v>
      </c>
      <c r="T170" s="4">
        <v>1</v>
      </c>
      <c r="U170" s="4">
        <v>1</v>
      </c>
      <c r="V170" s="4">
        <v>1</v>
      </c>
      <c r="W170" s="4">
        <v>1</v>
      </c>
      <c r="X170" s="4">
        <v>1</v>
      </c>
      <c r="Y170" s="4" t="s">
        <v>140</v>
      </c>
      <c r="Z170" s="4" t="s">
        <v>140</v>
      </c>
      <c r="AA170" s="4">
        <v>1</v>
      </c>
      <c r="AB170" s="4">
        <v>1</v>
      </c>
      <c r="AC170" s="4">
        <v>1</v>
      </c>
      <c r="AD170" s="4">
        <v>1</v>
      </c>
      <c r="AE170" s="4">
        <v>1</v>
      </c>
      <c r="AF170" s="4" t="s">
        <v>140</v>
      </c>
      <c r="AG170" s="4">
        <v>1</v>
      </c>
      <c r="AH170" s="4">
        <v>1</v>
      </c>
      <c r="AI170" s="4">
        <v>1</v>
      </c>
      <c r="AJ170" s="4">
        <v>1</v>
      </c>
      <c r="AK170" s="4">
        <v>1</v>
      </c>
      <c r="AL170" s="4">
        <v>1</v>
      </c>
      <c r="AM170" s="4">
        <v>1</v>
      </c>
      <c r="AN170" s="4">
        <v>1</v>
      </c>
      <c r="AO170" s="4" t="s">
        <v>1183</v>
      </c>
    </row>
    <row r="171" spans="1:41" hidden="1" x14ac:dyDescent="0.2">
      <c r="A171" s="13">
        <f t="shared" si="4"/>
        <v>8</v>
      </c>
      <c r="B171" s="13">
        <f t="shared" si="5"/>
        <v>2</v>
      </c>
      <c r="C171" s="13" t="str">
        <f>VLOOKUP(B171,Correspondance!$D$3:$E$14,2,FALSE)</f>
        <v>Février</v>
      </c>
      <c r="D171" s="15" t="str">
        <f>VLOOKUP(G171,Correspondance!$A$3:$B$10,2,FALSE)</f>
        <v>ASF</v>
      </c>
      <c r="E171" s="1" t="s">
        <v>1079</v>
      </c>
      <c r="F171" s="2" t="s">
        <v>169</v>
      </c>
      <c r="G171" s="3" t="s">
        <v>52</v>
      </c>
      <c r="H171" s="4" t="s">
        <v>191</v>
      </c>
      <c r="I171" s="4" t="s">
        <v>192</v>
      </c>
      <c r="J171" s="5" t="s">
        <v>57</v>
      </c>
      <c r="K171" s="6">
        <v>100</v>
      </c>
      <c r="L171" s="4" t="s">
        <v>1329</v>
      </c>
      <c r="M171" s="4" t="s">
        <v>368</v>
      </c>
      <c r="N171" s="4" t="s">
        <v>46</v>
      </c>
      <c r="O171" s="4" t="s">
        <v>47</v>
      </c>
      <c r="P171" s="4" t="s">
        <v>1330</v>
      </c>
      <c r="Q171" s="4" t="s">
        <v>49</v>
      </c>
      <c r="R171" s="4">
        <v>1</v>
      </c>
      <c r="S171" s="4">
        <v>1</v>
      </c>
      <c r="T171" s="4">
        <v>1</v>
      </c>
      <c r="U171" s="4">
        <v>1</v>
      </c>
      <c r="V171" s="4">
        <v>1</v>
      </c>
      <c r="W171" s="4">
        <v>1</v>
      </c>
      <c r="X171" s="4">
        <v>1</v>
      </c>
      <c r="Y171" s="4" t="s">
        <v>140</v>
      </c>
      <c r="Z171" s="4">
        <v>1</v>
      </c>
      <c r="AA171" s="4">
        <v>1</v>
      </c>
      <c r="AB171" s="4">
        <v>1</v>
      </c>
      <c r="AC171" s="4">
        <v>1</v>
      </c>
      <c r="AD171" s="4">
        <v>1</v>
      </c>
      <c r="AE171" s="4">
        <v>1</v>
      </c>
      <c r="AF171" s="4" t="s">
        <v>140</v>
      </c>
      <c r="AG171" s="4">
        <v>1</v>
      </c>
      <c r="AH171" s="4">
        <v>1</v>
      </c>
      <c r="AI171" s="4">
        <v>1</v>
      </c>
      <c r="AJ171" s="4">
        <v>1</v>
      </c>
      <c r="AK171" s="4" t="s">
        <v>140</v>
      </c>
      <c r="AL171" s="4" t="s">
        <v>140</v>
      </c>
      <c r="AM171" s="4" t="s">
        <v>140</v>
      </c>
      <c r="AN171" s="4" t="s">
        <v>140</v>
      </c>
      <c r="AO171" s="4" t="s">
        <v>1183</v>
      </c>
    </row>
    <row r="172" spans="1:41" hidden="1" x14ac:dyDescent="0.2">
      <c r="A172" s="13">
        <f t="shared" si="4"/>
        <v>10</v>
      </c>
      <c r="B172" s="13">
        <f t="shared" si="5"/>
        <v>3</v>
      </c>
      <c r="C172" s="13" t="str">
        <f>VLOOKUP(B172,Correspondance!$D$3:$E$14,2,FALSE)</f>
        <v>Mars</v>
      </c>
      <c r="D172" s="15" t="str">
        <f>VLOOKUP(G172,Correspondance!$A$3:$B$10,2,FALSE)</f>
        <v>ASF</v>
      </c>
      <c r="E172" s="1" t="s">
        <v>875</v>
      </c>
      <c r="F172" s="2" t="s">
        <v>169</v>
      </c>
      <c r="G172" s="3" t="s">
        <v>41</v>
      </c>
      <c r="H172" s="4" t="s">
        <v>300</v>
      </c>
      <c r="I172" s="4" t="s">
        <v>301</v>
      </c>
      <c r="J172" s="5" t="s">
        <v>235</v>
      </c>
      <c r="K172" s="6">
        <v>100</v>
      </c>
      <c r="L172" s="4" t="s">
        <v>876</v>
      </c>
      <c r="M172" s="4" t="s">
        <v>174</v>
      </c>
      <c r="N172" s="4" t="s">
        <v>238</v>
      </c>
      <c r="O172" s="4" t="s">
        <v>99</v>
      </c>
      <c r="P172" s="4" t="s">
        <v>200</v>
      </c>
      <c r="Q172" s="4" t="s">
        <v>49</v>
      </c>
      <c r="R172" s="4">
        <v>1</v>
      </c>
      <c r="S172" s="4">
        <v>1</v>
      </c>
      <c r="T172" s="4">
        <v>1</v>
      </c>
      <c r="U172" s="4">
        <v>1</v>
      </c>
      <c r="V172" s="4">
        <v>1</v>
      </c>
      <c r="W172" s="4">
        <v>1</v>
      </c>
      <c r="X172" s="4">
        <v>1</v>
      </c>
      <c r="Y172" s="4">
        <v>1</v>
      </c>
      <c r="Z172" s="4" t="s">
        <v>140</v>
      </c>
      <c r="AA172" s="4">
        <v>1</v>
      </c>
      <c r="AB172" s="4">
        <v>1</v>
      </c>
      <c r="AC172" s="4">
        <v>1</v>
      </c>
      <c r="AD172" s="4">
        <v>1</v>
      </c>
      <c r="AE172" s="4">
        <v>1</v>
      </c>
      <c r="AF172" s="4">
        <v>1</v>
      </c>
      <c r="AG172" s="4">
        <v>1</v>
      </c>
      <c r="AH172" s="4" t="s">
        <v>140</v>
      </c>
      <c r="AI172" s="4">
        <v>1</v>
      </c>
      <c r="AJ172" s="4">
        <v>1</v>
      </c>
      <c r="AK172" s="4">
        <v>1</v>
      </c>
      <c r="AL172" s="4" t="s">
        <v>140</v>
      </c>
      <c r="AM172" s="4" t="s">
        <v>140</v>
      </c>
      <c r="AN172" s="4" t="s">
        <v>140</v>
      </c>
      <c r="AO172" s="4" t="s">
        <v>953</v>
      </c>
    </row>
    <row r="173" spans="1:41" x14ac:dyDescent="0.2">
      <c r="A173" s="13">
        <f t="shared" si="4"/>
        <v>10</v>
      </c>
      <c r="B173" s="13">
        <f t="shared" si="5"/>
        <v>3</v>
      </c>
      <c r="C173" s="13" t="str">
        <f>VLOOKUP(B173,Correspondance!$D$3:$E$14,2,FALSE)</f>
        <v>Mars</v>
      </c>
      <c r="D173" s="15" t="str">
        <f>VLOOKUP(G173,Correspondance!$A$3:$B$10,2,FALSE)</f>
        <v>ASF</v>
      </c>
      <c r="E173" s="1" t="s">
        <v>875</v>
      </c>
      <c r="F173" s="2" t="s">
        <v>169</v>
      </c>
      <c r="G173" s="3" t="s">
        <v>41</v>
      </c>
      <c r="H173" s="4" t="s">
        <v>527</v>
      </c>
      <c r="I173" s="4" t="s">
        <v>528</v>
      </c>
      <c r="J173" s="5" t="s">
        <v>235</v>
      </c>
      <c r="K173" s="6">
        <v>84.72</v>
      </c>
      <c r="L173" s="4" t="s">
        <v>877</v>
      </c>
      <c r="M173" s="4" t="s">
        <v>174</v>
      </c>
      <c r="N173" s="4" t="s">
        <v>238</v>
      </c>
      <c r="O173" s="4" t="s">
        <v>99</v>
      </c>
      <c r="P173" s="4" t="s">
        <v>878</v>
      </c>
      <c r="Q173" s="4" t="s">
        <v>49</v>
      </c>
      <c r="R173" s="4">
        <v>1</v>
      </c>
      <c r="S173" s="4">
        <v>1</v>
      </c>
      <c r="T173" s="4">
        <v>1</v>
      </c>
      <c r="U173" s="4">
        <v>1</v>
      </c>
      <c r="V173" s="4">
        <v>1</v>
      </c>
      <c r="W173" s="4">
        <v>1</v>
      </c>
      <c r="X173" s="4">
        <v>1</v>
      </c>
      <c r="Y173" s="4">
        <v>1</v>
      </c>
      <c r="Z173" s="4" t="s">
        <v>140</v>
      </c>
      <c r="AA173" s="4">
        <v>1</v>
      </c>
      <c r="AB173" s="4">
        <v>1</v>
      </c>
      <c r="AC173" s="4">
        <v>0</v>
      </c>
      <c r="AD173" s="4">
        <v>1</v>
      </c>
      <c r="AE173" s="4">
        <v>1</v>
      </c>
      <c r="AF173" s="4" t="s">
        <v>140</v>
      </c>
      <c r="AG173" s="4">
        <v>1</v>
      </c>
      <c r="AH173" s="4" t="s">
        <v>140</v>
      </c>
      <c r="AI173" s="4">
        <v>1</v>
      </c>
      <c r="AJ173" s="4">
        <v>0</v>
      </c>
      <c r="AK173" s="4">
        <v>1</v>
      </c>
      <c r="AL173" s="4" t="s">
        <v>140</v>
      </c>
      <c r="AM173" s="4" t="s">
        <v>140</v>
      </c>
      <c r="AN173" s="4" t="s">
        <v>140</v>
      </c>
      <c r="AO173" s="4" t="s">
        <v>948</v>
      </c>
    </row>
    <row r="174" spans="1:41" hidden="1" x14ac:dyDescent="0.2">
      <c r="A174" s="13">
        <f t="shared" si="4"/>
        <v>10</v>
      </c>
      <c r="B174" s="13">
        <f t="shared" si="5"/>
        <v>3</v>
      </c>
      <c r="C174" s="13" t="str">
        <f>VLOOKUP(B174,Correspondance!$D$3:$E$14,2,FALSE)</f>
        <v>Mars</v>
      </c>
      <c r="D174" s="15" t="str">
        <f>VLOOKUP(G174,Correspondance!$A$3:$B$10,2,FALSE)</f>
        <v>ASF</v>
      </c>
      <c r="E174" s="1" t="s">
        <v>875</v>
      </c>
      <c r="F174" s="2" t="s">
        <v>169</v>
      </c>
      <c r="G174" s="3" t="s">
        <v>41</v>
      </c>
      <c r="H174" s="4" t="s">
        <v>78</v>
      </c>
      <c r="I174" s="4" t="s">
        <v>79</v>
      </c>
      <c r="J174" s="5" t="s">
        <v>57</v>
      </c>
      <c r="K174" s="6">
        <v>100</v>
      </c>
      <c r="L174" s="4" t="s">
        <v>879</v>
      </c>
      <c r="M174" s="4" t="s">
        <v>223</v>
      </c>
      <c r="N174" s="4" t="s">
        <v>46</v>
      </c>
      <c r="O174" s="4" t="s">
        <v>175</v>
      </c>
      <c r="P174" s="4" t="s">
        <v>275</v>
      </c>
      <c r="Q174" s="4" t="s">
        <v>49</v>
      </c>
      <c r="R174" s="4">
        <v>1</v>
      </c>
      <c r="S174" s="4">
        <v>1</v>
      </c>
      <c r="T174" s="4">
        <v>1</v>
      </c>
      <c r="U174" s="4">
        <v>1</v>
      </c>
      <c r="V174" s="4">
        <v>1</v>
      </c>
      <c r="W174" s="4">
        <v>1</v>
      </c>
      <c r="X174" s="4">
        <v>1</v>
      </c>
      <c r="Y174" s="4" t="s">
        <v>140</v>
      </c>
      <c r="Z174" s="4">
        <v>1</v>
      </c>
      <c r="AA174" s="4">
        <v>1</v>
      </c>
      <c r="AB174" s="4">
        <v>1</v>
      </c>
      <c r="AC174" s="4">
        <v>1</v>
      </c>
      <c r="AD174" s="4">
        <v>1</v>
      </c>
      <c r="AE174" s="4">
        <v>1</v>
      </c>
      <c r="AF174" s="4" t="s">
        <v>140</v>
      </c>
      <c r="AG174" s="4">
        <v>1</v>
      </c>
      <c r="AH174" s="4">
        <v>1</v>
      </c>
      <c r="AI174" s="4">
        <v>1</v>
      </c>
      <c r="AJ174" s="4">
        <v>1</v>
      </c>
      <c r="AK174" s="4">
        <v>1</v>
      </c>
      <c r="AL174" s="4">
        <v>1</v>
      </c>
      <c r="AM174" s="4">
        <v>1</v>
      </c>
      <c r="AN174" s="4">
        <v>1</v>
      </c>
      <c r="AO174" s="4" t="s">
        <v>917</v>
      </c>
    </row>
    <row r="175" spans="1:41" hidden="1" x14ac:dyDescent="0.2">
      <c r="A175" s="13">
        <f t="shared" si="4"/>
        <v>10</v>
      </c>
      <c r="B175" s="13">
        <f t="shared" si="5"/>
        <v>3</v>
      </c>
      <c r="C175" s="13" t="str">
        <f>VLOOKUP(B175,Correspondance!$D$3:$E$14,2,FALSE)</f>
        <v>Mars</v>
      </c>
      <c r="D175" s="15" t="str">
        <f>VLOOKUP(G175,Correspondance!$A$3:$B$10,2,FALSE)</f>
        <v>ASF</v>
      </c>
      <c r="E175" s="1" t="s">
        <v>875</v>
      </c>
      <c r="F175" s="2" t="s">
        <v>169</v>
      </c>
      <c r="G175" s="3" t="s">
        <v>41</v>
      </c>
      <c r="H175" s="4" t="s">
        <v>179</v>
      </c>
      <c r="I175" s="4" t="s">
        <v>180</v>
      </c>
      <c r="J175" s="5" t="s">
        <v>235</v>
      </c>
      <c r="K175" s="6">
        <v>100</v>
      </c>
      <c r="L175" s="4" t="s">
        <v>880</v>
      </c>
      <c r="M175" s="4" t="s">
        <v>215</v>
      </c>
      <c r="N175" s="4" t="s">
        <v>238</v>
      </c>
      <c r="O175" s="4" t="s">
        <v>99</v>
      </c>
      <c r="P175" s="4" t="s">
        <v>881</v>
      </c>
      <c r="Q175" s="4" t="s">
        <v>49</v>
      </c>
      <c r="R175" s="4">
        <v>1</v>
      </c>
      <c r="S175" s="4">
        <v>1</v>
      </c>
      <c r="T175" s="4">
        <v>1</v>
      </c>
      <c r="U175" s="4">
        <v>1</v>
      </c>
      <c r="V175" s="4">
        <v>1</v>
      </c>
      <c r="W175" s="4">
        <v>1</v>
      </c>
      <c r="X175" s="4">
        <v>1</v>
      </c>
      <c r="Y175" s="4">
        <v>1</v>
      </c>
      <c r="Z175" s="4">
        <v>1</v>
      </c>
      <c r="AA175" s="4">
        <v>1</v>
      </c>
      <c r="AB175" s="4">
        <v>1</v>
      </c>
      <c r="AC175" s="4">
        <v>1</v>
      </c>
      <c r="AD175" s="4">
        <v>1</v>
      </c>
      <c r="AE175" s="4">
        <v>1</v>
      </c>
      <c r="AF175" s="4">
        <v>1</v>
      </c>
      <c r="AG175" s="4">
        <v>1</v>
      </c>
      <c r="AH175" s="4" t="s">
        <v>140</v>
      </c>
      <c r="AI175" s="4">
        <v>1</v>
      </c>
      <c r="AJ175" s="4">
        <v>1</v>
      </c>
      <c r="AK175" s="4">
        <v>1</v>
      </c>
      <c r="AL175" s="4" t="s">
        <v>140</v>
      </c>
      <c r="AM175" s="4" t="s">
        <v>140</v>
      </c>
      <c r="AN175" s="4" t="s">
        <v>140</v>
      </c>
      <c r="AO175" s="4" t="s">
        <v>953</v>
      </c>
    </row>
    <row r="176" spans="1:41" hidden="1" x14ac:dyDescent="0.2">
      <c r="A176" s="13">
        <f t="shared" si="4"/>
        <v>10</v>
      </c>
      <c r="B176" s="13">
        <f t="shared" si="5"/>
        <v>3</v>
      </c>
      <c r="C176" s="13" t="str">
        <f>VLOOKUP(B176,Correspondance!$D$3:$E$14,2,FALSE)</f>
        <v>Mars</v>
      </c>
      <c r="D176" s="15" t="str">
        <f>VLOOKUP(G176,Correspondance!$A$3:$B$10,2,FALSE)</f>
        <v>ASF</v>
      </c>
      <c r="E176" s="1" t="s">
        <v>875</v>
      </c>
      <c r="F176" s="2" t="s">
        <v>169</v>
      </c>
      <c r="G176" s="3" t="s">
        <v>52</v>
      </c>
      <c r="H176" s="4" t="s">
        <v>233</v>
      </c>
      <c r="I176" s="4" t="s">
        <v>234</v>
      </c>
      <c r="J176" s="5" t="s">
        <v>235</v>
      </c>
      <c r="K176" s="6">
        <v>100</v>
      </c>
      <c r="L176" s="4" t="s">
        <v>882</v>
      </c>
      <c r="M176" s="4" t="s">
        <v>365</v>
      </c>
      <c r="N176" s="4" t="s">
        <v>238</v>
      </c>
      <c r="O176" s="4" t="s">
        <v>99</v>
      </c>
      <c r="P176" s="4" t="s">
        <v>878</v>
      </c>
      <c r="Q176" s="4" t="s">
        <v>49</v>
      </c>
      <c r="R176" s="4">
        <v>1</v>
      </c>
      <c r="S176" s="4">
        <v>1</v>
      </c>
      <c r="T176" s="4">
        <v>1</v>
      </c>
      <c r="U176" s="4">
        <v>1</v>
      </c>
      <c r="V176" s="4">
        <v>1</v>
      </c>
      <c r="W176" s="4">
        <v>1</v>
      </c>
      <c r="X176" s="4">
        <v>1</v>
      </c>
      <c r="Y176" s="4">
        <v>1</v>
      </c>
      <c r="Z176" s="4" t="s">
        <v>140</v>
      </c>
      <c r="AA176" s="4">
        <v>1</v>
      </c>
      <c r="AB176" s="4">
        <v>1</v>
      </c>
      <c r="AC176" s="4">
        <v>1</v>
      </c>
      <c r="AD176" s="4">
        <v>1</v>
      </c>
      <c r="AE176" s="4">
        <v>1</v>
      </c>
      <c r="AF176" s="4">
        <v>1</v>
      </c>
      <c r="AG176" s="4">
        <v>1</v>
      </c>
      <c r="AH176" s="4" t="s">
        <v>140</v>
      </c>
      <c r="AI176" s="4">
        <v>1</v>
      </c>
      <c r="AJ176" s="4">
        <v>1</v>
      </c>
      <c r="AK176" s="4">
        <v>1</v>
      </c>
      <c r="AL176" s="4" t="s">
        <v>140</v>
      </c>
      <c r="AM176" s="4" t="s">
        <v>140</v>
      </c>
      <c r="AN176" s="4" t="s">
        <v>140</v>
      </c>
      <c r="AO176" s="4" t="s">
        <v>948</v>
      </c>
    </row>
    <row r="177" spans="1:41" hidden="1" x14ac:dyDescent="0.2">
      <c r="A177" s="13">
        <f t="shared" si="4"/>
        <v>10</v>
      </c>
      <c r="B177" s="13">
        <f t="shared" si="5"/>
        <v>3</v>
      </c>
      <c r="C177" s="13" t="str">
        <f>VLOOKUP(B177,Correspondance!$D$3:$E$14,2,FALSE)</f>
        <v>Mars</v>
      </c>
      <c r="D177" s="15" t="str">
        <f>VLOOKUP(G177,Correspondance!$A$3:$B$10,2,FALSE)</f>
        <v>ASF</v>
      </c>
      <c r="E177" s="1" t="s">
        <v>875</v>
      </c>
      <c r="F177" s="2" t="s">
        <v>169</v>
      </c>
      <c r="G177" s="3" t="s">
        <v>52</v>
      </c>
      <c r="H177" s="4" t="s">
        <v>1203</v>
      </c>
      <c r="I177" s="4" t="s">
        <v>194</v>
      </c>
      <c r="J177" s="5" t="s">
        <v>235</v>
      </c>
      <c r="K177" s="6">
        <v>93.4</v>
      </c>
      <c r="L177" s="4" t="s">
        <v>883</v>
      </c>
      <c r="M177" s="4" t="s">
        <v>174</v>
      </c>
      <c r="N177" s="4" t="s">
        <v>238</v>
      </c>
      <c r="O177" s="4" t="s">
        <v>99</v>
      </c>
      <c r="P177" s="4" t="s">
        <v>884</v>
      </c>
      <c r="Q177" s="4" t="s">
        <v>49</v>
      </c>
      <c r="R177" s="4">
        <v>1</v>
      </c>
      <c r="S177" s="4">
        <v>0</v>
      </c>
      <c r="T177" s="4">
        <v>1</v>
      </c>
      <c r="U177" s="4">
        <v>1</v>
      </c>
      <c r="V177" s="4">
        <v>1</v>
      </c>
      <c r="W177" s="4">
        <v>1</v>
      </c>
      <c r="X177" s="4">
        <v>1</v>
      </c>
      <c r="Y177" s="4">
        <v>1</v>
      </c>
      <c r="Z177" s="4" t="s">
        <v>140</v>
      </c>
      <c r="AA177" s="4">
        <v>1</v>
      </c>
      <c r="AB177" s="4">
        <v>1</v>
      </c>
      <c r="AC177" s="4">
        <v>1</v>
      </c>
      <c r="AD177" s="4">
        <v>1</v>
      </c>
      <c r="AE177" s="4">
        <v>1</v>
      </c>
      <c r="AF177" s="4">
        <v>1</v>
      </c>
      <c r="AG177" s="4">
        <v>1</v>
      </c>
      <c r="AH177" s="4" t="s">
        <v>140</v>
      </c>
      <c r="AI177" s="4">
        <v>1</v>
      </c>
      <c r="AJ177" s="4">
        <v>1</v>
      </c>
      <c r="AK177" s="4">
        <v>1</v>
      </c>
      <c r="AL177" s="4" t="s">
        <v>140</v>
      </c>
      <c r="AM177" s="4" t="s">
        <v>140</v>
      </c>
      <c r="AN177" s="4" t="s">
        <v>140</v>
      </c>
      <c r="AO177" s="4" t="s">
        <v>948</v>
      </c>
    </row>
    <row r="178" spans="1:41" hidden="1" x14ac:dyDescent="0.2">
      <c r="A178" s="13">
        <f t="shared" si="4"/>
        <v>10</v>
      </c>
      <c r="B178" s="13">
        <f t="shared" si="5"/>
        <v>3</v>
      </c>
      <c r="C178" s="13" t="str">
        <f>VLOOKUP(B178,Correspondance!$D$3:$E$14,2,FALSE)</f>
        <v>Mars</v>
      </c>
      <c r="D178" s="15" t="str">
        <f>VLOOKUP(G178,Correspondance!$A$3:$B$10,2,FALSE)</f>
        <v>ASF</v>
      </c>
      <c r="E178" s="1" t="s">
        <v>875</v>
      </c>
      <c r="F178" s="2" t="s">
        <v>169</v>
      </c>
      <c r="G178" s="3" t="s">
        <v>61</v>
      </c>
      <c r="H178" s="4" t="s">
        <v>1204</v>
      </c>
      <c r="I178" s="4" t="s">
        <v>208</v>
      </c>
      <c r="J178" s="5" t="s">
        <v>235</v>
      </c>
      <c r="K178" s="6">
        <v>100</v>
      </c>
      <c r="L178" s="4" t="s">
        <v>885</v>
      </c>
      <c r="M178" s="4" t="s">
        <v>215</v>
      </c>
      <c r="N178" s="4" t="s">
        <v>238</v>
      </c>
      <c r="O178" s="4" t="s">
        <v>99</v>
      </c>
      <c r="P178" s="4" t="s">
        <v>878</v>
      </c>
      <c r="Q178" s="4" t="s">
        <v>49</v>
      </c>
      <c r="R178" s="4">
        <v>1</v>
      </c>
      <c r="S178" s="4">
        <v>1</v>
      </c>
      <c r="T178" s="4">
        <v>1</v>
      </c>
      <c r="U178" s="4">
        <v>1</v>
      </c>
      <c r="V178" s="4">
        <v>1</v>
      </c>
      <c r="W178" s="4">
        <v>1</v>
      </c>
      <c r="X178" s="4">
        <v>1</v>
      </c>
      <c r="Y178" s="4" t="s">
        <v>140</v>
      </c>
      <c r="Z178" s="4" t="s">
        <v>140</v>
      </c>
      <c r="AA178" s="4">
        <v>1</v>
      </c>
      <c r="AB178" s="4">
        <v>1</v>
      </c>
      <c r="AC178" s="4">
        <v>1</v>
      </c>
      <c r="AD178" s="4">
        <v>1</v>
      </c>
      <c r="AE178" s="4">
        <v>1</v>
      </c>
      <c r="AF178" s="4" t="s">
        <v>140</v>
      </c>
      <c r="AG178" s="4">
        <v>1</v>
      </c>
      <c r="AH178" s="4" t="s">
        <v>140</v>
      </c>
      <c r="AI178" s="4">
        <v>1</v>
      </c>
      <c r="AJ178" s="4">
        <v>1</v>
      </c>
      <c r="AK178" s="4">
        <v>1</v>
      </c>
      <c r="AL178" s="4" t="s">
        <v>140</v>
      </c>
      <c r="AM178" s="4" t="s">
        <v>140</v>
      </c>
      <c r="AN178" s="4" t="s">
        <v>140</v>
      </c>
      <c r="AO178" s="4" t="s">
        <v>953</v>
      </c>
    </row>
    <row r="179" spans="1:41" hidden="1" x14ac:dyDescent="0.2">
      <c r="A179" s="13">
        <f t="shared" si="4"/>
        <v>10</v>
      </c>
      <c r="B179" s="13">
        <f t="shared" si="5"/>
        <v>3</v>
      </c>
      <c r="C179" s="13" t="str">
        <f>VLOOKUP(B179,Correspondance!$D$3:$E$14,2,FALSE)</f>
        <v>Mars</v>
      </c>
      <c r="D179" s="15" t="str">
        <f>VLOOKUP(G179,Correspondance!$A$3:$B$10,2,FALSE)</f>
        <v>ASF</v>
      </c>
      <c r="E179" s="1" t="s">
        <v>886</v>
      </c>
      <c r="F179" s="2" t="s">
        <v>169</v>
      </c>
      <c r="G179" s="3" t="s">
        <v>41</v>
      </c>
      <c r="H179" s="4" t="s">
        <v>300</v>
      </c>
      <c r="I179" s="4" t="s">
        <v>301</v>
      </c>
      <c r="J179" s="5" t="s">
        <v>57</v>
      </c>
      <c r="K179" s="6">
        <v>100</v>
      </c>
      <c r="L179" s="4" t="s">
        <v>887</v>
      </c>
      <c r="M179" s="4" t="s">
        <v>174</v>
      </c>
      <c r="N179" s="4" t="s">
        <v>46</v>
      </c>
      <c r="O179" s="4" t="s">
        <v>99</v>
      </c>
      <c r="P179" s="4" t="s">
        <v>275</v>
      </c>
      <c r="Q179" s="4" t="s">
        <v>49</v>
      </c>
      <c r="R179" s="4">
        <v>1</v>
      </c>
      <c r="S179" s="4">
        <v>1</v>
      </c>
      <c r="T179" s="4">
        <v>1</v>
      </c>
      <c r="U179" s="4">
        <v>1</v>
      </c>
      <c r="V179" s="4">
        <v>1</v>
      </c>
      <c r="W179" s="4">
        <v>1</v>
      </c>
      <c r="X179" s="4">
        <v>1</v>
      </c>
      <c r="Y179" s="4" t="s">
        <v>140</v>
      </c>
      <c r="Z179" s="4">
        <v>1</v>
      </c>
      <c r="AA179" s="4">
        <v>1</v>
      </c>
      <c r="AB179" s="4">
        <v>1</v>
      </c>
      <c r="AC179" s="4">
        <v>1</v>
      </c>
      <c r="AD179" s="4">
        <v>1</v>
      </c>
      <c r="AE179" s="4">
        <v>1</v>
      </c>
      <c r="AF179" s="4" t="s">
        <v>140</v>
      </c>
      <c r="AG179" s="4">
        <v>1</v>
      </c>
      <c r="AH179" s="4">
        <v>1</v>
      </c>
      <c r="AI179" s="4">
        <v>1</v>
      </c>
      <c r="AJ179" s="4">
        <v>1</v>
      </c>
      <c r="AK179" s="4">
        <v>1</v>
      </c>
      <c r="AL179" s="4">
        <v>1</v>
      </c>
      <c r="AM179" s="4">
        <v>1</v>
      </c>
      <c r="AN179" s="4">
        <v>1</v>
      </c>
      <c r="AO179" s="4" t="s">
        <v>953</v>
      </c>
    </row>
    <row r="180" spans="1:41" hidden="1" x14ac:dyDescent="0.2">
      <c r="A180" s="13">
        <f t="shared" si="4"/>
        <v>10</v>
      </c>
      <c r="B180" s="13">
        <f t="shared" si="5"/>
        <v>3</v>
      </c>
      <c r="C180" s="13" t="str">
        <f>VLOOKUP(B180,Correspondance!$D$3:$E$14,2,FALSE)</f>
        <v>Mars</v>
      </c>
      <c r="D180" s="15" t="str">
        <f>VLOOKUP(G180,Correspondance!$A$3:$B$10,2,FALSE)</f>
        <v>ASF</v>
      </c>
      <c r="E180" s="1" t="s">
        <v>886</v>
      </c>
      <c r="F180" s="2" t="s">
        <v>169</v>
      </c>
      <c r="G180" s="3" t="s">
        <v>61</v>
      </c>
      <c r="H180" s="4" t="s">
        <v>342</v>
      </c>
      <c r="I180" s="4" t="s">
        <v>343</v>
      </c>
      <c r="J180" s="5" t="s">
        <v>57</v>
      </c>
      <c r="K180" s="6">
        <v>100</v>
      </c>
      <c r="L180" s="4" t="s">
        <v>888</v>
      </c>
      <c r="M180" s="4" t="s">
        <v>174</v>
      </c>
      <c r="N180" s="4" t="s">
        <v>46</v>
      </c>
      <c r="O180" s="4" t="s">
        <v>175</v>
      </c>
      <c r="P180" s="4" t="s">
        <v>782</v>
      </c>
      <c r="Q180" s="4" t="s">
        <v>49</v>
      </c>
      <c r="R180" s="4">
        <v>1</v>
      </c>
      <c r="S180" s="4">
        <v>1</v>
      </c>
      <c r="T180" s="4">
        <v>1</v>
      </c>
      <c r="U180" s="4">
        <v>1</v>
      </c>
      <c r="V180" s="4">
        <v>1</v>
      </c>
      <c r="W180" s="4">
        <v>1</v>
      </c>
      <c r="X180" s="4">
        <v>1</v>
      </c>
      <c r="Y180" s="4" t="s">
        <v>140</v>
      </c>
      <c r="Z180" s="4">
        <v>1</v>
      </c>
      <c r="AA180" s="4">
        <v>1</v>
      </c>
      <c r="AB180" s="4">
        <v>1</v>
      </c>
      <c r="AC180" s="4">
        <v>1</v>
      </c>
      <c r="AD180" s="4">
        <v>1</v>
      </c>
      <c r="AE180" s="4">
        <v>1</v>
      </c>
      <c r="AF180" s="4" t="s">
        <v>140</v>
      </c>
      <c r="AG180" s="4">
        <v>1</v>
      </c>
      <c r="AH180" s="4">
        <v>1</v>
      </c>
      <c r="AI180" s="4">
        <v>1</v>
      </c>
      <c r="AJ180" s="4">
        <v>1</v>
      </c>
      <c r="AK180" s="4">
        <v>1</v>
      </c>
      <c r="AL180" s="4">
        <v>1</v>
      </c>
      <c r="AM180" s="4">
        <v>1</v>
      </c>
      <c r="AN180" s="4">
        <v>1</v>
      </c>
      <c r="AO180" s="4" t="s">
        <v>917</v>
      </c>
    </row>
    <row r="181" spans="1:41" hidden="1" x14ac:dyDescent="0.2">
      <c r="A181" s="13">
        <f t="shared" ref="A181:A243" si="6">WEEKNUM(E181)</f>
        <v>10</v>
      </c>
      <c r="B181" s="13">
        <f t="shared" ref="B181:B243" si="7">MONTH(E181)</f>
        <v>3</v>
      </c>
      <c r="C181" s="13" t="str">
        <f>VLOOKUP(B181,Correspondance!$D$3:$E$14,2,FALSE)</f>
        <v>Mars</v>
      </c>
      <c r="D181" s="15" t="str">
        <f>VLOOKUP(G181,Correspondance!$A$3:$B$10,2,FALSE)</f>
        <v>ASF</v>
      </c>
      <c r="E181" s="1" t="s">
        <v>793</v>
      </c>
      <c r="F181" s="2" t="s">
        <v>169</v>
      </c>
      <c r="G181" s="3" t="s">
        <v>41</v>
      </c>
      <c r="H181" s="4" t="s">
        <v>300</v>
      </c>
      <c r="I181" s="4" t="s">
        <v>301</v>
      </c>
      <c r="J181" s="5" t="s">
        <v>41</v>
      </c>
      <c r="K181" s="6">
        <v>100</v>
      </c>
      <c r="L181" s="4" t="s">
        <v>889</v>
      </c>
      <c r="M181" s="4" t="s">
        <v>215</v>
      </c>
      <c r="N181" s="4" t="s">
        <v>114</v>
      </c>
      <c r="O181" s="4" t="s">
        <v>99</v>
      </c>
      <c r="P181" s="4" t="s">
        <v>188</v>
      </c>
      <c r="Q181" s="4" t="s">
        <v>49</v>
      </c>
      <c r="R181" s="4">
        <v>1</v>
      </c>
      <c r="S181" s="4">
        <v>1</v>
      </c>
      <c r="T181" s="4">
        <v>1</v>
      </c>
      <c r="U181" s="4">
        <v>1</v>
      </c>
      <c r="V181" s="4">
        <v>1</v>
      </c>
      <c r="W181" s="4">
        <v>1</v>
      </c>
      <c r="X181" s="4">
        <v>1</v>
      </c>
      <c r="Y181" s="4">
        <v>1</v>
      </c>
      <c r="Z181" s="4" t="s">
        <v>140</v>
      </c>
      <c r="AA181" s="4">
        <v>1</v>
      </c>
      <c r="AB181" s="4">
        <v>1</v>
      </c>
      <c r="AC181" s="4">
        <v>1</v>
      </c>
      <c r="AD181" s="4">
        <v>1</v>
      </c>
      <c r="AE181" s="4">
        <v>1</v>
      </c>
      <c r="AF181" s="4" t="s">
        <v>140</v>
      </c>
      <c r="AG181" s="4">
        <v>1</v>
      </c>
      <c r="AH181" s="4">
        <v>1</v>
      </c>
      <c r="AI181" s="4">
        <v>1</v>
      </c>
      <c r="AJ181" s="4">
        <v>1</v>
      </c>
      <c r="AK181" s="4">
        <v>1</v>
      </c>
      <c r="AL181" s="4" t="s">
        <v>140</v>
      </c>
      <c r="AM181" s="4" t="s">
        <v>140</v>
      </c>
      <c r="AN181" s="4" t="s">
        <v>140</v>
      </c>
      <c r="AO181" s="4" t="s">
        <v>953</v>
      </c>
    </row>
    <row r="182" spans="1:41" hidden="1" x14ac:dyDescent="0.2">
      <c r="A182" s="13">
        <f t="shared" si="6"/>
        <v>10</v>
      </c>
      <c r="B182" s="13">
        <f t="shared" si="7"/>
        <v>3</v>
      </c>
      <c r="C182" s="13" t="str">
        <f>VLOOKUP(B182,Correspondance!$D$3:$E$14,2,FALSE)</f>
        <v>Mars</v>
      </c>
      <c r="D182" s="15" t="str">
        <f>VLOOKUP(G182,Correspondance!$A$3:$B$10,2,FALSE)</f>
        <v>ASF</v>
      </c>
      <c r="E182" s="1" t="s">
        <v>793</v>
      </c>
      <c r="F182" s="2" t="s">
        <v>169</v>
      </c>
      <c r="G182" s="3" t="s">
        <v>41</v>
      </c>
      <c r="H182" s="4" t="s">
        <v>300</v>
      </c>
      <c r="I182" s="4" t="s">
        <v>301</v>
      </c>
      <c r="J182" s="5" t="s">
        <v>57</v>
      </c>
      <c r="K182" s="6">
        <v>100</v>
      </c>
      <c r="L182" s="4" t="s">
        <v>890</v>
      </c>
      <c r="M182" s="4" t="s">
        <v>215</v>
      </c>
      <c r="N182" s="4" t="s">
        <v>114</v>
      </c>
      <c r="O182" s="4" t="s">
        <v>99</v>
      </c>
      <c r="P182" s="4" t="s">
        <v>188</v>
      </c>
      <c r="Q182" s="4" t="s">
        <v>49</v>
      </c>
      <c r="R182" s="4">
        <v>1</v>
      </c>
      <c r="S182" s="4">
        <v>1</v>
      </c>
      <c r="T182" s="4">
        <v>1</v>
      </c>
      <c r="U182" s="4">
        <v>1</v>
      </c>
      <c r="V182" s="4">
        <v>1</v>
      </c>
      <c r="W182" s="4">
        <v>1</v>
      </c>
      <c r="X182" s="4">
        <v>1</v>
      </c>
      <c r="Y182" s="4">
        <v>1</v>
      </c>
      <c r="Z182" s="4" t="s">
        <v>140</v>
      </c>
      <c r="AA182" s="4">
        <v>1</v>
      </c>
      <c r="AB182" s="4">
        <v>1</v>
      </c>
      <c r="AC182" s="4">
        <v>1</v>
      </c>
      <c r="AD182" s="4">
        <v>1</v>
      </c>
      <c r="AE182" s="4">
        <v>1</v>
      </c>
      <c r="AF182" s="4" t="s">
        <v>140</v>
      </c>
      <c r="AG182" s="4">
        <v>1</v>
      </c>
      <c r="AH182" s="4">
        <v>1</v>
      </c>
      <c r="AI182" s="4">
        <v>1</v>
      </c>
      <c r="AJ182" s="4">
        <v>1</v>
      </c>
      <c r="AK182" s="4">
        <v>1</v>
      </c>
      <c r="AL182" s="4">
        <v>1</v>
      </c>
      <c r="AM182" s="4">
        <v>1</v>
      </c>
      <c r="AN182" s="4" t="s">
        <v>140</v>
      </c>
      <c r="AO182" s="4" t="s">
        <v>953</v>
      </c>
    </row>
    <row r="183" spans="1:41" hidden="1" x14ac:dyDescent="0.2">
      <c r="A183" s="13">
        <f t="shared" si="6"/>
        <v>10</v>
      </c>
      <c r="B183" s="13">
        <f t="shared" si="7"/>
        <v>3</v>
      </c>
      <c r="C183" s="13" t="str">
        <f>VLOOKUP(B183,Correspondance!$D$3:$E$14,2,FALSE)</f>
        <v>Mars</v>
      </c>
      <c r="D183" s="15" t="str">
        <f>VLOOKUP(G183,Correspondance!$A$3:$B$10,2,FALSE)</f>
        <v>ASF</v>
      </c>
      <c r="E183" s="1" t="s">
        <v>793</v>
      </c>
      <c r="F183" s="2" t="s">
        <v>169</v>
      </c>
      <c r="G183" s="3" t="s">
        <v>41</v>
      </c>
      <c r="H183" s="4" t="s">
        <v>527</v>
      </c>
      <c r="I183" s="4" t="s">
        <v>528</v>
      </c>
      <c r="J183" s="5" t="s">
        <v>41</v>
      </c>
      <c r="K183" s="6">
        <v>100</v>
      </c>
      <c r="L183" s="4" t="s">
        <v>891</v>
      </c>
      <c r="M183" s="4" t="s">
        <v>174</v>
      </c>
      <c r="N183" s="4" t="s">
        <v>114</v>
      </c>
      <c r="O183" s="4" t="s">
        <v>99</v>
      </c>
      <c r="P183" s="4" t="s">
        <v>188</v>
      </c>
      <c r="Q183" s="4" t="s">
        <v>49</v>
      </c>
      <c r="R183" s="4">
        <v>1</v>
      </c>
      <c r="S183" s="4">
        <v>1</v>
      </c>
      <c r="T183" s="4">
        <v>1</v>
      </c>
      <c r="U183" s="4">
        <v>1</v>
      </c>
      <c r="V183" s="4">
        <v>1</v>
      </c>
      <c r="W183" s="4">
        <v>1</v>
      </c>
      <c r="X183" s="4">
        <v>1</v>
      </c>
      <c r="Y183" s="4">
        <v>1</v>
      </c>
      <c r="Z183" s="4" t="s">
        <v>140</v>
      </c>
      <c r="AA183" s="4">
        <v>1</v>
      </c>
      <c r="AB183" s="4">
        <v>1</v>
      </c>
      <c r="AC183" s="4">
        <v>1</v>
      </c>
      <c r="AD183" s="4">
        <v>1</v>
      </c>
      <c r="AE183" s="4">
        <v>1</v>
      </c>
      <c r="AF183" s="4">
        <v>1</v>
      </c>
      <c r="AG183" s="4">
        <v>1</v>
      </c>
      <c r="AH183" s="4">
        <v>1</v>
      </c>
      <c r="AI183" s="4">
        <v>1</v>
      </c>
      <c r="AJ183" s="4">
        <v>1</v>
      </c>
      <c r="AK183" s="4">
        <v>1</v>
      </c>
      <c r="AL183" s="4" t="s">
        <v>140</v>
      </c>
      <c r="AM183" s="4">
        <v>1</v>
      </c>
      <c r="AN183" s="4">
        <v>1</v>
      </c>
      <c r="AO183" s="4" t="s">
        <v>953</v>
      </c>
    </row>
    <row r="184" spans="1:41" hidden="1" x14ac:dyDescent="0.2">
      <c r="A184" s="13">
        <f t="shared" si="6"/>
        <v>10</v>
      </c>
      <c r="B184" s="13">
        <f t="shared" si="7"/>
        <v>3</v>
      </c>
      <c r="C184" s="13" t="str">
        <f>VLOOKUP(B184,Correspondance!$D$3:$E$14,2,FALSE)</f>
        <v>Mars</v>
      </c>
      <c r="D184" s="15" t="str">
        <f>VLOOKUP(G184,Correspondance!$A$3:$B$10,2,FALSE)</f>
        <v>ASF</v>
      </c>
      <c r="E184" s="1" t="s">
        <v>793</v>
      </c>
      <c r="F184" s="2" t="s">
        <v>169</v>
      </c>
      <c r="G184" s="3" t="s">
        <v>41</v>
      </c>
      <c r="H184" s="4" t="s">
        <v>527</v>
      </c>
      <c r="I184" s="4" t="s">
        <v>528</v>
      </c>
      <c r="J184" s="5" t="s">
        <v>57</v>
      </c>
      <c r="K184" s="6">
        <v>100</v>
      </c>
      <c r="L184" s="4" t="s">
        <v>892</v>
      </c>
      <c r="M184" s="4" t="s">
        <v>893</v>
      </c>
      <c r="N184" s="4" t="s">
        <v>114</v>
      </c>
      <c r="O184" s="4" t="s">
        <v>99</v>
      </c>
      <c r="P184" s="4" t="s">
        <v>894</v>
      </c>
      <c r="Q184" s="4" t="s">
        <v>49</v>
      </c>
      <c r="R184" s="4">
        <v>1</v>
      </c>
      <c r="S184" s="4">
        <v>1</v>
      </c>
      <c r="T184" s="4">
        <v>1</v>
      </c>
      <c r="U184" s="4">
        <v>1</v>
      </c>
      <c r="V184" s="4">
        <v>1</v>
      </c>
      <c r="W184" s="4">
        <v>1</v>
      </c>
      <c r="X184" s="4">
        <v>1</v>
      </c>
      <c r="Y184" s="4">
        <v>1</v>
      </c>
      <c r="Z184" s="4" t="s">
        <v>140</v>
      </c>
      <c r="AA184" s="4">
        <v>1</v>
      </c>
      <c r="AB184" s="4">
        <v>1</v>
      </c>
      <c r="AC184" s="4">
        <v>1</v>
      </c>
      <c r="AD184" s="4">
        <v>1</v>
      </c>
      <c r="AE184" s="4">
        <v>1</v>
      </c>
      <c r="AF184" s="4" t="s">
        <v>140</v>
      </c>
      <c r="AG184" s="4">
        <v>1</v>
      </c>
      <c r="AH184" s="4">
        <v>1</v>
      </c>
      <c r="AI184" s="4">
        <v>1</v>
      </c>
      <c r="AJ184" s="4">
        <v>1</v>
      </c>
      <c r="AK184" s="4">
        <v>1</v>
      </c>
      <c r="AL184" s="4" t="s">
        <v>140</v>
      </c>
      <c r="AM184" s="4" t="s">
        <v>140</v>
      </c>
      <c r="AN184" s="4">
        <v>1</v>
      </c>
      <c r="AO184" s="4" t="s">
        <v>953</v>
      </c>
    </row>
    <row r="185" spans="1:41" x14ac:dyDescent="0.2">
      <c r="A185" s="13">
        <f t="shared" si="6"/>
        <v>10</v>
      </c>
      <c r="B185" s="13">
        <f t="shared" si="7"/>
        <v>3</v>
      </c>
      <c r="C185" s="13" t="str">
        <f>VLOOKUP(B185,Correspondance!$D$3:$E$14,2,FALSE)</f>
        <v>Mars</v>
      </c>
      <c r="D185" s="15" t="str">
        <f>VLOOKUP(G185,Correspondance!$A$3:$B$10,2,FALSE)</f>
        <v>ASF</v>
      </c>
      <c r="E185" s="1" t="s">
        <v>793</v>
      </c>
      <c r="F185" s="2" t="s">
        <v>169</v>
      </c>
      <c r="G185" s="3" t="s">
        <v>41</v>
      </c>
      <c r="H185" s="4" t="s">
        <v>529</v>
      </c>
      <c r="I185" s="4" t="s">
        <v>530</v>
      </c>
      <c r="J185" s="5" t="s">
        <v>41</v>
      </c>
      <c r="K185" s="6">
        <v>90</v>
      </c>
      <c r="L185" s="4" t="s">
        <v>895</v>
      </c>
      <c r="M185" s="4" t="s">
        <v>215</v>
      </c>
      <c r="N185" s="4" t="s">
        <v>114</v>
      </c>
      <c r="O185" s="4" t="s">
        <v>99</v>
      </c>
      <c r="P185" s="4" t="s">
        <v>486</v>
      </c>
      <c r="Q185" s="4" t="s">
        <v>49</v>
      </c>
      <c r="R185" s="4">
        <v>1</v>
      </c>
      <c r="S185" s="4">
        <v>1</v>
      </c>
      <c r="T185" s="4">
        <v>1</v>
      </c>
      <c r="U185" s="4">
        <v>1</v>
      </c>
      <c r="V185" s="4">
        <v>1</v>
      </c>
      <c r="W185" s="4">
        <v>1</v>
      </c>
      <c r="X185" s="4">
        <v>1</v>
      </c>
      <c r="Y185" s="4">
        <v>1</v>
      </c>
      <c r="Z185" s="4" t="s">
        <v>140</v>
      </c>
      <c r="AA185" s="4">
        <v>1</v>
      </c>
      <c r="AB185" s="4">
        <v>1</v>
      </c>
      <c r="AC185" s="4">
        <v>0</v>
      </c>
      <c r="AD185" s="4">
        <v>1</v>
      </c>
      <c r="AE185" s="4">
        <v>1</v>
      </c>
      <c r="AF185" s="4" t="s">
        <v>140</v>
      </c>
      <c r="AG185" s="4">
        <v>1</v>
      </c>
      <c r="AH185" s="4">
        <v>1</v>
      </c>
      <c r="AI185" s="4">
        <v>1</v>
      </c>
      <c r="AJ185" s="4">
        <v>1</v>
      </c>
      <c r="AK185" s="4">
        <v>1</v>
      </c>
      <c r="AL185" s="4" t="s">
        <v>140</v>
      </c>
      <c r="AM185" s="4" t="s">
        <v>140</v>
      </c>
      <c r="AN185" s="4" t="s">
        <v>140</v>
      </c>
      <c r="AO185" s="4" t="s">
        <v>874</v>
      </c>
    </row>
    <row r="186" spans="1:41" hidden="1" x14ac:dyDescent="0.2">
      <c r="A186" s="13">
        <f t="shared" si="6"/>
        <v>10</v>
      </c>
      <c r="B186" s="13">
        <f t="shared" si="7"/>
        <v>3</v>
      </c>
      <c r="C186" s="13" t="str">
        <f>VLOOKUP(B186,Correspondance!$D$3:$E$14,2,FALSE)</f>
        <v>Mars</v>
      </c>
      <c r="D186" s="15" t="str">
        <f>VLOOKUP(G186,Correspondance!$A$3:$B$10,2,FALSE)</f>
        <v>ASF</v>
      </c>
      <c r="E186" s="1" t="s">
        <v>793</v>
      </c>
      <c r="F186" s="2" t="s">
        <v>169</v>
      </c>
      <c r="G186" s="3" t="s">
        <v>41</v>
      </c>
      <c r="H186" s="4" t="s">
        <v>529</v>
      </c>
      <c r="I186" s="4" t="s">
        <v>530</v>
      </c>
      <c r="J186" s="5" t="s">
        <v>41</v>
      </c>
      <c r="K186" s="6">
        <v>100</v>
      </c>
      <c r="L186" s="4" t="s">
        <v>896</v>
      </c>
      <c r="M186" s="4" t="s">
        <v>537</v>
      </c>
      <c r="N186" s="4" t="s">
        <v>114</v>
      </c>
      <c r="O186" s="4" t="s">
        <v>99</v>
      </c>
      <c r="P186" s="4" t="s">
        <v>182</v>
      </c>
      <c r="Q186" s="4" t="s">
        <v>49</v>
      </c>
      <c r="R186" s="4">
        <v>1</v>
      </c>
      <c r="S186" s="4">
        <v>1</v>
      </c>
      <c r="T186" s="4">
        <v>1</v>
      </c>
      <c r="U186" s="4">
        <v>1</v>
      </c>
      <c r="V186" s="4">
        <v>1</v>
      </c>
      <c r="W186" s="4">
        <v>1</v>
      </c>
      <c r="X186" s="4">
        <v>1</v>
      </c>
      <c r="Y186" s="4">
        <v>1</v>
      </c>
      <c r="Z186" s="4" t="s">
        <v>140</v>
      </c>
      <c r="AA186" s="4">
        <v>1</v>
      </c>
      <c r="AB186" s="4">
        <v>1</v>
      </c>
      <c r="AC186" s="4">
        <v>1</v>
      </c>
      <c r="AD186" s="4">
        <v>1</v>
      </c>
      <c r="AE186" s="4">
        <v>1</v>
      </c>
      <c r="AF186" s="4" t="s">
        <v>140</v>
      </c>
      <c r="AG186" s="4">
        <v>1</v>
      </c>
      <c r="AH186" s="4">
        <v>1</v>
      </c>
      <c r="AI186" s="4">
        <v>1</v>
      </c>
      <c r="AJ186" s="4">
        <v>1</v>
      </c>
      <c r="AK186" s="4">
        <v>1</v>
      </c>
      <c r="AL186" s="4" t="s">
        <v>140</v>
      </c>
      <c r="AM186" s="4" t="s">
        <v>140</v>
      </c>
      <c r="AN186" s="4">
        <v>1</v>
      </c>
      <c r="AO186" s="4" t="s">
        <v>874</v>
      </c>
    </row>
    <row r="187" spans="1:41" hidden="1" x14ac:dyDescent="0.2">
      <c r="A187" s="13">
        <f t="shared" si="6"/>
        <v>10</v>
      </c>
      <c r="B187" s="13">
        <f t="shared" si="7"/>
        <v>3</v>
      </c>
      <c r="C187" s="13" t="str">
        <f>VLOOKUP(B187,Correspondance!$D$3:$E$14,2,FALSE)</f>
        <v>Mars</v>
      </c>
      <c r="D187" s="15" t="str">
        <f>VLOOKUP(G187,Correspondance!$A$3:$B$10,2,FALSE)</f>
        <v>ASF</v>
      </c>
      <c r="E187" s="1" t="s">
        <v>793</v>
      </c>
      <c r="F187" s="2" t="s">
        <v>169</v>
      </c>
      <c r="G187" s="3" t="s">
        <v>52</v>
      </c>
      <c r="H187" s="4" t="s">
        <v>1203</v>
      </c>
      <c r="I187" s="4" t="s">
        <v>194</v>
      </c>
      <c r="J187" s="5" t="s">
        <v>41</v>
      </c>
      <c r="K187" s="6">
        <v>100</v>
      </c>
      <c r="L187" s="4" t="s">
        <v>897</v>
      </c>
      <c r="M187" s="4" t="s">
        <v>245</v>
      </c>
      <c r="N187" s="4" t="s">
        <v>114</v>
      </c>
      <c r="O187" s="4" t="s">
        <v>99</v>
      </c>
      <c r="P187" s="4" t="s">
        <v>188</v>
      </c>
      <c r="Q187" s="4" t="s">
        <v>49</v>
      </c>
      <c r="R187" s="4">
        <v>1</v>
      </c>
      <c r="S187" s="4">
        <v>1</v>
      </c>
      <c r="T187" s="4">
        <v>1</v>
      </c>
      <c r="U187" s="4">
        <v>1</v>
      </c>
      <c r="V187" s="4">
        <v>1</v>
      </c>
      <c r="W187" s="4">
        <v>1</v>
      </c>
      <c r="X187" s="4">
        <v>1</v>
      </c>
      <c r="Y187" s="4">
        <v>1</v>
      </c>
      <c r="Z187" s="4" t="s">
        <v>140</v>
      </c>
      <c r="AA187" s="4">
        <v>1</v>
      </c>
      <c r="AB187" s="4">
        <v>1</v>
      </c>
      <c r="AC187" s="4">
        <v>1</v>
      </c>
      <c r="AD187" s="4">
        <v>1</v>
      </c>
      <c r="AE187" s="4">
        <v>1</v>
      </c>
      <c r="AF187" s="4" t="s">
        <v>140</v>
      </c>
      <c r="AG187" s="4">
        <v>1</v>
      </c>
      <c r="AH187" s="4">
        <v>1</v>
      </c>
      <c r="AI187" s="4">
        <v>1</v>
      </c>
      <c r="AJ187" s="4">
        <v>1</v>
      </c>
      <c r="AK187" s="4">
        <v>1</v>
      </c>
      <c r="AL187" s="4" t="s">
        <v>140</v>
      </c>
      <c r="AM187" s="4" t="s">
        <v>140</v>
      </c>
      <c r="AN187" s="4" t="s">
        <v>140</v>
      </c>
      <c r="AO187" s="4" t="s">
        <v>953</v>
      </c>
    </row>
    <row r="188" spans="1:41" hidden="1" x14ac:dyDescent="0.2">
      <c r="A188" s="13">
        <f t="shared" si="6"/>
        <v>10</v>
      </c>
      <c r="B188" s="13">
        <f t="shared" si="7"/>
        <v>3</v>
      </c>
      <c r="C188" s="13" t="str">
        <f>VLOOKUP(B188,Correspondance!$D$3:$E$14,2,FALSE)</f>
        <v>Mars</v>
      </c>
      <c r="D188" s="15" t="str">
        <f>VLOOKUP(G188,Correspondance!$A$3:$B$10,2,FALSE)</f>
        <v>ASF</v>
      </c>
      <c r="E188" s="1" t="s">
        <v>793</v>
      </c>
      <c r="F188" s="2" t="s">
        <v>169</v>
      </c>
      <c r="G188" s="3" t="s">
        <v>61</v>
      </c>
      <c r="H188" s="4" t="s">
        <v>96</v>
      </c>
      <c r="I188" s="4" t="s">
        <v>97</v>
      </c>
      <c r="J188" s="5" t="s">
        <v>57</v>
      </c>
      <c r="K188" s="6">
        <v>100</v>
      </c>
      <c r="L188" s="4" t="s">
        <v>898</v>
      </c>
      <c r="M188" s="4" t="s">
        <v>237</v>
      </c>
      <c r="N188" s="4" t="s">
        <v>114</v>
      </c>
      <c r="O188" s="4" t="s">
        <v>47</v>
      </c>
      <c r="P188" s="4" t="s">
        <v>899</v>
      </c>
      <c r="Q188" s="4" t="s">
        <v>49</v>
      </c>
      <c r="R188" s="4">
        <v>1</v>
      </c>
      <c r="S188" s="4">
        <v>1</v>
      </c>
      <c r="T188" s="4">
        <v>1</v>
      </c>
      <c r="U188" s="4">
        <v>1</v>
      </c>
      <c r="V188" s="4">
        <v>1</v>
      </c>
      <c r="W188" s="4">
        <v>1</v>
      </c>
      <c r="X188" s="4">
        <v>1</v>
      </c>
      <c r="Y188" s="4" t="s">
        <v>140</v>
      </c>
      <c r="Z188" s="4">
        <v>1</v>
      </c>
      <c r="AA188" s="4">
        <v>1</v>
      </c>
      <c r="AB188" s="4">
        <v>1</v>
      </c>
      <c r="AC188" s="4">
        <v>1</v>
      </c>
      <c r="AD188" s="4">
        <v>1</v>
      </c>
      <c r="AE188" s="4">
        <v>1</v>
      </c>
      <c r="AF188" s="4" t="s">
        <v>140</v>
      </c>
      <c r="AG188" s="4">
        <v>1</v>
      </c>
      <c r="AH188" s="4">
        <v>1</v>
      </c>
      <c r="AI188" s="4">
        <v>1</v>
      </c>
      <c r="AJ188" s="4">
        <v>1</v>
      </c>
      <c r="AK188" s="4">
        <v>1</v>
      </c>
      <c r="AL188" s="4">
        <v>1</v>
      </c>
      <c r="AM188" s="4">
        <v>1</v>
      </c>
      <c r="AN188" s="4">
        <v>1</v>
      </c>
      <c r="AO188" s="4" t="s">
        <v>917</v>
      </c>
    </row>
    <row r="189" spans="1:41" hidden="1" x14ac:dyDescent="0.2">
      <c r="A189" s="13">
        <f t="shared" si="6"/>
        <v>10</v>
      </c>
      <c r="B189" s="13">
        <f t="shared" si="7"/>
        <v>3</v>
      </c>
      <c r="C189" s="13" t="str">
        <f>VLOOKUP(B189,Correspondance!$D$3:$E$14,2,FALSE)</f>
        <v>Mars</v>
      </c>
      <c r="D189" s="15" t="str">
        <f>VLOOKUP(G189,Correspondance!$A$3:$B$10,2,FALSE)</f>
        <v>ASF</v>
      </c>
      <c r="E189" s="1" t="s">
        <v>793</v>
      </c>
      <c r="F189" s="2" t="s">
        <v>169</v>
      </c>
      <c r="G189" s="3" t="s">
        <v>61</v>
      </c>
      <c r="H189" s="4" t="s">
        <v>1204</v>
      </c>
      <c r="I189" s="4" t="s">
        <v>208</v>
      </c>
      <c r="J189" s="5" t="s">
        <v>41</v>
      </c>
      <c r="K189" s="6">
        <v>100</v>
      </c>
      <c r="L189" s="4" t="s">
        <v>900</v>
      </c>
      <c r="M189" s="4" t="s">
        <v>245</v>
      </c>
      <c r="N189" s="4" t="s">
        <v>114</v>
      </c>
      <c r="O189" s="4" t="s">
        <v>99</v>
      </c>
      <c r="P189" s="4" t="s">
        <v>901</v>
      </c>
      <c r="Q189" s="4" t="s">
        <v>49</v>
      </c>
      <c r="R189" s="4">
        <v>1</v>
      </c>
      <c r="S189" s="4">
        <v>1</v>
      </c>
      <c r="T189" s="4">
        <v>1</v>
      </c>
      <c r="U189" s="4">
        <v>1</v>
      </c>
      <c r="V189" s="4">
        <v>1</v>
      </c>
      <c r="W189" s="4">
        <v>1</v>
      </c>
      <c r="X189" s="4">
        <v>1</v>
      </c>
      <c r="Y189" s="4">
        <v>1</v>
      </c>
      <c r="Z189" s="4" t="s">
        <v>140</v>
      </c>
      <c r="AA189" s="4">
        <v>1</v>
      </c>
      <c r="AB189" s="4">
        <v>1</v>
      </c>
      <c r="AC189" s="4">
        <v>1</v>
      </c>
      <c r="AD189" s="4">
        <v>1</v>
      </c>
      <c r="AE189" s="4">
        <v>1</v>
      </c>
      <c r="AF189" s="4" t="s">
        <v>140</v>
      </c>
      <c r="AG189" s="4">
        <v>1</v>
      </c>
      <c r="AH189" s="4">
        <v>1</v>
      </c>
      <c r="AI189" s="4">
        <v>1</v>
      </c>
      <c r="AJ189" s="4">
        <v>1</v>
      </c>
      <c r="AK189" s="4">
        <v>1</v>
      </c>
      <c r="AL189" s="4">
        <v>1</v>
      </c>
      <c r="AM189" s="4" t="s">
        <v>140</v>
      </c>
      <c r="AN189" s="4" t="s">
        <v>140</v>
      </c>
      <c r="AO189" s="4" t="s">
        <v>953</v>
      </c>
    </row>
    <row r="190" spans="1:41" hidden="1" x14ac:dyDescent="0.2">
      <c r="A190" s="13">
        <f t="shared" si="6"/>
        <v>10</v>
      </c>
      <c r="B190" s="13">
        <f t="shared" si="7"/>
        <v>3</v>
      </c>
      <c r="C190" s="13" t="str">
        <f>VLOOKUP(B190,Correspondance!$D$3:$E$14,2,FALSE)</f>
        <v>Mars</v>
      </c>
      <c r="D190" s="15" t="str">
        <f>VLOOKUP(G190,Correspondance!$A$3:$B$10,2,FALSE)</f>
        <v>ASF</v>
      </c>
      <c r="E190" s="1" t="s">
        <v>793</v>
      </c>
      <c r="F190" s="2" t="s">
        <v>169</v>
      </c>
      <c r="G190" s="3" t="s">
        <v>61</v>
      </c>
      <c r="H190" s="4" t="s">
        <v>1204</v>
      </c>
      <c r="I190" s="4" t="s">
        <v>208</v>
      </c>
      <c r="J190" s="5" t="s">
        <v>57</v>
      </c>
      <c r="K190" s="6">
        <v>100</v>
      </c>
      <c r="L190" s="4" t="s">
        <v>902</v>
      </c>
      <c r="M190" s="4" t="s">
        <v>223</v>
      </c>
      <c r="N190" s="4" t="s">
        <v>114</v>
      </c>
      <c r="O190" s="4" t="s">
        <v>99</v>
      </c>
      <c r="P190" s="4" t="s">
        <v>698</v>
      </c>
      <c r="Q190" s="4" t="s">
        <v>49</v>
      </c>
      <c r="R190" s="4">
        <v>1</v>
      </c>
      <c r="S190" s="4">
        <v>1</v>
      </c>
      <c r="T190" s="4">
        <v>1</v>
      </c>
      <c r="U190" s="4">
        <v>1</v>
      </c>
      <c r="V190" s="4">
        <v>1</v>
      </c>
      <c r="W190" s="4">
        <v>1</v>
      </c>
      <c r="X190" s="4">
        <v>1</v>
      </c>
      <c r="Y190" s="4" t="s">
        <v>140</v>
      </c>
      <c r="Z190" s="4">
        <v>1</v>
      </c>
      <c r="AA190" s="4">
        <v>1</v>
      </c>
      <c r="AB190" s="4">
        <v>1</v>
      </c>
      <c r="AC190" s="4">
        <v>1</v>
      </c>
      <c r="AD190" s="4">
        <v>1</v>
      </c>
      <c r="AE190" s="4">
        <v>1</v>
      </c>
      <c r="AF190" s="4" t="s">
        <v>140</v>
      </c>
      <c r="AG190" s="4">
        <v>1</v>
      </c>
      <c r="AH190" s="4">
        <v>1</v>
      </c>
      <c r="AI190" s="4">
        <v>1</v>
      </c>
      <c r="AJ190" s="4">
        <v>1</v>
      </c>
      <c r="AK190" s="4">
        <v>1</v>
      </c>
      <c r="AL190" s="4">
        <v>1</v>
      </c>
      <c r="AM190" s="4">
        <v>1</v>
      </c>
      <c r="AN190" s="4">
        <v>1</v>
      </c>
      <c r="AO190" s="4" t="s">
        <v>953</v>
      </c>
    </row>
    <row r="191" spans="1:41" hidden="1" x14ac:dyDescent="0.2">
      <c r="A191" s="13">
        <f t="shared" si="6"/>
        <v>10</v>
      </c>
      <c r="B191" s="13">
        <f t="shared" si="7"/>
        <v>3</v>
      </c>
      <c r="C191" s="13" t="str">
        <f>VLOOKUP(B191,Correspondance!$D$3:$E$14,2,FALSE)</f>
        <v>Mars</v>
      </c>
      <c r="D191" s="15" t="str">
        <f>VLOOKUP(G191,Correspondance!$A$3:$B$10,2,FALSE)</f>
        <v>ASF</v>
      </c>
      <c r="E191" s="1" t="s">
        <v>793</v>
      </c>
      <c r="F191" s="2" t="s">
        <v>169</v>
      </c>
      <c r="G191" s="3" t="s">
        <v>61</v>
      </c>
      <c r="H191" s="4" t="s">
        <v>1204</v>
      </c>
      <c r="I191" s="4" t="s">
        <v>208</v>
      </c>
      <c r="J191" s="5" t="s">
        <v>57</v>
      </c>
      <c r="K191" s="6">
        <v>100</v>
      </c>
      <c r="L191" s="4" t="s">
        <v>903</v>
      </c>
      <c r="M191" s="4" t="s">
        <v>904</v>
      </c>
      <c r="N191" s="4" t="s">
        <v>114</v>
      </c>
      <c r="O191" s="4" t="s">
        <v>99</v>
      </c>
      <c r="P191" s="4" t="s">
        <v>345</v>
      </c>
      <c r="Q191" s="4" t="s">
        <v>49</v>
      </c>
      <c r="R191" s="4">
        <v>1</v>
      </c>
      <c r="S191" s="4">
        <v>1</v>
      </c>
      <c r="T191" s="4">
        <v>1</v>
      </c>
      <c r="U191" s="4">
        <v>1</v>
      </c>
      <c r="V191" s="4">
        <v>1</v>
      </c>
      <c r="W191" s="4">
        <v>1</v>
      </c>
      <c r="X191" s="4">
        <v>1</v>
      </c>
      <c r="Y191" s="4" t="s">
        <v>140</v>
      </c>
      <c r="Z191" s="4">
        <v>1</v>
      </c>
      <c r="AA191" s="4">
        <v>1</v>
      </c>
      <c r="AB191" s="4">
        <v>1</v>
      </c>
      <c r="AC191" s="4">
        <v>1</v>
      </c>
      <c r="AD191" s="4">
        <v>1</v>
      </c>
      <c r="AE191" s="4">
        <v>1</v>
      </c>
      <c r="AF191" s="4" t="s">
        <v>140</v>
      </c>
      <c r="AG191" s="4">
        <v>1</v>
      </c>
      <c r="AH191" s="4">
        <v>1</v>
      </c>
      <c r="AI191" s="4">
        <v>1</v>
      </c>
      <c r="AJ191" s="4">
        <v>1</v>
      </c>
      <c r="AK191" s="4">
        <v>1</v>
      </c>
      <c r="AL191" s="4">
        <v>1</v>
      </c>
      <c r="AM191" s="4">
        <v>1</v>
      </c>
      <c r="AN191" s="4">
        <v>1</v>
      </c>
      <c r="AO191" s="4" t="s">
        <v>953</v>
      </c>
    </row>
    <row r="192" spans="1:41" hidden="1" x14ac:dyDescent="0.2">
      <c r="A192" s="13">
        <f t="shared" si="6"/>
        <v>11</v>
      </c>
      <c r="B192" s="13">
        <f t="shared" si="7"/>
        <v>3</v>
      </c>
      <c r="C192" s="13" t="str">
        <f>VLOOKUP(B192,Correspondance!$D$3:$E$14,2,FALSE)</f>
        <v>Mars</v>
      </c>
      <c r="D192" s="15" t="str">
        <f>VLOOKUP(G192,Correspondance!$A$3:$B$10,2,FALSE)</f>
        <v>ASF</v>
      </c>
      <c r="E192" s="1" t="s">
        <v>794</v>
      </c>
      <c r="F192" s="2" t="s">
        <v>169</v>
      </c>
      <c r="G192" s="3" t="s">
        <v>41</v>
      </c>
      <c r="H192" s="4" t="s">
        <v>905</v>
      </c>
      <c r="I192" s="4" t="s">
        <v>170</v>
      </c>
      <c r="J192" s="5" t="s">
        <v>57</v>
      </c>
      <c r="K192" s="6">
        <v>100</v>
      </c>
      <c r="L192" s="4" t="s">
        <v>906</v>
      </c>
      <c r="M192" s="4" t="s">
        <v>174</v>
      </c>
      <c r="N192" s="4" t="s">
        <v>46</v>
      </c>
      <c r="O192" s="4" t="s">
        <v>99</v>
      </c>
      <c r="P192" s="4" t="s">
        <v>907</v>
      </c>
      <c r="Q192" s="4" t="s">
        <v>49</v>
      </c>
      <c r="R192" s="4">
        <v>1</v>
      </c>
      <c r="S192" s="4">
        <v>1</v>
      </c>
      <c r="T192" s="4">
        <v>1</v>
      </c>
      <c r="U192" s="4">
        <v>1</v>
      </c>
      <c r="V192" s="4">
        <v>1</v>
      </c>
      <c r="W192" s="4">
        <v>1</v>
      </c>
      <c r="X192" s="4">
        <v>1</v>
      </c>
      <c r="Y192" s="4" t="s">
        <v>140</v>
      </c>
      <c r="Z192" s="4">
        <v>1</v>
      </c>
      <c r="AA192" s="4">
        <v>1</v>
      </c>
      <c r="AB192" s="4">
        <v>1</v>
      </c>
      <c r="AC192" s="4">
        <v>1</v>
      </c>
      <c r="AD192" s="4">
        <v>1</v>
      </c>
      <c r="AE192" s="4">
        <v>1</v>
      </c>
      <c r="AF192" s="4" t="s">
        <v>140</v>
      </c>
      <c r="AG192" s="4">
        <v>1</v>
      </c>
      <c r="AH192" s="4">
        <v>1</v>
      </c>
      <c r="AI192" s="4">
        <v>1</v>
      </c>
      <c r="AJ192" s="4">
        <v>1</v>
      </c>
      <c r="AK192" s="4">
        <v>1</v>
      </c>
      <c r="AL192" s="4">
        <v>1</v>
      </c>
      <c r="AM192" s="4">
        <v>1</v>
      </c>
      <c r="AN192" s="4">
        <v>1</v>
      </c>
      <c r="AO192" s="4" t="s">
        <v>874</v>
      </c>
    </row>
    <row r="193" spans="1:41" x14ac:dyDescent="0.2">
      <c r="A193" s="13">
        <f t="shared" si="6"/>
        <v>11</v>
      </c>
      <c r="B193" s="13">
        <f t="shared" si="7"/>
        <v>3</v>
      </c>
      <c r="C193" s="13" t="str">
        <f>VLOOKUP(B193,Correspondance!$D$3:$E$14,2,FALSE)</f>
        <v>Mars</v>
      </c>
      <c r="D193" s="15" t="str">
        <f>VLOOKUP(G193,Correspondance!$A$3:$B$10,2,FALSE)</f>
        <v>ASF</v>
      </c>
      <c r="E193" s="1" t="s">
        <v>794</v>
      </c>
      <c r="F193" s="2" t="s">
        <v>169</v>
      </c>
      <c r="G193" s="3" t="s">
        <v>41</v>
      </c>
      <c r="H193" s="4" t="s">
        <v>42</v>
      </c>
      <c r="I193" s="4" t="s">
        <v>43</v>
      </c>
      <c r="J193" s="5" t="s">
        <v>57</v>
      </c>
      <c r="K193" s="6">
        <v>90</v>
      </c>
      <c r="L193" s="4" t="s">
        <v>908</v>
      </c>
      <c r="M193" s="4" t="s">
        <v>237</v>
      </c>
      <c r="N193" s="4" t="s">
        <v>46</v>
      </c>
      <c r="O193" s="4" t="s">
        <v>175</v>
      </c>
      <c r="P193" s="4" t="s">
        <v>77</v>
      </c>
      <c r="Q193" s="4" t="s">
        <v>49</v>
      </c>
      <c r="R193" s="4">
        <v>1</v>
      </c>
      <c r="S193" s="4">
        <v>1</v>
      </c>
      <c r="T193" s="4">
        <v>1</v>
      </c>
      <c r="U193" s="4">
        <v>1</v>
      </c>
      <c r="V193" s="4">
        <v>1</v>
      </c>
      <c r="W193" s="4">
        <v>1</v>
      </c>
      <c r="X193" s="4">
        <v>1</v>
      </c>
      <c r="Y193" s="4" t="s">
        <v>140</v>
      </c>
      <c r="Z193" s="4">
        <v>1</v>
      </c>
      <c r="AA193" s="4">
        <v>1</v>
      </c>
      <c r="AB193" s="4">
        <v>1</v>
      </c>
      <c r="AC193" s="4">
        <v>0</v>
      </c>
      <c r="AD193" s="4">
        <v>1</v>
      </c>
      <c r="AE193" s="4">
        <v>1</v>
      </c>
      <c r="AF193" s="4" t="s">
        <v>140</v>
      </c>
      <c r="AG193" s="4">
        <v>1</v>
      </c>
      <c r="AH193" s="4">
        <v>1</v>
      </c>
      <c r="AI193" s="4">
        <v>1</v>
      </c>
      <c r="AJ193" s="4">
        <v>1</v>
      </c>
      <c r="AK193" s="4">
        <v>1</v>
      </c>
      <c r="AL193" s="4">
        <v>1</v>
      </c>
      <c r="AM193" s="4">
        <v>1</v>
      </c>
      <c r="AN193" s="4">
        <v>1</v>
      </c>
      <c r="AO193" s="4" t="s">
        <v>797</v>
      </c>
    </row>
    <row r="194" spans="1:41" hidden="1" x14ac:dyDescent="0.2">
      <c r="A194" s="13">
        <f t="shared" si="6"/>
        <v>11</v>
      </c>
      <c r="B194" s="13">
        <f t="shared" si="7"/>
        <v>3</v>
      </c>
      <c r="C194" s="13" t="str">
        <f>VLOOKUP(B194,Correspondance!$D$3:$E$14,2,FALSE)</f>
        <v>Mars</v>
      </c>
      <c r="D194" s="15" t="str">
        <f>VLOOKUP(G194,Correspondance!$A$3:$B$10,2,FALSE)</f>
        <v>ASF</v>
      </c>
      <c r="E194" s="1" t="s">
        <v>794</v>
      </c>
      <c r="F194" s="2" t="s">
        <v>169</v>
      </c>
      <c r="G194" s="3" t="s">
        <v>52</v>
      </c>
      <c r="H194" s="4" t="s">
        <v>233</v>
      </c>
      <c r="I194" s="4" t="s">
        <v>234</v>
      </c>
      <c r="J194" s="5" t="s">
        <v>57</v>
      </c>
      <c r="K194" s="6">
        <v>100</v>
      </c>
      <c r="L194" s="4" t="s">
        <v>909</v>
      </c>
      <c r="M194" s="4" t="s">
        <v>174</v>
      </c>
      <c r="N194" s="4" t="s">
        <v>46</v>
      </c>
      <c r="O194" s="4" t="s">
        <v>99</v>
      </c>
      <c r="P194" s="4" t="s">
        <v>840</v>
      </c>
      <c r="Q194" s="4" t="s">
        <v>49</v>
      </c>
      <c r="R194" s="4">
        <v>1</v>
      </c>
      <c r="S194" s="4">
        <v>1</v>
      </c>
      <c r="T194" s="4">
        <v>1</v>
      </c>
      <c r="U194" s="4">
        <v>1</v>
      </c>
      <c r="V194" s="4">
        <v>1</v>
      </c>
      <c r="W194" s="4">
        <v>1</v>
      </c>
      <c r="X194" s="4">
        <v>1</v>
      </c>
      <c r="Y194" s="4" t="s">
        <v>140</v>
      </c>
      <c r="Z194" s="4">
        <v>1</v>
      </c>
      <c r="AA194" s="4">
        <v>1</v>
      </c>
      <c r="AB194" s="4">
        <v>1</v>
      </c>
      <c r="AC194" s="4">
        <v>1</v>
      </c>
      <c r="AD194" s="4">
        <v>1</v>
      </c>
      <c r="AE194" s="4">
        <v>1</v>
      </c>
      <c r="AF194" s="4" t="s">
        <v>140</v>
      </c>
      <c r="AG194" s="4">
        <v>1</v>
      </c>
      <c r="AH194" s="4">
        <v>1</v>
      </c>
      <c r="AI194" s="4">
        <v>1</v>
      </c>
      <c r="AJ194" s="4">
        <v>1</v>
      </c>
      <c r="AK194" s="4">
        <v>1</v>
      </c>
      <c r="AL194" s="4">
        <v>1</v>
      </c>
      <c r="AM194" s="4">
        <v>1</v>
      </c>
      <c r="AN194" s="4">
        <v>1</v>
      </c>
      <c r="AO194" s="4" t="s">
        <v>874</v>
      </c>
    </row>
    <row r="195" spans="1:41" hidden="1" x14ac:dyDescent="0.2">
      <c r="A195" s="13">
        <f t="shared" si="6"/>
        <v>11</v>
      </c>
      <c r="B195" s="13">
        <f t="shared" si="7"/>
        <v>3</v>
      </c>
      <c r="C195" s="13" t="str">
        <f>VLOOKUP(B195,Correspondance!$D$3:$E$14,2,FALSE)</f>
        <v>Mars</v>
      </c>
      <c r="D195" s="15" t="str">
        <f>VLOOKUP(G195,Correspondance!$A$3:$B$10,2,FALSE)</f>
        <v>ASF</v>
      </c>
      <c r="E195" s="1" t="s">
        <v>794</v>
      </c>
      <c r="F195" s="2" t="s">
        <v>169</v>
      </c>
      <c r="G195" s="3" t="s">
        <v>61</v>
      </c>
      <c r="H195" s="4" t="s">
        <v>197</v>
      </c>
      <c r="I195" s="4" t="s">
        <v>198</v>
      </c>
      <c r="J195" s="5" t="s">
        <v>57</v>
      </c>
      <c r="K195" s="6">
        <v>96</v>
      </c>
      <c r="L195" s="4" t="s">
        <v>910</v>
      </c>
      <c r="M195" s="4" t="s">
        <v>215</v>
      </c>
      <c r="N195" s="4" t="s">
        <v>46</v>
      </c>
      <c r="O195" s="4" t="s">
        <v>99</v>
      </c>
      <c r="P195" s="4" t="s">
        <v>676</v>
      </c>
      <c r="Q195" s="4" t="s">
        <v>49</v>
      </c>
      <c r="R195" s="4">
        <v>1</v>
      </c>
      <c r="S195" s="4">
        <v>1</v>
      </c>
      <c r="T195" s="4">
        <v>1</v>
      </c>
      <c r="U195" s="4">
        <v>1</v>
      </c>
      <c r="V195" s="4">
        <v>1</v>
      </c>
      <c r="W195" s="4">
        <v>1</v>
      </c>
      <c r="X195" s="4">
        <v>1</v>
      </c>
      <c r="Y195" s="4" t="s">
        <v>140</v>
      </c>
      <c r="Z195" s="4" t="s">
        <v>140</v>
      </c>
      <c r="AA195" s="4">
        <v>1</v>
      </c>
      <c r="AB195" s="4">
        <v>1</v>
      </c>
      <c r="AC195" s="4">
        <v>1</v>
      </c>
      <c r="AD195" s="4">
        <v>1</v>
      </c>
      <c r="AE195" s="4">
        <v>1</v>
      </c>
      <c r="AF195" s="4" t="s">
        <v>140</v>
      </c>
      <c r="AG195" s="4">
        <v>1</v>
      </c>
      <c r="AH195" s="4">
        <v>1</v>
      </c>
      <c r="AI195" s="4">
        <v>0</v>
      </c>
      <c r="AJ195" s="4">
        <v>1</v>
      </c>
      <c r="AK195" s="4">
        <v>1</v>
      </c>
      <c r="AL195" s="4">
        <v>1</v>
      </c>
      <c r="AM195" s="4">
        <v>1</v>
      </c>
      <c r="AN195" s="4">
        <v>1</v>
      </c>
      <c r="AO195" s="4" t="s">
        <v>872</v>
      </c>
    </row>
    <row r="196" spans="1:41" hidden="1" x14ac:dyDescent="0.2">
      <c r="A196" s="13">
        <f t="shared" si="6"/>
        <v>11</v>
      </c>
      <c r="B196" s="13">
        <f t="shared" si="7"/>
        <v>3</v>
      </c>
      <c r="C196" s="13" t="str">
        <f>VLOOKUP(B196,Correspondance!$D$3:$E$14,2,FALSE)</f>
        <v>Mars</v>
      </c>
      <c r="D196" s="15" t="str">
        <f>VLOOKUP(G196,Correspondance!$A$3:$B$10,2,FALSE)</f>
        <v>ASF</v>
      </c>
      <c r="E196" s="1" t="s">
        <v>794</v>
      </c>
      <c r="F196" s="2" t="s">
        <v>169</v>
      </c>
      <c r="G196" s="3" t="s">
        <v>61</v>
      </c>
      <c r="H196" s="4" t="s">
        <v>197</v>
      </c>
      <c r="I196" s="4" t="s">
        <v>198</v>
      </c>
      <c r="J196" s="5" t="s">
        <v>57</v>
      </c>
      <c r="K196" s="6">
        <v>100</v>
      </c>
      <c r="L196" s="4" t="s">
        <v>911</v>
      </c>
      <c r="M196" s="4" t="s">
        <v>912</v>
      </c>
      <c r="N196" s="4" t="s">
        <v>46</v>
      </c>
      <c r="O196" s="4" t="s">
        <v>99</v>
      </c>
      <c r="P196" s="4" t="s">
        <v>913</v>
      </c>
      <c r="Q196" s="4" t="s">
        <v>49</v>
      </c>
      <c r="R196" s="4">
        <v>1</v>
      </c>
      <c r="S196" s="4">
        <v>1</v>
      </c>
      <c r="T196" s="4">
        <v>1</v>
      </c>
      <c r="U196" s="4">
        <v>1</v>
      </c>
      <c r="V196" s="4">
        <v>1</v>
      </c>
      <c r="W196" s="4">
        <v>1</v>
      </c>
      <c r="X196" s="4">
        <v>1</v>
      </c>
      <c r="Y196" s="4" t="s">
        <v>140</v>
      </c>
      <c r="Z196" s="4">
        <v>1</v>
      </c>
      <c r="AA196" s="4">
        <v>1</v>
      </c>
      <c r="AB196" s="4">
        <v>1</v>
      </c>
      <c r="AC196" s="4">
        <v>1</v>
      </c>
      <c r="AD196" s="4">
        <v>1</v>
      </c>
      <c r="AE196" s="4">
        <v>1</v>
      </c>
      <c r="AF196" s="4" t="s">
        <v>140</v>
      </c>
      <c r="AG196" s="4">
        <v>1</v>
      </c>
      <c r="AH196" s="4">
        <v>1</v>
      </c>
      <c r="AI196" s="4">
        <v>1</v>
      </c>
      <c r="AJ196" s="4">
        <v>1</v>
      </c>
      <c r="AK196" s="4">
        <v>1</v>
      </c>
      <c r="AL196" s="4">
        <v>1</v>
      </c>
      <c r="AM196" s="4">
        <v>1</v>
      </c>
      <c r="AN196" s="4">
        <v>1</v>
      </c>
      <c r="AO196" s="4" t="s">
        <v>872</v>
      </c>
    </row>
    <row r="197" spans="1:41" hidden="1" x14ac:dyDescent="0.2">
      <c r="A197" s="13">
        <f t="shared" si="6"/>
        <v>11</v>
      </c>
      <c r="B197" s="13">
        <f t="shared" si="7"/>
        <v>3</v>
      </c>
      <c r="C197" s="13" t="str">
        <f>VLOOKUP(B197,Correspondance!$D$3:$E$14,2,FALSE)</f>
        <v>Mars</v>
      </c>
      <c r="D197" s="15" t="str">
        <f>VLOOKUP(G197,Correspondance!$A$3:$B$10,2,FALSE)</f>
        <v>ASF</v>
      </c>
      <c r="E197" s="1" t="s">
        <v>794</v>
      </c>
      <c r="F197" s="2" t="s">
        <v>169</v>
      </c>
      <c r="G197" s="3" t="s">
        <v>61</v>
      </c>
      <c r="H197" s="4" t="s">
        <v>201</v>
      </c>
      <c r="I197" s="4" t="s">
        <v>202</v>
      </c>
      <c r="J197" s="5" t="s">
        <v>57</v>
      </c>
      <c r="K197" s="6">
        <v>98</v>
      </c>
      <c r="L197" s="4" t="s">
        <v>914</v>
      </c>
      <c r="M197" s="4" t="s">
        <v>223</v>
      </c>
      <c r="N197" s="4" t="s">
        <v>46</v>
      </c>
      <c r="O197" s="4" t="s">
        <v>175</v>
      </c>
      <c r="P197" s="4" t="s">
        <v>77</v>
      </c>
      <c r="Q197" s="4" t="s">
        <v>49</v>
      </c>
      <c r="R197" s="4">
        <v>1</v>
      </c>
      <c r="S197" s="4">
        <v>1</v>
      </c>
      <c r="T197" s="4">
        <v>1</v>
      </c>
      <c r="U197" s="4">
        <v>1</v>
      </c>
      <c r="V197" s="4">
        <v>1</v>
      </c>
      <c r="W197" s="4">
        <v>1</v>
      </c>
      <c r="X197" s="4">
        <v>1</v>
      </c>
      <c r="Y197" s="4" t="s">
        <v>140</v>
      </c>
      <c r="Z197" s="4">
        <v>1</v>
      </c>
      <c r="AA197" s="4">
        <v>1</v>
      </c>
      <c r="AB197" s="4">
        <v>1</v>
      </c>
      <c r="AC197" s="4">
        <v>1</v>
      </c>
      <c r="AD197" s="4">
        <v>1</v>
      </c>
      <c r="AE197" s="4">
        <v>1</v>
      </c>
      <c r="AF197" s="4" t="s">
        <v>140</v>
      </c>
      <c r="AG197" s="4">
        <v>1</v>
      </c>
      <c r="AH197" s="4">
        <v>0</v>
      </c>
      <c r="AI197" s="4">
        <v>1</v>
      </c>
      <c r="AJ197" s="4">
        <v>1</v>
      </c>
      <c r="AK197" s="4">
        <v>1</v>
      </c>
      <c r="AL197" s="4" t="s">
        <v>140</v>
      </c>
      <c r="AM197" s="4" t="s">
        <v>140</v>
      </c>
      <c r="AN197" s="4" t="s">
        <v>140</v>
      </c>
      <c r="AO197" s="4" t="s">
        <v>872</v>
      </c>
    </row>
    <row r="198" spans="1:41" x14ac:dyDescent="0.2">
      <c r="A198" s="13">
        <f t="shared" si="6"/>
        <v>11</v>
      </c>
      <c r="B198" s="13">
        <f t="shared" si="7"/>
        <v>3</v>
      </c>
      <c r="C198" s="13" t="str">
        <f>VLOOKUP(B198,Correspondance!$D$3:$E$14,2,FALSE)</f>
        <v>Mars</v>
      </c>
      <c r="D198" s="15" t="str">
        <f>VLOOKUP(G198,Correspondance!$A$3:$B$10,2,FALSE)</f>
        <v>ASF</v>
      </c>
      <c r="E198" s="1" t="s">
        <v>794</v>
      </c>
      <c r="F198" s="2" t="s">
        <v>169</v>
      </c>
      <c r="G198" s="3" t="s">
        <v>61</v>
      </c>
      <c r="H198" s="4" t="s">
        <v>247</v>
      </c>
      <c r="I198" s="4" t="s">
        <v>248</v>
      </c>
      <c r="J198" s="5" t="s">
        <v>57</v>
      </c>
      <c r="K198" s="6">
        <v>90</v>
      </c>
      <c r="L198" s="4" t="s">
        <v>915</v>
      </c>
      <c r="M198" s="4" t="s">
        <v>223</v>
      </c>
      <c r="N198" s="4" t="s">
        <v>46</v>
      </c>
      <c r="O198" s="4" t="s">
        <v>99</v>
      </c>
      <c r="P198" s="4" t="s">
        <v>754</v>
      </c>
      <c r="Q198" s="4" t="s">
        <v>49</v>
      </c>
      <c r="R198" s="4">
        <v>1</v>
      </c>
      <c r="S198" s="4">
        <v>1</v>
      </c>
      <c r="T198" s="4">
        <v>1</v>
      </c>
      <c r="U198" s="4">
        <v>1</v>
      </c>
      <c r="V198" s="4">
        <v>1</v>
      </c>
      <c r="W198" s="4">
        <v>1</v>
      </c>
      <c r="X198" s="4">
        <v>1</v>
      </c>
      <c r="Y198" s="4" t="s">
        <v>140</v>
      </c>
      <c r="Z198" s="4">
        <v>1</v>
      </c>
      <c r="AA198" s="4">
        <v>1</v>
      </c>
      <c r="AB198" s="4">
        <v>1</v>
      </c>
      <c r="AC198" s="4">
        <v>0</v>
      </c>
      <c r="AD198" s="4">
        <v>1</v>
      </c>
      <c r="AE198" s="4">
        <v>1</v>
      </c>
      <c r="AF198" s="4" t="s">
        <v>140</v>
      </c>
      <c r="AG198" s="4">
        <v>1</v>
      </c>
      <c r="AH198" s="4">
        <v>1</v>
      </c>
      <c r="AI198" s="4">
        <v>1</v>
      </c>
      <c r="AJ198" s="4">
        <v>1</v>
      </c>
      <c r="AK198" s="4">
        <v>1</v>
      </c>
      <c r="AL198" s="4" t="s">
        <v>140</v>
      </c>
      <c r="AM198" s="4" t="s">
        <v>140</v>
      </c>
      <c r="AN198" s="4" t="s">
        <v>140</v>
      </c>
      <c r="AO198" s="4" t="s">
        <v>874</v>
      </c>
    </row>
    <row r="199" spans="1:41" hidden="1" x14ac:dyDescent="0.2">
      <c r="A199" s="13">
        <f t="shared" si="6"/>
        <v>11</v>
      </c>
      <c r="B199" s="13">
        <f t="shared" si="7"/>
        <v>3</v>
      </c>
      <c r="C199" s="13" t="str">
        <f>VLOOKUP(B199,Correspondance!$D$3:$E$14,2,FALSE)</f>
        <v>Mars</v>
      </c>
      <c r="D199" s="15" t="str">
        <f>VLOOKUP(G199,Correspondance!$A$3:$B$10,2,FALSE)</f>
        <v>ASF</v>
      </c>
      <c r="E199" s="1" t="s">
        <v>794</v>
      </c>
      <c r="F199" s="2" t="s">
        <v>169</v>
      </c>
      <c r="G199" s="3" t="s">
        <v>61</v>
      </c>
      <c r="H199" s="4" t="s">
        <v>247</v>
      </c>
      <c r="I199" s="4" t="s">
        <v>248</v>
      </c>
      <c r="J199" s="5" t="s">
        <v>57</v>
      </c>
      <c r="K199" s="6">
        <v>100</v>
      </c>
      <c r="L199" s="4" t="s">
        <v>916</v>
      </c>
      <c r="M199" s="4" t="s">
        <v>174</v>
      </c>
      <c r="N199" s="4" t="s">
        <v>46</v>
      </c>
      <c r="O199" s="4" t="s">
        <v>99</v>
      </c>
      <c r="P199" s="4" t="s">
        <v>275</v>
      </c>
      <c r="Q199" s="4" t="s">
        <v>49</v>
      </c>
      <c r="R199" s="4">
        <v>1</v>
      </c>
      <c r="S199" s="4">
        <v>1</v>
      </c>
      <c r="T199" s="4">
        <v>1</v>
      </c>
      <c r="U199" s="4">
        <v>1</v>
      </c>
      <c r="V199" s="4">
        <v>1</v>
      </c>
      <c r="W199" s="4">
        <v>1</v>
      </c>
      <c r="X199" s="4">
        <v>1</v>
      </c>
      <c r="Y199" s="4" t="s">
        <v>140</v>
      </c>
      <c r="Z199" s="4">
        <v>1</v>
      </c>
      <c r="AA199" s="4">
        <v>1</v>
      </c>
      <c r="AB199" s="4">
        <v>1</v>
      </c>
      <c r="AC199" s="4">
        <v>1</v>
      </c>
      <c r="AD199" s="4">
        <v>1</v>
      </c>
      <c r="AE199" s="4">
        <v>1</v>
      </c>
      <c r="AF199" s="4" t="s">
        <v>140</v>
      </c>
      <c r="AG199" s="4">
        <v>1</v>
      </c>
      <c r="AH199" s="4">
        <v>1</v>
      </c>
      <c r="AI199" s="4">
        <v>1</v>
      </c>
      <c r="AJ199" s="4">
        <v>1</v>
      </c>
      <c r="AK199" s="4">
        <v>1</v>
      </c>
      <c r="AL199" s="4">
        <v>1</v>
      </c>
      <c r="AM199" s="4">
        <v>1</v>
      </c>
      <c r="AN199" s="4">
        <v>1</v>
      </c>
      <c r="AO199" s="4" t="s">
        <v>874</v>
      </c>
    </row>
    <row r="200" spans="1:41" hidden="1" x14ac:dyDescent="0.2">
      <c r="A200" s="13">
        <f t="shared" si="6"/>
        <v>11</v>
      </c>
      <c r="B200" s="13">
        <f t="shared" si="7"/>
        <v>3</v>
      </c>
      <c r="C200" s="13" t="str">
        <f>VLOOKUP(B200,Correspondance!$D$3:$E$14,2,FALSE)</f>
        <v>Mars</v>
      </c>
      <c r="D200" s="15" t="str">
        <f>VLOOKUP(G200,Correspondance!$A$3:$B$10,2,FALSE)</f>
        <v>ASF</v>
      </c>
      <c r="E200" s="1" t="s">
        <v>917</v>
      </c>
      <c r="F200" s="2" t="s">
        <v>169</v>
      </c>
      <c r="G200" s="3" t="s">
        <v>41</v>
      </c>
      <c r="H200" s="4" t="s">
        <v>529</v>
      </c>
      <c r="I200" s="4" t="s">
        <v>530</v>
      </c>
      <c r="J200" s="5" t="s">
        <v>235</v>
      </c>
      <c r="K200" s="6">
        <v>88</v>
      </c>
      <c r="L200" s="4" t="s">
        <v>918</v>
      </c>
      <c r="M200" s="4" t="s">
        <v>552</v>
      </c>
      <c r="N200" s="4" t="s">
        <v>238</v>
      </c>
      <c r="O200" s="4" t="s">
        <v>99</v>
      </c>
      <c r="P200" s="4" t="s">
        <v>919</v>
      </c>
      <c r="Q200" s="4" t="s">
        <v>49</v>
      </c>
      <c r="R200" s="4">
        <v>0</v>
      </c>
      <c r="S200" s="4">
        <v>1</v>
      </c>
      <c r="T200" s="4">
        <v>1</v>
      </c>
      <c r="U200" s="4">
        <v>1</v>
      </c>
      <c r="V200" s="4">
        <v>1</v>
      </c>
      <c r="W200" s="4">
        <v>1</v>
      </c>
      <c r="X200" s="4">
        <v>1</v>
      </c>
      <c r="Y200" s="4" t="s">
        <v>140</v>
      </c>
      <c r="Z200" s="4" t="s">
        <v>140</v>
      </c>
      <c r="AA200" s="4">
        <v>1</v>
      </c>
      <c r="AB200" s="4">
        <v>1</v>
      </c>
      <c r="AC200" s="4">
        <v>1</v>
      </c>
      <c r="AD200" s="4">
        <v>1</v>
      </c>
      <c r="AE200" s="4">
        <v>1</v>
      </c>
      <c r="AF200" s="4" t="s">
        <v>140</v>
      </c>
      <c r="AG200" s="4">
        <v>1</v>
      </c>
      <c r="AH200" s="4" t="s">
        <v>140</v>
      </c>
      <c r="AI200" s="4">
        <v>1</v>
      </c>
      <c r="AJ200" s="4">
        <v>1</v>
      </c>
      <c r="AK200" s="4">
        <v>1</v>
      </c>
      <c r="AL200" s="4" t="s">
        <v>140</v>
      </c>
      <c r="AM200" s="4" t="s">
        <v>140</v>
      </c>
      <c r="AN200" s="4" t="s">
        <v>140</v>
      </c>
      <c r="AO200" s="4" t="s">
        <v>874</v>
      </c>
    </row>
    <row r="201" spans="1:41" hidden="1" x14ac:dyDescent="0.2">
      <c r="A201" s="13">
        <f t="shared" si="6"/>
        <v>11</v>
      </c>
      <c r="B201" s="13">
        <f t="shared" si="7"/>
        <v>3</v>
      </c>
      <c r="C201" s="13" t="str">
        <f>VLOOKUP(B201,Correspondance!$D$3:$E$14,2,FALSE)</f>
        <v>Mars</v>
      </c>
      <c r="D201" s="15" t="str">
        <f>VLOOKUP(G201,Correspondance!$A$3:$B$10,2,FALSE)</f>
        <v>ASF</v>
      </c>
      <c r="E201" s="1" t="s">
        <v>917</v>
      </c>
      <c r="F201" s="2" t="s">
        <v>169</v>
      </c>
      <c r="G201" s="3" t="s">
        <v>41</v>
      </c>
      <c r="H201" s="4" t="s">
        <v>529</v>
      </c>
      <c r="I201" s="4" t="s">
        <v>530</v>
      </c>
      <c r="J201" s="5" t="s">
        <v>41</v>
      </c>
      <c r="K201" s="6">
        <v>100</v>
      </c>
      <c r="L201" s="4" t="s">
        <v>920</v>
      </c>
      <c r="M201" s="4" t="s">
        <v>245</v>
      </c>
      <c r="N201" s="4" t="s">
        <v>238</v>
      </c>
      <c r="O201" s="4" t="s">
        <v>99</v>
      </c>
      <c r="P201" s="4" t="s">
        <v>719</v>
      </c>
      <c r="Q201" s="4" t="s">
        <v>49</v>
      </c>
      <c r="R201" s="4">
        <v>1</v>
      </c>
      <c r="S201" s="4">
        <v>1</v>
      </c>
      <c r="T201" s="4">
        <v>1</v>
      </c>
      <c r="U201" s="4">
        <v>1</v>
      </c>
      <c r="V201" s="4">
        <v>1</v>
      </c>
      <c r="W201" s="4">
        <v>1</v>
      </c>
      <c r="X201" s="4">
        <v>1</v>
      </c>
      <c r="Y201" s="4">
        <v>1</v>
      </c>
      <c r="Z201" s="4" t="s">
        <v>140</v>
      </c>
      <c r="AA201" s="4">
        <v>1</v>
      </c>
      <c r="AB201" s="4">
        <v>1</v>
      </c>
      <c r="AC201" s="4">
        <v>1</v>
      </c>
      <c r="AD201" s="4">
        <v>1</v>
      </c>
      <c r="AE201" s="4">
        <v>1</v>
      </c>
      <c r="AF201" s="4" t="s">
        <v>140</v>
      </c>
      <c r="AG201" s="4">
        <v>1</v>
      </c>
      <c r="AH201" s="4">
        <v>1</v>
      </c>
      <c r="AI201" s="4">
        <v>1</v>
      </c>
      <c r="AJ201" s="4">
        <v>1</v>
      </c>
      <c r="AK201" s="4">
        <v>1</v>
      </c>
      <c r="AL201" s="4" t="s">
        <v>140</v>
      </c>
      <c r="AM201" s="4" t="s">
        <v>140</v>
      </c>
      <c r="AN201" s="4" t="s">
        <v>140</v>
      </c>
      <c r="AO201" s="4" t="s">
        <v>874</v>
      </c>
    </row>
    <row r="202" spans="1:41" hidden="1" x14ac:dyDescent="0.2">
      <c r="A202" s="13">
        <f t="shared" si="6"/>
        <v>11</v>
      </c>
      <c r="B202" s="13">
        <f t="shared" si="7"/>
        <v>3</v>
      </c>
      <c r="C202" s="13" t="str">
        <f>VLOOKUP(B202,Correspondance!$D$3:$E$14,2,FALSE)</f>
        <v>Mars</v>
      </c>
      <c r="D202" s="15" t="str">
        <f>VLOOKUP(G202,Correspondance!$A$3:$B$10,2,FALSE)</f>
        <v>ASF</v>
      </c>
      <c r="E202" s="1" t="s">
        <v>917</v>
      </c>
      <c r="F202" s="2" t="s">
        <v>169</v>
      </c>
      <c r="G202" s="3" t="s">
        <v>41</v>
      </c>
      <c r="H202" s="4" t="s">
        <v>179</v>
      </c>
      <c r="I202" s="4" t="s">
        <v>180</v>
      </c>
      <c r="J202" s="5" t="s">
        <v>57</v>
      </c>
      <c r="K202" s="6">
        <v>100</v>
      </c>
      <c r="L202" s="4" t="s">
        <v>921</v>
      </c>
      <c r="M202" s="4" t="s">
        <v>174</v>
      </c>
      <c r="N202" s="4" t="s">
        <v>46</v>
      </c>
      <c r="O202" s="4" t="s">
        <v>99</v>
      </c>
      <c r="P202" s="4" t="s">
        <v>922</v>
      </c>
      <c r="Q202" s="4" t="s">
        <v>49</v>
      </c>
      <c r="R202" s="4">
        <v>1</v>
      </c>
      <c r="S202" s="4">
        <v>1</v>
      </c>
      <c r="T202" s="4">
        <v>1</v>
      </c>
      <c r="U202" s="4">
        <v>1</v>
      </c>
      <c r="V202" s="4">
        <v>1</v>
      </c>
      <c r="W202" s="4">
        <v>1</v>
      </c>
      <c r="X202" s="4">
        <v>1</v>
      </c>
      <c r="Y202" s="4" t="s">
        <v>140</v>
      </c>
      <c r="Z202" s="4">
        <v>1</v>
      </c>
      <c r="AA202" s="4">
        <v>1</v>
      </c>
      <c r="AB202" s="4">
        <v>1</v>
      </c>
      <c r="AC202" s="4">
        <v>1</v>
      </c>
      <c r="AD202" s="4">
        <v>1</v>
      </c>
      <c r="AE202" s="4">
        <v>1</v>
      </c>
      <c r="AF202" s="4" t="s">
        <v>140</v>
      </c>
      <c r="AG202" s="4">
        <v>1</v>
      </c>
      <c r="AH202" s="4">
        <v>1</v>
      </c>
      <c r="AI202" s="4">
        <v>1</v>
      </c>
      <c r="AJ202" s="4">
        <v>1</v>
      </c>
      <c r="AK202" s="4">
        <v>1</v>
      </c>
      <c r="AL202" s="4">
        <v>1</v>
      </c>
      <c r="AM202" s="4">
        <v>1</v>
      </c>
      <c r="AN202" s="4">
        <v>1</v>
      </c>
      <c r="AO202" s="4" t="s">
        <v>948</v>
      </c>
    </row>
    <row r="203" spans="1:41" x14ac:dyDescent="0.2">
      <c r="A203" s="13">
        <f t="shared" si="6"/>
        <v>12</v>
      </c>
      <c r="B203" s="13">
        <f t="shared" si="7"/>
        <v>3</v>
      </c>
      <c r="C203" s="13" t="str">
        <f>VLOOKUP(B203,Correspondance!$D$3:$E$14,2,FALSE)</f>
        <v>Mars</v>
      </c>
      <c r="D203" s="15" t="str">
        <f>VLOOKUP(G203,Correspondance!$A$3:$B$10,2,FALSE)</f>
        <v>ASF</v>
      </c>
      <c r="E203" s="1" t="s">
        <v>798</v>
      </c>
      <c r="F203" s="2" t="s">
        <v>169</v>
      </c>
      <c r="G203" s="3" t="s">
        <v>41</v>
      </c>
      <c r="H203" s="4" t="s">
        <v>42</v>
      </c>
      <c r="I203" s="4" t="s">
        <v>43</v>
      </c>
      <c r="J203" s="5" t="s">
        <v>44</v>
      </c>
      <c r="K203" s="6">
        <v>74.040000000000006</v>
      </c>
      <c r="L203" s="4" t="s">
        <v>923</v>
      </c>
      <c r="M203" s="4" t="s">
        <v>526</v>
      </c>
      <c r="N203" s="4" t="s">
        <v>114</v>
      </c>
      <c r="O203" s="4" t="s">
        <v>175</v>
      </c>
      <c r="P203" s="4" t="s">
        <v>665</v>
      </c>
      <c r="Q203" s="4" t="s">
        <v>49</v>
      </c>
      <c r="R203" s="4">
        <v>0</v>
      </c>
      <c r="S203" s="4">
        <v>1</v>
      </c>
      <c r="T203" s="4">
        <v>1</v>
      </c>
      <c r="U203" s="4">
        <v>1</v>
      </c>
      <c r="V203" s="4">
        <v>1</v>
      </c>
      <c r="W203" s="4">
        <v>1</v>
      </c>
      <c r="X203" s="4">
        <v>1</v>
      </c>
      <c r="Y203" s="4" t="s">
        <v>140</v>
      </c>
      <c r="Z203" s="4">
        <v>1</v>
      </c>
      <c r="AA203" s="4">
        <v>1</v>
      </c>
      <c r="AB203" s="4">
        <v>1</v>
      </c>
      <c r="AC203" s="4">
        <v>0</v>
      </c>
      <c r="AD203" s="4">
        <v>1</v>
      </c>
      <c r="AE203" s="4">
        <v>1</v>
      </c>
      <c r="AF203" s="4" t="s">
        <v>140</v>
      </c>
      <c r="AG203" s="4">
        <v>1</v>
      </c>
      <c r="AH203" s="4" t="s">
        <v>140</v>
      </c>
      <c r="AI203" s="4">
        <v>1</v>
      </c>
      <c r="AJ203" s="4">
        <v>1</v>
      </c>
      <c r="AK203" s="4" t="s">
        <v>140</v>
      </c>
      <c r="AL203" s="4" t="s">
        <v>140</v>
      </c>
      <c r="AM203" s="4">
        <v>0</v>
      </c>
      <c r="AN203" s="4" t="s">
        <v>140</v>
      </c>
      <c r="AO203" s="4" t="s">
        <v>948</v>
      </c>
    </row>
    <row r="204" spans="1:41" hidden="1" x14ac:dyDescent="0.2">
      <c r="A204" s="13">
        <f t="shared" si="6"/>
        <v>12</v>
      </c>
      <c r="B204" s="13">
        <f t="shared" si="7"/>
        <v>3</v>
      </c>
      <c r="C204" s="13" t="str">
        <f>VLOOKUP(B204,Correspondance!$D$3:$E$14,2,FALSE)</f>
        <v>Mars</v>
      </c>
      <c r="D204" s="15" t="str">
        <f>VLOOKUP(G204,Correspondance!$A$3:$B$10,2,FALSE)</f>
        <v>ASF</v>
      </c>
      <c r="E204" s="1" t="s">
        <v>798</v>
      </c>
      <c r="F204" s="2" t="s">
        <v>169</v>
      </c>
      <c r="G204" s="3" t="s">
        <v>41</v>
      </c>
      <c r="H204" s="4" t="s">
        <v>42</v>
      </c>
      <c r="I204" s="4" t="s">
        <v>43</v>
      </c>
      <c r="J204" s="5" t="s">
        <v>44</v>
      </c>
      <c r="K204" s="6">
        <v>100</v>
      </c>
      <c r="L204" s="4" t="s">
        <v>924</v>
      </c>
      <c r="M204" s="4" t="s">
        <v>509</v>
      </c>
      <c r="N204" s="4" t="s">
        <v>114</v>
      </c>
      <c r="O204" s="4" t="s">
        <v>175</v>
      </c>
      <c r="P204" s="4" t="s">
        <v>871</v>
      </c>
      <c r="Q204" s="4" t="s">
        <v>49</v>
      </c>
      <c r="R204" s="4">
        <v>1</v>
      </c>
      <c r="S204" s="4">
        <v>1</v>
      </c>
      <c r="T204" s="4">
        <v>1</v>
      </c>
      <c r="U204" s="4">
        <v>1</v>
      </c>
      <c r="V204" s="4">
        <v>1</v>
      </c>
      <c r="W204" s="4">
        <v>1</v>
      </c>
      <c r="X204" s="4">
        <v>1</v>
      </c>
      <c r="Y204" s="4" t="s">
        <v>140</v>
      </c>
      <c r="Z204" s="4">
        <v>1</v>
      </c>
      <c r="AA204" s="4">
        <v>1</v>
      </c>
      <c r="AB204" s="4">
        <v>1</v>
      </c>
      <c r="AC204" s="4">
        <v>1</v>
      </c>
      <c r="AD204" s="4">
        <v>1</v>
      </c>
      <c r="AE204" s="4">
        <v>1</v>
      </c>
      <c r="AF204" s="4" t="s">
        <v>140</v>
      </c>
      <c r="AG204" s="4">
        <v>1</v>
      </c>
      <c r="AH204" s="4" t="s">
        <v>140</v>
      </c>
      <c r="AI204" s="4">
        <v>1</v>
      </c>
      <c r="AJ204" s="4">
        <v>1</v>
      </c>
      <c r="AK204" s="4">
        <v>1</v>
      </c>
      <c r="AL204" s="4" t="s">
        <v>140</v>
      </c>
      <c r="AM204" s="4" t="s">
        <v>140</v>
      </c>
      <c r="AN204" s="4">
        <v>1</v>
      </c>
      <c r="AO204" s="4" t="s">
        <v>948</v>
      </c>
    </row>
    <row r="205" spans="1:41" hidden="1" x14ac:dyDescent="0.2">
      <c r="A205" s="13">
        <f t="shared" si="6"/>
        <v>12</v>
      </c>
      <c r="B205" s="13">
        <f t="shared" si="7"/>
        <v>3</v>
      </c>
      <c r="C205" s="13" t="str">
        <f>VLOOKUP(B205,Correspondance!$D$3:$E$14,2,FALSE)</f>
        <v>Mars</v>
      </c>
      <c r="D205" s="15" t="str">
        <f>VLOOKUP(G205,Correspondance!$A$3:$B$10,2,FALSE)</f>
        <v>ASF</v>
      </c>
      <c r="E205" s="1" t="s">
        <v>798</v>
      </c>
      <c r="F205" s="2" t="s">
        <v>169</v>
      </c>
      <c r="G205" s="3" t="s">
        <v>41</v>
      </c>
      <c r="H205" s="4" t="s">
        <v>78</v>
      </c>
      <c r="I205" s="4" t="s">
        <v>79</v>
      </c>
      <c r="J205" s="5" t="s">
        <v>44</v>
      </c>
      <c r="K205" s="6">
        <v>95.285714285714292</v>
      </c>
      <c r="L205" s="4" t="s">
        <v>925</v>
      </c>
      <c r="M205" s="4" t="s">
        <v>550</v>
      </c>
      <c r="N205" s="4" t="s">
        <v>114</v>
      </c>
      <c r="O205" s="4" t="s">
        <v>175</v>
      </c>
      <c r="P205" s="4" t="s">
        <v>926</v>
      </c>
      <c r="Q205" s="4" t="s">
        <v>49</v>
      </c>
      <c r="R205" s="4">
        <v>1</v>
      </c>
      <c r="S205" s="4">
        <v>1</v>
      </c>
      <c r="T205" s="4">
        <v>1</v>
      </c>
      <c r="U205" s="4">
        <v>1</v>
      </c>
      <c r="V205" s="4">
        <v>1</v>
      </c>
      <c r="W205" s="4">
        <v>1</v>
      </c>
      <c r="X205" s="4">
        <v>1</v>
      </c>
      <c r="Y205" s="4" t="s">
        <v>140</v>
      </c>
      <c r="Z205" s="4">
        <v>1</v>
      </c>
      <c r="AA205" s="4">
        <v>1</v>
      </c>
      <c r="AB205" s="4">
        <v>1</v>
      </c>
      <c r="AC205" s="4">
        <v>1</v>
      </c>
      <c r="AD205" s="4">
        <v>1</v>
      </c>
      <c r="AE205" s="4">
        <v>1</v>
      </c>
      <c r="AF205" s="4" t="s">
        <v>140</v>
      </c>
      <c r="AG205" s="4">
        <v>1</v>
      </c>
      <c r="AH205" s="4">
        <v>1</v>
      </c>
      <c r="AI205" s="4">
        <v>0</v>
      </c>
      <c r="AJ205" s="4">
        <v>1</v>
      </c>
      <c r="AK205" s="4">
        <v>1</v>
      </c>
      <c r="AL205" s="4" t="s">
        <v>140</v>
      </c>
      <c r="AM205" s="4" t="s">
        <v>140</v>
      </c>
      <c r="AN205" s="4">
        <v>1</v>
      </c>
      <c r="AO205" s="4" t="s">
        <v>948</v>
      </c>
    </row>
    <row r="206" spans="1:41" hidden="1" x14ac:dyDescent="0.2">
      <c r="A206" s="13">
        <f t="shared" si="6"/>
        <v>12</v>
      </c>
      <c r="B206" s="13">
        <f t="shared" si="7"/>
        <v>3</v>
      </c>
      <c r="C206" s="13" t="str">
        <f>VLOOKUP(B206,Correspondance!$D$3:$E$14,2,FALSE)</f>
        <v>Mars</v>
      </c>
      <c r="D206" s="15" t="str">
        <f>VLOOKUP(G206,Correspondance!$A$3:$B$10,2,FALSE)</f>
        <v>ASF</v>
      </c>
      <c r="E206" s="1" t="s">
        <v>798</v>
      </c>
      <c r="F206" s="2" t="s">
        <v>169</v>
      </c>
      <c r="G206" s="3" t="s">
        <v>41</v>
      </c>
      <c r="H206" s="4" t="s">
        <v>78</v>
      </c>
      <c r="I206" s="4" t="s">
        <v>79</v>
      </c>
      <c r="J206" s="5" t="s">
        <v>44</v>
      </c>
      <c r="K206" s="6">
        <v>100</v>
      </c>
      <c r="L206" s="4" t="s">
        <v>927</v>
      </c>
      <c r="M206" s="4" t="s">
        <v>223</v>
      </c>
      <c r="N206" s="4" t="s">
        <v>114</v>
      </c>
      <c r="O206" s="4" t="s">
        <v>175</v>
      </c>
      <c r="P206" s="4" t="s">
        <v>112</v>
      </c>
      <c r="Q206" s="4" t="s">
        <v>49</v>
      </c>
      <c r="R206" s="4">
        <v>1</v>
      </c>
      <c r="S206" s="4">
        <v>1</v>
      </c>
      <c r="T206" s="4">
        <v>1</v>
      </c>
      <c r="U206" s="4">
        <v>1</v>
      </c>
      <c r="V206" s="4">
        <v>1</v>
      </c>
      <c r="W206" s="4">
        <v>1</v>
      </c>
      <c r="X206" s="4">
        <v>1</v>
      </c>
      <c r="Y206" s="4" t="s">
        <v>140</v>
      </c>
      <c r="Z206" s="4">
        <v>1</v>
      </c>
      <c r="AA206" s="4">
        <v>1</v>
      </c>
      <c r="AB206" s="4">
        <v>1</v>
      </c>
      <c r="AC206" s="4">
        <v>1</v>
      </c>
      <c r="AD206" s="4">
        <v>1</v>
      </c>
      <c r="AE206" s="4">
        <v>1</v>
      </c>
      <c r="AF206" s="4" t="s">
        <v>140</v>
      </c>
      <c r="AG206" s="4">
        <v>1</v>
      </c>
      <c r="AH206" s="4" t="s">
        <v>140</v>
      </c>
      <c r="AI206" s="4">
        <v>1</v>
      </c>
      <c r="AJ206" s="4">
        <v>1</v>
      </c>
      <c r="AK206" s="4">
        <v>1</v>
      </c>
      <c r="AL206" s="4" t="s">
        <v>140</v>
      </c>
      <c r="AM206" s="4">
        <v>1</v>
      </c>
      <c r="AN206" s="4">
        <v>1</v>
      </c>
      <c r="AO206" s="4" t="s">
        <v>948</v>
      </c>
    </row>
    <row r="207" spans="1:41" hidden="1" x14ac:dyDescent="0.2">
      <c r="A207" s="13">
        <f t="shared" si="6"/>
        <v>12</v>
      </c>
      <c r="B207" s="13">
        <f t="shared" si="7"/>
        <v>3</v>
      </c>
      <c r="C207" s="13" t="str">
        <f>VLOOKUP(B207,Correspondance!$D$3:$E$14,2,FALSE)</f>
        <v>Mars</v>
      </c>
      <c r="D207" s="15" t="str">
        <f>VLOOKUP(G207,Correspondance!$A$3:$B$10,2,FALSE)</f>
        <v>ASF</v>
      </c>
      <c r="E207" s="1" t="s">
        <v>798</v>
      </c>
      <c r="F207" s="2" t="s">
        <v>169</v>
      </c>
      <c r="G207" s="3" t="s">
        <v>41</v>
      </c>
      <c r="H207" s="4" t="s">
        <v>82</v>
      </c>
      <c r="I207" s="4" t="s">
        <v>83</v>
      </c>
      <c r="J207" s="5" t="s">
        <v>44</v>
      </c>
      <c r="K207" s="6">
        <v>96</v>
      </c>
      <c r="L207" s="4" t="s">
        <v>928</v>
      </c>
      <c r="M207" s="4" t="s">
        <v>215</v>
      </c>
      <c r="N207" s="4" t="s">
        <v>114</v>
      </c>
      <c r="O207" s="4" t="s">
        <v>175</v>
      </c>
      <c r="P207" s="4" t="s">
        <v>929</v>
      </c>
      <c r="Q207" s="4" t="s">
        <v>49</v>
      </c>
      <c r="R207" s="4">
        <v>1</v>
      </c>
      <c r="S207" s="4">
        <v>1</v>
      </c>
      <c r="T207" s="4">
        <v>1</v>
      </c>
      <c r="U207" s="4">
        <v>1</v>
      </c>
      <c r="V207" s="4">
        <v>0</v>
      </c>
      <c r="W207" s="4">
        <v>1</v>
      </c>
      <c r="X207" s="4">
        <v>1</v>
      </c>
      <c r="Y207" s="4" t="s">
        <v>140</v>
      </c>
      <c r="Z207" s="4" t="s">
        <v>140</v>
      </c>
      <c r="AA207" s="4">
        <v>1</v>
      </c>
      <c r="AB207" s="4">
        <v>1</v>
      </c>
      <c r="AC207" s="4">
        <v>1</v>
      </c>
      <c r="AD207" s="4">
        <v>1</v>
      </c>
      <c r="AE207" s="4">
        <v>1</v>
      </c>
      <c r="AF207" s="4" t="s">
        <v>140</v>
      </c>
      <c r="AG207" s="4">
        <v>1</v>
      </c>
      <c r="AH207" s="4" t="s">
        <v>140</v>
      </c>
      <c r="AI207" s="4">
        <v>1</v>
      </c>
      <c r="AJ207" s="4">
        <v>1</v>
      </c>
      <c r="AK207" s="4">
        <v>1</v>
      </c>
      <c r="AL207" s="4" t="s">
        <v>140</v>
      </c>
      <c r="AM207" s="4">
        <v>1</v>
      </c>
      <c r="AN207" s="4">
        <v>1</v>
      </c>
      <c r="AO207" s="4" t="s">
        <v>948</v>
      </c>
    </row>
    <row r="208" spans="1:41" x14ac:dyDescent="0.2">
      <c r="A208" s="13">
        <f t="shared" si="6"/>
        <v>12</v>
      </c>
      <c r="B208" s="13">
        <f t="shared" si="7"/>
        <v>3</v>
      </c>
      <c r="C208" s="13" t="str">
        <f>VLOOKUP(B208,Correspondance!$D$3:$E$14,2,FALSE)</f>
        <v>Mars</v>
      </c>
      <c r="D208" s="15" t="str">
        <f>VLOOKUP(G208,Correspondance!$A$3:$B$10,2,FALSE)</f>
        <v>ASF</v>
      </c>
      <c r="E208" s="1" t="s">
        <v>798</v>
      </c>
      <c r="F208" s="2" t="s">
        <v>169</v>
      </c>
      <c r="G208" s="3" t="s">
        <v>52</v>
      </c>
      <c r="H208" s="4" t="s">
        <v>93</v>
      </c>
      <c r="I208" s="4" t="s">
        <v>94</v>
      </c>
      <c r="J208" s="5" t="s">
        <v>44</v>
      </c>
      <c r="K208" s="6">
        <v>86</v>
      </c>
      <c r="L208" s="4" t="s">
        <v>930</v>
      </c>
      <c r="M208" s="4" t="s">
        <v>174</v>
      </c>
      <c r="N208" s="4" t="s">
        <v>114</v>
      </c>
      <c r="O208" s="4" t="s">
        <v>175</v>
      </c>
      <c r="P208" s="4" t="s">
        <v>931</v>
      </c>
      <c r="Q208" s="4" t="s">
        <v>49</v>
      </c>
      <c r="R208" s="4">
        <v>1</v>
      </c>
      <c r="S208" s="4">
        <v>1</v>
      </c>
      <c r="T208" s="4">
        <v>1</v>
      </c>
      <c r="U208" s="4">
        <v>1</v>
      </c>
      <c r="V208" s="4">
        <v>0</v>
      </c>
      <c r="W208" s="4">
        <v>1</v>
      </c>
      <c r="X208" s="4">
        <v>1</v>
      </c>
      <c r="Y208" s="4" t="s">
        <v>140</v>
      </c>
      <c r="Z208" s="4">
        <v>1</v>
      </c>
      <c r="AA208" s="4">
        <v>1</v>
      </c>
      <c r="AB208" s="4">
        <v>1</v>
      </c>
      <c r="AC208" s="4">
        <v>0</v>
      </c>
      <c r="AD208" s="4">
        <v>1</v>
      </c>
      <c r="AE208" s="4">
        <v>1</v>
      </c>
      <c r="AF208" s="4" t="s">
        <v>140</v>
      </c>
      <c r="AG208" s="4">
        <v>1</v>
      </c>
      <c r="AH208" s="4" t="s">
        <v>140</v>
      </c>
      <c r="AI208" s="4">
        <v>1</v>
      </c>
      <c r="AJ208" s="4">
        <v>1</v>
      </c>
      <c r="AK208" s="4">
        <v>1</v>
      </c>
      <c r="AL208" s="4" t="s">
        <v>140</v>
      </c>
      <c r="AM208" s="4" t="s">
        <v>140</v>
      </c>
      <c r="AN208" s="4">
        <v>1</v>
      </c>
      <c r="AO208" s="4" t="s">
        <v>948</v>
      </c>
    </row>
    <row r="209" spans="1:41" hidden="1" x14ac:dyDescent="0.2">
      <c r="A209" s="13">
        <f t="shared" si="6"/>
        <v>12</v>
      </c>
      <c r="B209" s="13">
        <f t="shared" si="7"/>
        <v>3</v>
      </c>
      <c r="C209" s="13" t="str">
        <f>VLOOKUP(B209,Correspondance!$D$3:$E$14,2,FALSE)</f>
        <v>Mars</v>
      </c>
      <c r="D209" s="15" t="str">
        <f>VLOOKUP(G209,Correspondance!$A$3:$B$10,2,FALSE)</f>
        <v>ASF</v>
      </c>
      <c r="E209" s="1" t="s">
        <v>798</v>
      </c>
      <c r="F209" s="2" t="s">
        <v>169</v>
      </c>
      <c r="G209" s="3" t="s">
        <v>52</v>
      </c>
      <c r="H209" s="4" t="s">
        <v>93</v>
      </c>
      <c r="I209" s="4" t="s">
        <v>94</v>
      </c>
      <c r="J209" s="5" t="s">
        <v>44</v>
      </c>
      <c r="K209" s="6">
        <v>100</v>
      </c>
      <c r="L209" s="4" t="s">
        <v>932</v>
      </c>
      <c r="M209" s="4" t="s">
        <v>215</v>
      </c>
      <c r="N209" s="4" t="s">
        <v>114</v>
      </c>
      <c r="O209" s="4" t="s">
        <v>175</v>
      </c>
      <c r="P209" s="4" t="s">
        <v>665</v>
      </c>
      <c r="Q209" s="4" t="s">
        <v>49</v>
      </c>
      <c r="R209" s="4">
        <v>1</v>
      </c>
      <c r="S209" s="4">
        <v>1</v>
      </c>
      <c r="T209" s="4">
        <v>1</v>
      </c>
      <c r="U209" s="4">
        <v>1</v>
      </c>
      <c r="V209" s="4">
        <v>1</v>
      </c>
      <c r="W209" s="4">
        <v>1</v>
      </c>
      <c r="X209" s="4">
        <v>1</v>
      </c>
      <c r="Y209" s="4" t="s">
        <v>140</v>
      </c>
      <c r="Z209" s="4" t="s">
        <v>140</v>
      </c>
      <c r="AA209" s="4">
        <v>1</v>
      </c>
      <c r="AB209" s="4">
        <v>1</v>
      </c>
      <c r="AC209" s="4">
        <v>1</v>
      </c>
      <c r="AD209" s="4">
        <v>1</v>
      </c>
      <c r="AE209" s="4">
        <v>1</v>
      </c>
      <c r="AF209" s="4" t="s">
        <v>140</v>
      </c>
      <c r="AG209" s="4">
        <v>1</v>
      </c>
      <c r="AH209" s="4" t="s">
        <v>140</v>
      </c>
      <c r="AI209" s="4">
        <v>1</v>
      </c>
      <c r="AJ209" s="4">
        <v>1</v>
      </c>
      <c r="AK209" s="4">
        <v>1</v>
      </c>
      <c r="AL209" s="4">
        <v>1</v>
      </c>
      <c r="AM209" s="4">
        <v>1</v>
      </c>
      <c r="AN209" s="4">
        <v>1</v>
      </c>
      <c r="AO209" s="4" t="s">
        <v>948</v>
      </c>
    </row>
    <row r="210" spans="1:41" hidden="1" x14ac:dyDescent="0.2">
      <c r="A210" s="13">
        <f t="shared" si="6"/>
        <v>12</v>
      </c>
      <c r="B210" s="13">
        <f t="shared" si="7"/>
        <v>3</v>
      </c>
      <c r="C210" s="13" t="str">
        <f>VLOOKUP(B210,Correspondance!$D$3:$E$14,2,FALSE)</f>
        <v>Mars</v>
      </c>
      <c r="D210" s="15" t="str">
        <f>VLOOKUP(G210,Correspondance!$A$3:$B$10,2,FALSE)</f>
        <v>ASF</v>
      </c>
      <c r="E210" s="1" t="s">
        <v>798</v>
      </c>
      <c r="F210" s="2" t="s">
        <v>169</v>
      </c>
      <c r="G210" s="3" t="s">
        <v>52</v>
      </c>
      <c r="H210" s="4" t="s">
        <v>53</v>
      </c>
      <c r="I210" s="4" t="s">
        <v>54</v>
      </c>
      <c r="J210" s="5" t="s">
        <v>44</v>
      </c>
      <c r="K210" s="6">
        <v>100</v>
      </c>
      <c r="L210" s="4" t="s">
        <v>933</v>
      </c>
      <c r="M210" s="4" t="s">
        <v>904</v>
      </c>
      <c r="N210" s="4" t="s">
        <v>114</v>
      </c>
      <c r="O210" s="4" t="s">
        <v>175</v>
      </c>
      <c r="P210" s="4" t="s">
        <v>934</v>
      </c>
      <c r="Q210" s="4" t="s">
        <v>49</v>
      </c>
      <c r="R210" s="4">
        <v>1</v>
      </c>
      <c r="S210" s="4">
        <v>1</v>
      </c>
      <c r="T210" s="4">
        <v>1</v>
      </c>
      <c r="U210" s="4">
        <v>1</v>
      </c>
      <c r="V210" s="4">
        <v>1</v>
      </c>
      <c r="W210" s="4">
        <v>1</v>
      </c>
      <c r="X210" s="4">
        <v>1</v>
      </c>
      <c r="Y210" s="4" t="s">
        <v>140</v>
      </c>
      <c r="Z210" s="4">
        <v>1</v>
      </c>
      <c r="AA210" s="4">
        <v>1</v>
      </c>
      <c r="AB210" s="4">
        <v>1</v>
      </c>
      <c r="AC210" s="4">
        <v>1</v>
      </c>
      <c r="AD210" s="4">
        <v>1</v>
      </c>
      <c r="AE210" s="4">
        <v>1</v>
      </c>
      <c r="AF210" s="4" t="s">
        <v>140</v>
      </c>
      <c r="AG210" s="4">
        <v>1</v>
      </c>
      <c r="AH210" s="4" t="s">
        <v>140</v>
      </c>
      <c r="AI210" s="4">
        <v>1</v>
      </c>
      <c r="AJ210" s="4">
        <v>1</v>
      </c>
      <c r="AK210" s="4">
        <v>1</v>
      </c>
      <c r="AL210" s="4" t="s">
        <v>140</v>
      </c>
      <c r="AM210" s="4">
        <v>1</v>
      </c>
      <c r="AN210" s="4">
        <v>1</v>
      </c>
      <c r="AO210" s="4" t="s">
        <v>948</v>
      </c>
    </row>
    <row r="211" spans="1:41" hidden="1" x14ac:dyDescent="0.2">
      <c r="A211" s="13">
        <f t="shared" si="6"/>
        <v>12</v>
      </c>
      <c r="B211" s="13">
        <f t="shared" si="7"/>
        <v>3</v>
      </c>
      <c r="C211" s="13" t="str">
        <f>VLOOKUP(B211,Correspondance!$D$3:$E$14,2,FALSE)</f>
        <v>Mars</v>
      </c>
      <c r="D211" s="15" t="str">
        <f>VLOOKUP(G211,Correspondance!$A$3:$B$10,2,FALSE)</f>
        <v>ASF</v>
      </c>
      <c r="E211" s="1" t="s">
        <v>798</v>
      </c>
      <c r="F211" s="2" t="s">
        <v>169</v>
      </c>
      <c r="G211" s="3" t="s">
        <v>52</v>
      </c>
      <c r="H211" s="4" t="s">
        <v>53</v>
      </c>
      <c r="I211" s="4" t="s">
        <v>54</v>
      </c>
      <c r="J211" s="5" t="s">
        <v>44</v>
      </c>
      <c r="K211" s="6">
        <v>100</v>
      </c>
      <c r="L211" s="4" t="s">
        <v>935</v>
      </c>
      <c r="M211" s="4" t="s">
        <v>515</v>
      </c>
      <c r="N211" s="4" t="s">
        <v>114</v>
      </c>
      <c r="O211" s="4" t="s">
        <v>175</v>
      </c>
      <c r="P211" s="4" t="s">
        <v>495</v>
      </c>
      <c r="Q211" s="4" t="s">
        <v>49</v>
      </c>
      <c r="R211" s="4">
        <v>1</v>
      </c>
      <c r="S211" s="4">
        <v>1</v>
      </c>
      <c r="T211" s="4">
        <v>1</v>
      </c>
      <c r="U211" s="4">
        <v>1</v>
      </c>
      <c r="V211" s="4">
        <v>1</v>
      </c>
      <c r="W211" s="4">
        <v>1</v>
      </c>
      <c r="X211" s="4">
        <v>1</v>
      </c>
      <c r="Y211" s="4" t="s">
        <v>140</v>
      </c>
      <c r="Z211" s="4">
        <v>1</v>
      </c>
      <c r="AA211" s="4">
        <v>1</v>
      </c>
      <c r="AB211" s="4">
        <v>1</v>
      </c>
      <c r="AC211" s="4">
        <v>1</v>
      </c>
      <c r="AD211" s="4">
        <v>1</v>
      </c>
      <c r="AE211" s="4">
        <v>1</v>
      </c>
      <c r="AF211" s="4" t="s">
        <v>140</v>
      </c>
      <c r="AG211" s="4">
        <v>1</v>
      </c>
      <c r="AH211" s="4">
        <v>1</v>
      </c>
      <c r="AI211" s="4">
        <v>1</v>
      </c>
      <c r="AJ211" s="4">
        <v>1</v>
      </c>
      <c r="AK211" s="4">
        <v>1</v>
      </c>
      <c r="AL211" s="4">
        <v>1</v>
      </c>
      <c r="AM211" s="4">
        <v>1</v>
      </c>
      <c r="AN211" s="4">
        <v>1</v>
      </c>
      <c r="AO211" s="4" t="s">
        <v>948</v>
      </c>
    </row>
    <row r="212" spans="1:41" hidden="1" x14ac:dyDescent="0.2">
      <c r="A212" s="13">
        <f t="shared" si="6"/>
        <v>12</v>
      </c>
      <c r="B212" s="13">
        <f t="shared" si="7"/>
        <v>3</v>
      </c>
      <c r="C212" s="13" t="str">
        <f>VLOOKUP(B212,Correspondance!$D$3:$E$14,2,FALSE)</f>
        <v>Mars</v>
      </c>
      <c r="D212" s="15" t="str">
        <f>VLOOKUP(G212,Correspondance!$A$3:$B$10,2,FALSE)</f>
        <v>ASF</v>
      </c>
      <c r="E212" s="1" t="s">
        <v>798</v>
      </c>
      <c r="F212" s="2" t="s">
        <v>169</v>
      </c>
      <c r="G212" s="3" t="s">
        <v>61</v>
      </c>
      <c r="H212" s="4" t="s">
        <v>342</v>
      </c>
      <c r="I212" s="4" t="s">
        <v>343</v>
      </c>
      <c r="J212" s="5" t="s">
        <v>44</v>
      </c>
      <c r="K212" s="6">
        <v>98</v>
      </c>
      <c r="L212" s="4" t="s">
        <v>936</v>
      </c>
      <c r="M212" s="4" t="s">
        <v>365</v>
      </c>
      <c r="N212" s="4" t="s">
        <v>114</v>
      </c>
      <c r="O212" s="4" t="s">
        <v>175</v>
      </c>
      <c r="P212" s="4" t="s">
        <v>501</v>
      </c>
      <c r="Q212" s="4" t="s">
        <v>49</v>
      </c>
      <c r="R212" s="4">
        <v>1</v>
      </c>
      <c r="S212" s="4">
        <v>1</v>
      </c>
      <c r="T212" s="4">
        <v>1</v>
      </c>
      <c r="U212" s="4">
        <v>1</v>
      </c>
      <c r="V212" s="4">
        <v>1</v>
      </c>
      <c r="W212" s="4">
        <v>1</v>
      </c>
      <c r="X212" s="4">
        <v>1</v>
      </c>
      <c r="Y212" s="4" t="s">
        <v>140</v>
      </c>
      <c r="Z212" s="4">
        <v>0</v>
      </c>
      <c r="AA212" s="4">
        <v>1</v>
      </c>
      <c r="AB212" s="4">
        <v>1</v>
      </c>
      <c r="AC212" s="4">
        <v>1</v>
      </c>
      <c r="AD212" s="4">
        <v>1</v>
      </c>
      <c r="AE212" s="4">
        <v>1</v>
      </c>
      <c r="AF212" s="4" t="s">
        <v>140</v>
      </c>
      <c r="AG212" s="4">
        <v>1</v>
      </c>
      <c r="AH212" s="4">
        <v>1</v>
      </c>
      <c r="AI212" s="4">
        <v>1</v>
      </c>
      <c r="AJ212" s="4">
        <v>1</v>
      </c>
      <c r="AK212" s="4">
        <v>1</v>
      </c>
      <c r="AL212" s="4" t="s">
        <v>140</v>
      </c>
      <c r="AM212" s="4" t="s">
        <v>140</v>
      </c>
      <c r="AN212" s="4">
        <v>1</v>
      </c>
      <c r="AO212" s="4" t="s">
        <v>872</v>
      </c>
    </row>
    <row r="213" spans="1:41" hidden="1" x14ac:dyDescent="0.2">
      <c r="A213" s="13">
        <f t="shared" si="6"/>
        <v>12</v>
      </c>
      <c r="B213" s="13">
        <f t="shared" si="7"/>
        <v>3</v>
      </c>
      <c r="C213" s="13" t="str">
        <f>VLOOKUP(B213,Correspondance!$D$3:$E$14,2,FALSE)</f>
        <v>Mars</v>
      </c>
      <c r="D213" s="15" t="str">
        <f>VLOOKUP(G213,Correspondance!$A$3:$B$10,2,FALSE)</f>
        <v>ASF</v>
      </c>
      <c r="E213" s="1" t="s">
        <v>937</v>
      </c>
      <c r="F213" s="2" t="s">
        <v>169</v>
      </c>
      <c r="G213" s="3" t="s">
        <v>41</v>
      </c>
      <c r="H213" s="4" t="s">
        <v>179</v>
      </c>
      <c r="I213" s="4" t="s">
        <v>180</v>
      </c>
      <c r="J213" s="5" t="s">
        <v>44</v>
      </c>
      <c r="K213" s="6">
        <v>100</v>
      </c>
      <c r="L213" s="4" t="s">
        <v>938</v>
      </c>
      <c r="M213" s="4" t="s">
        <v>399</v>
      </c>
      <c r="N213" s="4" t="s">
        <v>46</v>
      </c>
      <c r="O213" s="4" t="s">
        <v>99</v>
      </c>
      <c r="P213" s="4" t="s">
        <v>498</v>
      </c>
      <c r="Q213" s="4" t="s">
        <v>49</v>
      </c>
      <c r="R213" s="4">
        <v>1</v>
      </c>
      <c r="S213" s="4">
        <v>1</v>
      </c>
      <c r="T213" s="4">
        <v>1</v>
      </c>
      <c r="U213" s="4">
        <v>1</v>
      </c>
      <c r="V213" s="4">
        <v>1</v>
      </c>
      <c r="W213" s="4">
        <v>1</v>
      </c>
      <c r="X213" s="4">
        <v>1</v>
      </c>
      <c r="Y213" s="4" t="s">
        <v>140</v>
      </c>
      <c r="Z213" s="4">
        <v>1</v>
      </c>
      <c r="AA213" s="4">
        <v>1</v>
      </c>
      <c r="AB213" s="4">
        <v>1</v>
      </c>
      <c r="AC213" s="4">
        <v>1</v>
      </c>
      <c r="AD213" s="4">
        <v>1</v>
      </c>
      <c r="AE213" s="4">
        <v>1</v>
      </c>
      <c r="AF213" s="4" t="s">
        <v>140</v>
      </c>
      <c r="AG213" s="4">
        <v>1</v>
      </c>
      <c r="AH213" s="4" t="s">
        <v>140</v>
      </c>
      <c r="AI213" s="4">
        <v>1</v>
      </c>
      <c r="AJ213" s="4">
        <v>1</v>
      </c>
      <c r="AK213" s="4">
        <v>1</v>
      </c>
      <c r="AL213" s="4" t="s">
        <v>140</v>
      </c>
      <c r="AM213" s="4" t="s">
        <v>140</v>
      </c>
      <c r="AN213" s="4">
        <v>1</v>
      </c>
      <c r="AO213" s="4" t="s">
        <v>948</v>
      </c>
    </row>
    <row r="214" spans="1:41" hidden="1" x14ac:dyDescent="0.2">
      <c r="A214" s="13">
        <f t="shared" si="6"/>
        <v>12</v>
      </c>
      <c r="B214" s="13">
        <f t="shared" si="7"/>
        <v>3</v>
      </c>
      <c r="C214" s="13" t="str">
        <f>VLOOKUP(B214,Correspondance!$D$3:$E$14,2,FALSE)</f>
        <v>Mars</v>
      </c>
      <c r="D214" s="15" t="str">
        <f>VLOOKUP(G214,Correspondance!$A$3:$B$10,2,FALSE)</f>
        <v>ASF</v>
      </c>
      <c r="E214" s="1" t="s">
        <v>937</v>
      </c>
      <c r="F214" s="2" t="s">
        <v>169</v>
      </c>
      <c r="G214" s="3" t="s">
        <v>52</v>
      </c>
      <c r="H214" s="4" t="s">
        <v>233</v>
      </c>
      <c r="I214" s="4" t="s">
        <v>234</v>
      </c>
      <c r="J214" s="5" t="s">
        <v>44</v>
      </c>
      <c r="K214" s="6">
        <v>100</v>
      </c>
      <c r="L214" s="4" t="s">
        <v>939</v>
      </c>
      <c r="M214" s="4" t="s">
        <v>215</v>
      </c>
      <c r="N214" s="4" t="s">
        <v>46</v>
      </c>
      <c r="O214" s="4" t="s">
        <v>99</v>
      </c>
      <c r="P214" s="4" t="s">
        <v>940</v>
      </c>
      <c r="Q214" s="4" t="s">
        <v>49</v>
      </c>
      <c r="R214" s="4">
        <v>1</v>
      </c>
      <c r="S214" s="4">
        <v>1</v>
      </c>
      <c r="T214" s="4">
        <v>1</v>
      </c>
      <c r="U214" s="4">
        <v>1</v>
      </c>
      <c r="V214" s="4">
        <v>1</v>
      </c>
      <c r="W214" s="4">
        <v>1</v>
      </c>
      <c r="X214" s="4">
        <v>1</v>
      </c>
      <c r="Y214" s="4" t="s">
        <v>140</v>
      </c>
      <c r="Z214" s="4" t="s">
        <v>140</v>
      </c>
      <c r="AA214" s="4">
        <v>0</v>
      </c>
      <c r="AB214" s="4">
        <v>1</v>
      </c>
      <c r="AC214" s="4">
        <v>1</v>
      </c>
      <c r="AD214" s="4">
        <v>1</v>
      </c>
      <c r="AE214" s="4">
        <v>1</v>
      </c>
      <c r="AF214" s="4" t="s">
        <v>140</v>
      </c>
      <c r="AG214" s="4">
        <v>1</v>
      </c>
      <c r="AH214" s="4" t="s">
        <v>140</v>
      </c>
      <c r="AI214" s="4">
        <v>1</v>
      </c>
      <c r="AJ214" s="4">
        <v>1</v>
      </c>
      <c r="AK214" s="4">
        <v>1</v>
      </c>
      <c r="AL214" s="4" t="s">
        <v>140</v>
      </c>
      <c r="AM214" s="4" t="s">
        <v>140</v>
      </c>
      <c r="AN214" s="4">
        <v>1</v>
      </c>
      <c r="AO214" s="4" t="s">
        <v>948</v>
      </c>
    </row>
    <row r="215" spans="1:41" ht="25.5" hidden="1" x14ac:dyDescent="0.2">
      <c r="A215" s="13">
        <f t="shared" si="6"/>
        <v>12</v>
      </c>
      <c r="B215" s="13">
        <f t="shared" si="7"/>
        <v>3</v>
      </c>
      <c r="C215" s="13" t="str">
        <f>VLOOKUP(B215,Correspondance!$D$3:$E$14,2,FALSE)</f>
        <v>Mars</v>
      </c>
      <c r="D215" s="15" t="str">
        <f>VLOOKUP(G215,Correspondance!$A$3:$B$10,2,FALSE)</f>
        <v>ASF</v>
      </c>
      <c r="E215" s="1" t="s">
        <v>941</v>
      </c>
      <c r="F215" s="2" t="s">
        <v>169</v>
      </c>
      <c r="G215" s="3" t="s">
        <v>41</v>
      </c>
      <c r="H215" s="4" t="s">
        <v>532</v>
      </c>
      <c r="I215" s="4" t="s">
        <v>533</v>
      </c>
      <c r="J215" s="5" t="s">
        <v>41</v>
      </c>
      <c r="K215" s="6">
        <v>100</v>
      </c>
      <c r="L215" s="4" t="s">
        <v>942</v>
      </c>
      <c r="M215" s="4" t="s">
        <v>223</v>
      </c>
      <c r="N215" s="4" t="s">
        <v>66</v>
      </c>
      <c r="O215" s="4" t="s">
        <v>47</v>
      </c>
      <c r="P215" s="4" t="s">
        <v>943</v>
      </c>
      <c r="Q215" s="4" t="s">
        <v>49</v>
      </c>
      <c r="R215" s="4">
        <v>1</v>
      </c>
      <c r="S215" s="4">
        <v>1</v>
      </c>
      <c r="T215" s="4">
        <v>1</v>
      </c>
      <c r="U215" s="4">
        <v>1</v>
      </c>
      <c r="V215" s="4">
        <v>1</v>
      </c>
      <c r="W215" s="4">
        <v>1</v>
      </c>
      <c r="X215" s="4">
        <v>1</v>
      </c>
      <c r="Y215" s="4">
        <v>1</v>
      </c>
      <c r="Z215" s="4">
        <v>1</v>
      </c>
      <c r="AA215" s="4">
        <v>1</v>
      </c>
      <c r="AB215" s="4">
        <v>1</v>
      </c>
      <c r="AC215" s="4">
        <v>1</v>
      </c>
      <c r="AD215" s="4">
        <v>1</v>
      </c>
      <c r="AE215" s="4">
        <v>1</v>
      </c>
      <c r="AF215" s="4" t="s">
        <v>140</v>
      </c>
      <c r="AG215" s="4">
        <v>1</v>
      </c>
      <c r="AH215" s="4" t="s">
        <v>140</v>
      </c>
      <c r="AI215" s="4">
        <v>1</v>
      </c>
      <c r="AJ215" s="4" t="s">
        <v>140</v>
      </c>
      <c r="AK215" s="4" t="s">
        <v>140</v>
      </c>
      <c r="AL215" s="4" t="s">
        <v>140</v>
      </c>
      <c r="AM215" s="4">
        <v>1</v>
      </c>
      <c r="AN215" s="4" t="s">
        <v>140</v>
      </c>
      <c r="AO215" s="4" t="s">
        <v>872</v>
      </c>
    </row>
    <row r="216" spans="1:41" ht="25.5" hidden="1" x14ac:dyDescent="0.2">
      <c r="A216" s="13">
        <f t="shared" si="6"/>
        <v>12</v>
      </c>
      <c r="B216" s="13">
        <f t="shared" si="7"/>
        <v>3</v>
      </c>
      <c r="C216" s="13" t="str">
        <f>VLOOKUP(B216,Correspondance!$D$3:$E$14,2,FALSE)</f>
        <v>Mars</v>
      </c>
      <c r="D216" s="15" t="str">
        <f>VLOOKUP(G216,Correspondance!$A$3:$B$10,2,FALSE)</f>
        <v>ASF</v>
      </c>
      <c r="E216" s="1" t="s">
        <v>941</v>
      </c>
      <c r="F216" s="2" t="s">
        <v>169</v>
      </c>
      <c r="G216" s="3" t="s">
        <v>41</v>
      </c>
      <c r="H216" s="4" t="s">
        <v>532</v>
      </c>
      <c r="I216" s="4" t="s">
        <v>533</v>
      </c>
      <c r="J216" s="5" t="s">
        <v>41</v>
      </c>
      <c r="K216" s="6">
        <v>100</v>
      </c>
      <c r="L216" s="4" t="s">
        <v>944</v>
      </c>
      <c r="M216" s="4" t="s">
        <v>521</v>
      </c>
      <c r="N216" s="4" t="s">
        <v>66</v>
      </c>
      <c r="O216" s="4" t="s">
        <v>175</v>
      </c>
      <c r="P216" s="4" t="s">
        <v>945</v>
      </c>
      <c r="Q216" s="4" t="s">
        <v>49</v>
      </c>
      <c r="R216" s="4">
        <v>1</v>
      </c>
      <c r="S216" s="4">
        <v>1</v>
      </c>
      <c r="T216" s="4">
        <v>1</v>
      </c>
      <c r="U216" s="4">
        <v>1</v>
      </c>
      <c r="V216" s="4">
        <v>1</v>
      </c>
      <c r="W216" s="4">
        <v>1</v>
      </c>
      <c r="X216" s="4">
        <v>1</v>
      </c>
      <c r="Y216" s="4">
        <v>1</v>
      </c>
      <c r="Z216" s="4">
        <v>1</v>
      </c>
      <c r="AA216" s="4">
        <v>1</v>
      </c>
      <c r="AB216" s="4">
        <v>1</v>
      </c>
      <c r="AC216" s="4">
        <v>1</v>
      </c>
      <c r="AD216" s="4">
        <v>1</v>
      </c>
      <c r="AE216" s="4">
        <v>1</v>
      </c>
      <c r="AF216" s="4" t="s">
        <v>140</v>
      </c>
      <c r="AG216" s="4">
        <v>1</v>
      </c>
      <c r="AH216" s="4" t="s">
        <v>140</v>
      </c>
      <c r="AI216" s="4">
        <v>1</v>
      </c>
      <c r="AJ216" s="4" t="s">
        <v>140</v>
      </c>
      <c r="AK216" s="4" t="s">
        <v>140</v>
      </c>
      <c r="AL216" s="4">
        <v>1</v>
      </c>
      <c r="AM216" s="4" t="s">
        <v>140</v>
      </c>
      <c r="AN216" s="4" t="s">
        <v>140</v>
      </c>
      <c r="AO216" s="4" t="s">
        <v>872</v>
      </c>
    </row>
    <row r="217" spans="1:41" hidden="1" x14ac:dyDescent="0.2">
      <c r="A217" s="13">
        <f t="shared" si="6"/>
        <v>12</v>
      </c>
      <c r="B217" s="13">
        <f t="shared" si="7"/>
        <v>3</v>
      </c>
      <c r="C217" s="13" t="str">
        <f>VLOOKUP(B217,Correspondance!$D$3:$E$14,2,FALSE)</f>
        <v>Mars</v>
      </c>
      <c r="D217" s="15" t="str">
        <f>VLOOKUP(G217,Correspondance!$A$3:$B$10,2,FALSE)</f>
        <v>ASF</v>
      </c>
      <c r="E217" s="1" t="s">
        <v>941</v>
      </c>
      <c r="F217" s="2" t="s">
        <v>169</v>
      </c>
      <c r="G217" s="3" t="s">
        <v>41</v>
      </c>
      <c r="H217" s="4" t="s">
        <v>300</v>
      </c>
      <c r="I217" s="4" t="s">
        <v>301</v>
      </c>
      <c r="J217" s="5" t="s">
        <v>41</v>
      </c>
      <c r="K217" s="6">
        <v>93.4</v>
      </c>
      <c r="L217" s="4" t="s">
        <v>946</v>
      </c>
      <c r="M217" s="4" t="s">
        <v>174</v>
      </c>
      <c r="N217" s="4" t="s">
        <v>66</v>
      </c>
      <c r="O217" s="4" t="s">
        <v>99</v>
      </c>
      <c r="P217" s="4" t="s">
        <v>947</v>
      </c>
      <c r="Q217" s="4" t="s">
        <v>49</v>
      </c>
      <c r="R217" s="4">
        <v>1</v>
      </c>
      <c r="S217" s="4">
        <v>1</v>
      </c>
      <c r="T217" s="4">
        <v>1</v>
      </c>
      <c r="U217" s="4">
        <v>1</v>
      </c>
      <c r="V217" s="4">
        <v>1</v>
      </c>
      <c r="W217" s="4">
        <v>1</v>
      </c>
      <c r="X217" s="4">
        <v>1</v>
      </c>
      <c r="Y217" s="4">
        <v>1</v>
      </c>
      <c r="Z217" s="4" t="s">
        <v>140</v>
      </c>
      <c r="AA217" s="4">
        <v>1</v>
      </c>
      <c r="AB217" s="4">
        <v>1</v>
      </c>
      <c r="AC217" s="4">
        <v>1</v>
      </c>
      <c r="AD217" s="4">
        <v>1</v>
      </c>
      <c r="AE217" s="4">
        <v>0</v>
      </c>
      <c r="AF217" s="4" t="s">
        <v>140</v>
      </c>
      <c r="AG217" s="4">
        <v>1</v>
      </c>
      <c r="AH217" s="4">
        <v>1</v>
      </c>
      <c r="AI217" s="4">
        <v>1</v>
      </c>
      <c r="AJ217" s="4">
        <v>1</v>
      </c>
      <c r="AK217" s="4">
        <v>1</v>
      </c>
      <c r="AL217" s="4" t="s">
        <v>140</v>
      </c>
      <c r="AM217" s="4" t="s">
        <v>140</v>
      </c>
      <c r="AN217" s="4" t="s">
        <v>140</v>
      </c>
      <c r="AO217" s="4" t="s">
        <v>948</v>
      </c>
    </row>
    <row r="218" spans="1:41" hidden="1" x14ac:dyDescent="0.2">
      <c r="A218" s="13">
        <f t="shared" si="6"/>
        <v>13</v>
      </c>
      <c r="B218" s="13">
        <f t="shared" si="7"/>
        <v>3</v>
      </c>
      <c r="C218" s="13" t="str">
        <f>VLOOKUP(B218,Correspondance!$D$3:$E$14,2,FALSE)</f>
        <v>Mars</v>
      </c>
      <c r="D218" s="15" t="str">
        <f>VLOOKUP(G218,Correspondance!$A$3:$B$10,2,FALSE)</f>
        <v>ASF</v>
      </c>
      <c r="E218" s="1" t="s">
        <v>948</v>
      </c>
      <c r="F218" s="2" t="s">
        <v>169</v>
      </c>
      <c r="G218" s="3" t="s">
        <v>41</v>
      </c>
      <c r="H218" s="4" t="s">
        <v>78</v>
      </c>
      <c r="I218" s="4" t="s">
        <v>79</v>
      </c>
      <c r="J218" s="5" t="s">
        <v>44</v>
      </c>
      <c r="K218" s="6">
        <v>100</v>
      </c>
      <c r="L218" s="4" t="s">
        <v>949</v>
      </c>
      <c r="M218" s="4" t="s">
        <v>174</v>
      </c>
      <c r="N218" s="4" t="s">
        <v>46</v>
      </c>
      <c r="O218" s="4" t="s">
        <v>175</v>
      </c>
      <c r="P218" s="4" t="s">
        <v>665</v>
      </c>
      <c r="Q218" s="4" t="s">
        <v>49</v>
      </c>
      <c r="R218" s="4">
        <v>1</v>
      </c>
      <c r="S218" s="4">
        <v>1</v>
      </c>
      <c r="T218" s="4">
        <v>1</v>
      </c>
      <c r="U218" s="4">
        <v>1</v>
      </c>
      <c r="V218" s="4">
        <v>1</v>
      </c>
      <c r="W218" s="4">
        <v>1</v>
      </c>
      <c r="X218" s="4">
        <v>1</v>
      </c>
      <c r="Y218" s="4" t="s">
        <v>140</v>
      </c>
      <c r="Z218" s="4" t="s">
        <v>140</v>
      </c>
      <c r="AA218" s="4">
        <v>1</v>
      </c>
      <c r="AB218" s="4">
        <v>1</v>
      </c>
      <c r="AC218" s="4">
        <v>1</v>
      </c>
      <c r="AD218" s="4">
        <v>1</v>
      </c>
      <c r="AE218" s="4">
        <v>1</v>
      </c>
      <c r="AF218" s="4" t="s">
        <v>140</v>
      </c>
      <c r="AG218" s="4">
        <v>1</v>
      </c>
      <c r="AH218" s="4">
        <v>1</v>
      </c>
      <c r="AI218" s="4">
        <v>1</v>
      </c>
      <c r="AJ218" s="4">
        <v>1</v>
      </c>
      <c r="AK218" s="4">
        <v>1</v>
      </c>
      <c r="AL218" s="4">
        <v>1</v>
      </c>
      <c r="AM218" s="4">
        <v>1</v>
      </c>
      <c r="AN218" s="4">
        <v>1</v>
      </c>
      <c r="AO218" s="4" t="s">
        <v>873</v>
      </c>
    </row>
    <row r="219" spans="1:41" hidden="1" x14ac:dyDescent="0.2">
      <c r="A219" s="13">
        <f t="shared" si="6"/>
        <v>13</v>
      </c>
      <c r="B219" s="13">
        <f t="shared" si="7"/>
        <v>3</v>
      </c>
      <c r="C219" s="13" t="str">
        <f>VLOOKUP(B219,Correspondance!$D$3:$E$14,2,FALSE)</f>
        <v>Mars</v>
      </c>
      <c r="D219" s="15" t="str">
        <f>VLOOKUP(G219,Correspondance!$A$3:$B$10,2,FALSE)</f>
        <v>ASF</v>
      </c>
      <c r="E219" s="1" t="s">
        <v>948</v>
      </c>
      <c r="F219" s="2" t="s">
        <v>169</v>
      </c>
      <c r="G219" s="3" t="s">
        <v>61</v>
      </c>
      <c r="H219" s="4" t="s">
        <v>323</v>
      </c>
      <c r="I219" s="4" t="s">
        <v>324</v>
      </c>
      <c r="J219" s="5" t="s">
        <v>44</v>
      </c>
      <c r="K219" s="6">
        <v>100</v>
      </c>
      <c r="L219" s="4" t="s">
        <v>950</v>
      </c>
      <c r="M219" s="4" t="s">
        <v>174</v>
      </c>
      <c r="N219" s="4" t="s">
        <v>46</v>
      </c>
      <c r="O219" s="4" t="s">
        <v>175</v>
      </c>
      <c r="P219" s="4" t="s">
        <v>496</v>
      </c>
      <c r="Q219" s="4" t="s">
        <v>49</v>
      </c>
      <c r="R219" s="4">
        <v>1</v>
      </c>
      <c r="S219" s="4">
        <v>1</v>
      </c>
      <c r="T219" s="4">
        <v>1</v>
      </c>
      <c r="U219" s="4">
        <v>1</v>
      </c>
      <c r="V219" s="4">
        <v>1</v>
      </c>
      <c r="W219" s="4">
        <v>1</v>
      </c>
      <c r="X219" s="4">
        <v>1</v>
      </c>
      <c r="Y219" s="4" t="s">
        <v>140</v>
      </c>
      <c r="Z219" s="4" t="s">
        <v>140</v>
      </c>
      <c r="AA219" s="4">
        <v>1</v>
      </c>
      <c r="AB219" s="4">
        <v>1</v>
      </c>
      <c r="AC219" s="4">
        <v>1</v>
      </c>
      <c r="AD219" s="4">
        <v>1</v>
      </c>
      <c r="AE219" s="4">
        <v>1</v>
      </c>
      <c r="AF219" s="4" t="s">
        <v>140</v>
      </c>
      <c r="AG219" s="4">
        <v>1</v>
      </c>
      <c r="AH219" s="4" t="s">
        <v>140</v>
      </c>
      <c r="AI219" s="4">
        <v>1</v>
      </c>
      <c r="AJ219" s="4">
        <v>1</v>
      </c>
      <c r="AK219" s="4" t="s">
        <v>140</v>
      </c>
      <c r="AL219" s="4" t="s">
        <v>140</v>
      </c>
      <c r="AM219" s="4" t="s">
        <v>140</v>
      </c>
      <c r="AN219" s="4" t="s">
        <v>140</v>
      </c>
      <c r="AO219" s="4" t="s">
        <v>873</v>
      </c>
    </row>
    <row r="220" spans="1:41" x14ac:dyDescent="0.2">
      <c r="A220" s="13">
        <f t="shared" si="6"/>
        <v>13</v>
      </c>
      <c r="B220" s="13">
        <f t="shared" si="7"/>
        <v>3</v>
      </c>
      <c r="C220" s="13" t="str">
        <f>VLOOKUP(B220,Correspondance!$D$3:$E$14,2,FALSE)</f>
        <v>Mars</v>
      </c>
      <c r="D220" s="15" t="str">
        <f>VLOOKUP(G220,Correspondance!$A$3:$B$10,2,FALSE)</f>
        <v>ASF</v>
      </c>
      <c r="E220" s="1" t="s">
        <v>872</v>
      </c>
      <c r="F220" s="2" t="s">
        <v>169</v>
      </c>
      <c r="G220" s="3" t="s">
        <v>52</v>
      </c>
      <c r="H220" s="4" t="s">
        <v>93</v>
      </c>
      <c r="I220" s="4" t="s">
        <v>94</v>
      </c>
      <c r="J220" s="5" t="s">
        <v>44</v>
      </c>
      <c r="K220" s="6">
        <v>90</v>
      </c>
      <c r="L220" s="4" t="s">
        <v>951</v>
      </c>
      <c r="M220" s="4" t="s">
        <v>174</v>
      </c>
      <c r="N220" s="4" t="s">
        <v>46</v>
      </c>
      <c r="O220" s="4" t="s">
        <v>175</v>
      </c>
      <c r="P220" s="4" t="s">
        <v>952</v>
      </c>
      <c r="Q220" s="4" t="s">
        <v>49</v>
      </c>
      <c r="R220" s="4">
        <v>1</v>
      </c>
      <c r="S220" s="4">
        <v>1</v>
      </c>
      <c r="T220" s="4">
        <v>1</v>
      </c>
      <c r="U220" s="4">
        <v>1</v>
      </c>
      <c r="V220" s="4">
        <v>1</v>
      </c>
      <c r="W220" s="4">
        <v>1</v>
      </c>
      <c r="X220" s="4">
        <v>1</v>
      </c>
      <c r="Y220" s="4" t="s">
        <v>140</v>
      </c>
      <c r="Z220" s="4">
        <v>1</v>
      </c>
      <c r="AA220" s="4">
        <v>1</v>
      </c>
      <c r="AB220" s="4">
        <v>1</v>
      </c>
      <c r="AC220" s="4">
        <v>0</v>
      </c>
      <c r="AD220" s="4">
        <v>1</v>
      </c>
      <c r="AE220" s="4">
        <v>1</v>
      </c>
      <c r="AF220" s="4" t="s">
        <v>140</v>
      </c>
      <c r="AG220" s="4">
        <v>1</v>
      </c>
      <c r="AH220" s="4" t="s">
        <v>140</v>
      </c>
      <c r="AI220" s="4">
        <v>1</v>
      </c>
      <c r="AJ220" s="4">
        <v>1</v>
      </c>
      <c r="AK220" s="4" t="s">
        <v>140</v>
      </c>
      <c r="AL220" s="4" t="s">
        <v>140</v>
      </c>
      <c r="AM220" s="4" t="s">
        <v>140</v>
      </c>
      <c r="AN220" s="4" t="s">
        <v>140</v>
      </c>
      <c r="AO220" s="4" t="s">
        <v>873</v>
      </c>
    </row>
    <row r="221" spans="1:41" hidden="1" x14ac:dyDescent="0.2">
      <c r="A221" s="13">
        <f t="shared" si="6"/>
        <v>1</v>
      </c>
      <c r="B221" s="13">
        <f t="shared" si="7"/>
        <v>1</v>
      </c>
      <c r="C221" s="13" t="str">
        <f>VLOOKUP(B221,Correspondance!$D$3:$E$14,2,FALSE)</f>
        <v>Janvier</v>
      </c>
      <c r="D221" s="15" t="str">
        <f>VLOOKUP(G221,Correspondance!$A$3:$B$10,2,FALSE)</f>
        <v>PHONE</v>
      </c>
      <c r="E221" s="115" t="s">
        <v>39</v>
      </c>
      <c r="F221" s="116" t="s">
        <v>169</v>
      </c>
      <c r="G221" s="117" t="s">
        <v>255</v>
      </c>
      <c r="H221" s="118" t="s">
        <v>1331</v>
      </c>
      <c r="I221" s="118" t="s">
        <v>256</v>
      </c>
      <c r="J221" s="119" t="s">
        <v>57</v>
      </c>
      <c r="K221" s="120">
        <v>100</v>
      </c>
      <c r="L221" s="118" t="s">
        <v>257</v>
      </c>
      <c r="M221" s="118" t="s">
        <v>174</v>
      </c>
      <c r="N221" s="118" t="s">
        <v>46</v>
      </c>
      <c r="O221" s="118" t="s">
        <v>47</v>
      </c>
      <c r="P221" s="118" t="s">
        <v>258</v>
      </c>
      <c r="Q221" s="118" t="s">
        <v>49</v>
      </c>
      <c r="R221" s="118">
        <v>1</v>
      </c>
      <c r="S221" s="118">
        <v>1</v>
      </c>
      <c r="T221" s="118">
        <v>1</v>
      </c>
      <c r="U221" s="118">
        <v>1</v>
      </c>
      <c r="V221" s="118">
        <v>1</v>
      </c>
      <c r="W221" s="118">
        <v>1</v>
      </c>
      <c r="X221" s="118">
        <v>1</v>
      </c>
      <c r="Y221" s="118" t="s">
        <v>140</v>
      </c>
      <c r="Z221" s="118" t="s">
        <v>140</v>
      </c>
      <c r="AA221" s="118">
        <v>1</v>
      </c>
      <c r="AB221" s="118">
        <v>1</v>
      </c>
      <c r="AC221" s="118">
        <v>1</v>
      </c>
      <c r="AD221" s="118">
        <v>1</v>
      </c>
      <c r="AE221" s="118">
        <v>1</v>
      </c>
      <c r="AF221" s="118" t="s">
        <v>140</v>
      </c>
      <c r="AG221" s="118">
        <v>1</v>
      </c>
      <c r="AH221" s="118">
        <v>1</v>
      </c>
      <c r="AI221" s="118">
        <v>1</v>
      </c>
      <c r="AJ221" s="118">
        <v>1</v>
      </c>
      <c r="AK221" s="118">
        <v>1</v>
      </c>
      <c r="AL221" s="118">
        <v>1</v>
      </c>
      <c r="AM221" s="118">
        <v>1</v>
      </c>
      <c r="AN221" s="118">
        <v>1</v>
      </c>
      <c r="AO221" s="118" t="s">
        <v>586</v>
      </c>
    </row>
    <row r="222" spans="1:41" ht="25.5" x14ac:dyDescent="0.2">
      <c r="A222" s="13">
        <f t="shared" si="6"/>
        <v>1</v>
      </c>
      <c r="B222" s="13">
        <f t="shared" si="7"/>
        <v>1</v>
      </c>
      <c r="C222" s="13" t="str">
        <f>VLOOKUP(B222,Correspondance!$D$3:$E$14,2,FALSE)</f>
        <v>Janvier</v>
      </c>
      <c r="D222" s="15" t="str">
        <f>VLOOKUP(G222,Correspondance!$A$3:$B$10,2,FALSE)</f>
        <v>PHONE</v>
      </c>
      <c r="E222" s="115" t="s">
        <v>259</v>
      </c>
      <c r="F222" s="116" t="s">
        <v>169</v>
      </c>
      <c r="G222" s="117" t="s">
        <v>255</v>
      </c>
      <c r="H222" s="118" t="s">
        <v>1332</v>
      </c>
      <c r="I222" s="118" t="s">
        <v>260</v>
      </c>
      <c r="J222" s="119" t="s">
        <v>261</v>
      </c>
      <c r="K222" s="120">
        <v>90</v>
      </c>
      <c r="L222" s="118" t="s">
        <v>262</v>
      </c>
      <c r="M222" s="118" t="s">
        <v>263</v>
      </c>
      <c r="N222" s="118" t="s">
        <v>238</v>
      </c>
      <c r="O222" s="118" t="s">
        <v>74</v>
      </c>
      <c r="P222" s="118" t="s">
        <v>264</v>
      </c>
      <c r="Q222" s="118" t="s">
        <v>49</v>
      </c>
      <c r="R222" s="118">
        <v>1</v>
      </c>
      <c r="S222" s="118">
        <v>1</v>
      </c>
      <c r="T222" s="118">
        <v>1</v>
      </c>
      <c r="U222" s="118">
        <v>1</v>
      </c>
      <c r="V222" s="118">
        <v>1</v>
      </c>
      <c r="W222" s="118">
        <v>1</v>
      </c>
      <c r="X222" s="118">
        <v>1</v>
      </c>
      <c r="Y222" s="118" t="s">
        <v>140</v>
      </c>
      <c r="Z222" s="118" t="s">
        <v>140</v>
      </c>
      <c r="AA222" s="118">
        <v>1</v>
      </c>
      <c r="AB222" s="118">
        <v>1</v>
      </c>
      <c r="AC222" s="118">
        <v>0</v>
      </c>
      <c r="AD222" s="118" t="s">
        <v>140</v>
      </c>
      <c r="AE222" s="118">
        <v>1</v>
      </c>
      <c r="AF222" s="118" t="s">
        <v>140</v>
      </c>
      <c r="AG222" s="118">
        <v>1</v>
      </c>
      <c r="AH222" s="118">
        <v>1</v>
      </c>
      <c r="AI222" s="118">
        <v>1</v>
      </c>
      <c r="AJ222" s="118">
        <v>1</v>
      </c>
      <c r="AK222" s="118" t="s">
        <v>140</v>
      </c>
      <c r="AL222" s="118" t="s">
        <v>140</v>
      </c>
      <c r="AM222" s="118" t="s">
        <v>140</v>
      </c>
      <c r="AN222" s="118" t="s">
        <v>140</v>
      </c>
      <c r="AO222" s="118" t="s">
        <v>586</v>
      </c>
    </row>
    <row r="223" spans="1:41" ht="25.5" hidden="1" x14ac:dyDescent="0.2">
      <c r="A223" s="13">
        <f t="shared" si="6"/>
        <v>1</v>
      </c>
      <c r="B223" s="13">
        <f t="shared" si="7"/>
        <v>1</v>
      </c>
      <c r="C223" s="13" t="str">
        <f>VLOOKUP(B223,Correspondance!$D$3:$E$14,2,FALSE)</f>
        <v>Janvier</v>
      </c>
      <c r="D223" s="15" t="str">
        <f>VLOOKUP(G223,Correspondance!$A$3:$B$10,2,FALSE)</f>
        <v>PHONE</v>
      </c>
      <c r="E223" s="115" t="s">
        <v>259</v>
      </c>
      <c r="F223" s="116" t="s">
        <v>169</v>
      </c>
      <c r="G223" s="117" t="s">
        <v>255</v>
      </c>
      <c r="H223" s="118" t="s">
        <v>1332</v>
      </c>
      <c r="I223" s="118" t="s">
        <v>260</v>
      </c>
      <c r="J223" s="119" t="s">
        <v>261</v>
      </c>
      <c r="K223" s="120">
        <v>94.38297872340425</v>
      </c>
      <c r="L223" s="118" t="s">
        <v>265</v>
      </c>
      <c r="M223" s="118" t="s">
        <v>215</v>
      </c>
      <c r="N223" s="118" t="s">
        <v>238</v>
      </c>
      <c r="O223" s="118" t="s">
        <v>74</v>
      </c>
      <c r="P223" s="118" t="s">
        <v>77</v>
      </c>
      <c r="Q223" s="118" t="s">
        <v>49</v>
      </c>
      <c r="R223" s="118">
        <v>1</v>
      </c>
      <c r="S223" s="118">
        <v>1</v>
      </c>
      <c r="T223" s="118">
        <v>1</v>
      </c>
      <c r="U223" s="118" t="s">
        <v>140</v>
      </c>
      <c r="V223" s="118">
        <v>1</v>
      </c>
      <c r="W223" s="118">
        <v>1</v>
      </c>
      <c r="X223" s="118">
        <v>1</v>
      </c>
      <c r="Y223" s="118" t="s">
        <v>140</v>
      </c>
      <c r="Z223" s="118" t="s">
        <v>140</v>
      </c>
      <c r="AA223" s="118">
        <v>1</v>
      </c>
      <c r="AB223" s="118">
        <v>1</v>
      </c>
      <c r="AC223" s="118">
        <v>1</v>
      </c>
      <c r="AD223" s="118" t="s">
        <v>140</v>
      </c>
      <c r="AE223" s="118">
        <v>1</v>
      </c>
      <c r="AF223" s="118" t="s">
        <v>140</v>
      </c>
      <c r="AG223" s="118">
        <v>1</v>
      </c>
      <c r="AH223" s="118" t="s">
        <v>140</v>
      </c>
      <c r="AI223" s="118">
        <v>0</v>
      </c>
      <c r="AJ223" s="118">
        <v>1</v>
      </c>
      <c r="AK223" s="118">
        <v>1</v>
      </c>
      <c r="AL223" s="118" t="s">
        <v>140</v>
      </c>
      <c r="AM223" s="118" t="s">
        <v>140</v>
      </c>
      <c r="AN223" s="118" t="s">
        <v>140</v>
      </c>
      <c r="AO223" s="118" t="s">
        <v>586</v>
      </c>
    </row>
    <row r="224" spans="1:41" hidden="1" x14ac:dyDescent="0.2">
      <c r="A224" s="13">
        <f t="shared" si="6"/>
        <v>1</v>
      </c>
      <c r="B224" s="13">
        <f t="shared" si="7"/>
        <v>1</v>
      </c>
      <c r="C224" s="13" t="str">
        <f>VLOOKUP(B224,Correspondance!$D$3:$E$14,2,FALSE)</f>
        <v>Janvier</v>
      </c>
      <c r="D224" s="15" t="str">
        <f>VLOOKUP(G224,Correspondance!$A$3:$B$10,2,FALSE)</f>
        <v>PHONE</v>
      </c>
      <c r="E224" s="115" t="s">
        <v>259</v>
      </c>
      <c r="F224" s="116" t="s">
        <v>169</v>
      </c>
      <c r="G224" s="117" t="s">
        <v>255</v>
      </c>
      <c r="H224" s="118" t="s">
        <v>266</v>
      </c>
      <c r="I224" s="118" t="s">
        <v>267</v>
      </c>
      <c r="J224" s="119" t="s">
        <v>261</v>
      </c>
      <c r="K224" s="120">
        <v>100</v>
      </c>
      <c r="L224" s="118" t="s">
        <v>268</v>
      </c>
      <c r="M224" s="118" t="s">
        <v>174</v>
      </c>
      <c r="N224" s="118" t="s">
        <v>238</v>
      </c>
      <c r="O224" s="118" t="s">
        <v>74</v>
      </c>
      <c r="P224" s="118" t="s">
        <v>269</v>
      </c>
      <c r="Q224" s="118" t="s">
        <v>49</v>
      </c>
      <c r="R224" s="118">
        <v>1</v>
      </c>
      <c r="S224" s="118">
        <v>1</v>
      </c>
      <c r="T224" s="118">
        <v>1</v>
      </c>
      <c r="U224" s="118">
        <v>1</v>
      </c>
      <c r="V224" s="118">
        <v>1</v>
      </c>
      <c r="W224" s="118">
        <v>1</v>
      </c>
      <c r="X224" s="118">
        <v>1</v>
      </c>
      <c r="Y224" s="118">
        <v>1</v>
      </c>
      <c r="Z224" s="118" t="s">
        <v>140</v>
      </c>
      <c r="AA224" s="118">
        <v>1</v>
      </c>
      <c r="AB224" s="118">
        <v>1</v>
      </c>
      <c r="AC224" s="118">
        <v>1</v>
      </c>
      <c r="AD224" s="118" t="s">
        <v>140</v>
      </c>
      <c r="AE224" s="118">
        <v>1</v>
      </c>
      <c r="AF224" s="118" t="s">
        <v>140</v>
      </c>
      <c r="AG224" s="118">
        <v>1</v>
      </c>
      <c r="AH224" s="118" t="s">
        <v>140</v>
      </c>
      <c r="AI224" s="118">
        <v>1</v>
      </c>
      <c r="AJ224" s="118">
        <v>1</v>
      </c>
      <c r="AK224" s="118" t="s">
        <v>140</v>
      </c>
      <c r="AL224" s="118" t="s">
        <v>140</v>
      </c>
      <c r="AM224" s="118" t="s">
        <v>140</v>
      </c>
      <c r="AN224" s="118" t="s">
        <v>140</v>
      </c>
      <c r="AO224" s="118" t="s">
        <v>586</v>
      </c>
    </row>
    <row r="225" spans="1:41" hidden="1" x14ac:dyDescent="0.2">
      <c r="A225" s="13">
        <f t="shared" si="6"/>
        <v>1</v>
      </c>
      <c r="B225" s="13">
        <f t="shared" si="7"/>
        <v>1</v>
      </c>
      <c r="C225" s="13" t="str">
        <f>VLOOKUP(B225,Correspondance!$D$3:$E$14,2,FALSE)</f>
        <v>Janvier</v>
      </c>
      <c r="D225" s="15" t="str">
        <f>VLOOKUP(G225,Correspondance!$A$3:$B$10,2,FALSE)</f>
        <v>PHONE</v>
      </c>
      <c r="E225" s="115" t="s">
        <v>259</v>
      </c>
      <c r="F225" s="116" t="s">
        <v>169</v>
      </c>
      <c r="G225" s="117" t="s">
        <v>255</v>
      </c>
      <c r="H225" s="118" t="s">
        <v>266</v>
      </c>
      <c r="I225" s="118" t="s">
        <v>267</v>
      </c>
      <c r="J225" s="119" t="s">
        <v>261</v>
      </c>
      <c r="K225" s="120">
        <v>100</v>
      </c>
      <c r="L225" s="118" t="s">
        <v>270</v>
      </c>
      <c r="M225" s="118" t="s">
        <v>223</v>
      </c>
      <c r="N225" s="118" t="s">
        <v>238</v>
      </c>
      <c r="O225" s="118" t="s">
        <v>47</v>
      </c>
      <c r="P225" s="118" t="s">
        <v>271</v>
      </c>
      <c r="Q225" s="118" t="s">
        <v>49</v>
      </c>
      <c r="R225" s="118">
        <v>1</v>
      </c>
      <c r="S225" s="118">
        <v>1</v>
      </c>
      <c r="T225" s="118">
        <v>1</v>
      </c>
      <c r="U225" s="118">
        <v>1</v>
      </c>
      <c r="V225" s="118">
        <v>1</v>
      </c>
      <c r="W225" s="118">
        <v>1</v>
      </c>
      <c r="X225" s="118">
        <v>1</v>
      </c>
      <c r="Y225" s="118" t="s">
        <v>140</v>
      </c>
      <c r="Z225" s="118" t="s">
        <v>140</v>
      </c>
      <c r="AA225" s="118">
        <v>1</v>
      </c>
      <c r="AB225" s="118">
        <v>1</v>
      </c>
      <c r="AC225" s="118">
        <v>1</v>
      </c>
      <c r="AD225" s="118">
        <v>1</v>
      </c>
      <c r="AE225" s="118">
        <v>1</v>
      </c>
      <c r="AF225" s="118" t="s">
        <v>140</v>
      </c>
      <c r="AG225" s="118">
        <v>1</v>
      </c>
      <c r="AH225" s="118" t="s">
        <v>140</v>
      </c>
      <c r="AI225" s="118">
        <v>1</v>
      </c>
      <c r="AJ225" s="118">
        <v>1</v>
      </c>
      <c r="AK225" s="118" t="s">
        <v>140</v>
      </c>
      <c r="AL225" s="118" t="s">
        <v>140</v>
      </c>
      <c r="AM225" s="118" t="s">
        <v>140</v>
      </c>
      <c r="AN225" s="118" t="s">
        <v>140</v>
      </c>
      <c r="AO225" s="118" t="s">
        <v>586</v>
      </c>
    </row>
    <row r="226" spans="1:41" hidden="1" x14ac:dyDescent="0.2">
      <c r="A226" s="13">
        <f t="shared" si="6"/>
        <v>1</v>
      </c>
      <c r="B226" s="13">
        <f t="shared" si="7"/>
        <v>1</v>
      </c>
      <c r="C226" s="13" t="str">
        <f>VLOOKUP(B226,Correspondance!$D$3:$E$14,2,FALSE)</f>
        <v>Janvier</v>
      </c>
      <c r="D226" s="15" t="str">
        <f>VLOOKUP(G226,Correspondance!$A$3:$B$10,2,FALSE)</f>
        <v>PHONE</v>
      </c>
      <c r="E226" s="115" t="s">
        <v>259</v>
      </c>
      <c r="F226" s="116" t="s">
        <v>169</v>
      </c>
      <c r="G226" s="117" t="s">
        <v>255</v>
      </c>
      <c r="H226" s="118" t="s">
        <v>272</v>
      </c>
      <c r="I226" s="118" t="s">
        <v>273</v>
      </c>
      <c r="J226" s="119" t="s">
        <v>261</v>
      </c>
      <c r="K226" s="120">
        <v>100</v>
      </c>
      <c r="L226" s="118" t="s">
        <v>274</v>
      </c>
      <c r="M226" s="118" t="s">
        <v>174</v>
      </c>
      <c r="N226" s="118" t="s">
        <v>238</v>
      </c>
      <c r="O226" s="118" t="s">
        <v>74</v>
      </c>
      <c r="P226" s="118" t="s">
        <v>275</v>
      </c>
      <c r="Q226" s="118" t="s">
        <v>49</v>
      </c>
      <c r="R226" s="118">
        <v>1</v>
      </c>
      <c r="S226" s="118">
        <v>1</v>
      </c>
      <c r="T226" s="118">
        <v>1</v>
      </c>
      <c r="U226" s="118">
        <v>1</v>
      </c>
      <c r="V226" s="118">
        <v>1</v>
      </c>
      <c r="W226" s="118">
        <v>1</v>
      </c>
      <c r="X226" s="118">
        <v>1</v>
      </c>
      <c r="Y226" s="118" t="s">
        <v>140</v>
      </c>
      <c r="Z226" s="118" t="s">
        <v>140</v>
      </c>
      <c r="AA226" s="118">
        <v>1</v>
      </c>
      <c r="AB226" s="118">
        <v>1</v>
      </c>
      <c r="AC226" s="118">
        <v>1</v>
      </c>
      <c r="AD226" s="118" t="s">
        <v>140</v>
      </c>
      <c r="AE226" s="118">
        <v>1</v>
      </c>
      <c r="AF226" s="118" t="s">
        <v>140</v>
      </c>
      <c r="AG226" s="118">
        <v>1</v>
      </c>
      <c r="AH226" s="118" t="s">
        <v>140</v>
      </c>
      <c r="AI226" s="118">
        <v>1</v>
      </c>
      <c r="AJ226" s="118">
        <v>1</v>
      </c>
      <c r="AK226" s="118" t="s">
        <v>140</v>
      </c>
      <c r="AL226" s="118" t="s">
        <v>140</v>
      </c>
      <c r="AM226" s="118" t="s">
        <v>140</v>
      </c>
      <c r="AN226" s="118" t="s">
        <v>140</v>
      </c>
      <c r="AO226" s="118" t="s">
        <v>563</v>
      </c>
    </row>
    <row r="227" spans="1:41" hidden="1" x14ac:dyDescent="0.2">
      <c r="A227" s="13">
        <f t="shared" si="6"/>
        <v>1</v>
      </c>
      <c r="B227" s="13">
        <f t="shared" si="7"/>
        <v>1</v>
      </c>
      <c r="C227" s="13" t="str">
        <f>VLOOKUP(B227,Correspondance!$D$3:$E$14,2,FALSE)</f>
        <v>Janvier</v>
      </c>
      <c r="D227" s="15" t="str">
        <f>VLOOKUP(G227,Correspondance!$A$3:$B$10,2,FALSE)</f>
        <v>PHONE</v>
      </c>
      <c r="E227" s="115" t="s">
        <v>259</v>
      </c>
      <c r="F227" s="116" t="s">
        <v>169</v>
      </c>
      <c r="G227" s="117" t="s">
        <v>255</v>
      </c>
      <c r="H227" s="118" t="s">
        <v>272</v>
      </c>
      <c r="I227" s="118" t="s">
        <v>273</v>
      </c>
      <c r="J227" s="119" t="s">
        <v>261</v>
      </c>
      <c r="K227" s="120">
        <v>100</v>
      </c>
      <c r="L227" s="118" t="s">
        <v>276</v>
      </c>
      <c r="M227" s="118" t="s">
        <v>223</v>
      </c>
      <c r="N227" s="118" t="s">
        <v>238</v>
      </c>
      <c r="O227" s="118" t="s">
        <v>74</v>
      </c>
      <c r="P227" s="118" t="s">
        <v>727</v>
      </c>
      <c r="Q227" s="118" t="s">
        <v>49</v>
      </c>
      <c r="R227" s="118">
        <v>1</v>
      </c>
      <c r="S227" s="118">
        <v>1</v>
      </c>
      <c r="T227" s="118">
        <v>1</v>
      </c>
      <c r="U227" s="118">
        <v>1</v>
      </c>
      <c r="V227" s="118">
        <v>1</v>
      </c>
      <c r="W227" s="118">
        <v>1</v>
      </c>
      <c r="X227" s="118">
        <v>1</v>
      </c>
      <c r="Y227" s="118" t="s">
        <v>140</v>
      </c>
      <c r="Z227" s="118" t="s">
        <v>140</v>
      </c>
      <c r="AA227" s="118">
        <v>1</v>
      </c>
      <c r="AB227" s="118">
        <v>1</v>
      </c>
      <c r="AC227" s="118">
        <v>1</v>
      </c>
      <c r="AD227" s="118" t="s">
        <v>140</v>
      </c>
      <c r="AE227" s="118">
        <v>1</v>
      </c>
      <c r="AF227" s="118" t="s">
        <v>140</v>
      </c>
      <c r="AG227" s="118">
        <v>1</v>
      </c>
      <c r="AH227" s="118" t="s">
        <v>140</v>
      </c>
      <c r="AI227" s="118">
        <v>1</v>
      </c>
      <c r="AJ227" s="118">
        <v>1</v>
      </c>
      <c r="AK227" s="118" t="s">
        <v>140</v>
      </c>
      <c r="AL227" s="118" t="s">
        <v>140</v>
      </c>
      <c r="AM227" s="118">
        <v>1</v>
      </c>
      <c r="AN227" s="118">
        <v>1</v>
      </c>
      <c r="AO227" s="118" t="s">
        <v>563</v>
      </c>
    </row>
    <row r="228" spans="1:41" ht="25.5" x14ac:dyDescent="0.2">
      <c r="A228" s="13">
        <f t="shared" si="6"/>
        <v>1</v>
      </c>
      <c r="B228" s="13">
        <f t="shared" si="7"/>
        <v>1</v>
      </c>
      <c r="C228" s="13" t="str">
        <f>VLOOKUP(B228,Correspondance!$D$3:$E$14,2,FALSE)</f>
        <v>Janvier</v>
      </c>
      <c r="D228" s="15" t="str">
        <f>VLOOKUP(G228,Correspondance!$A$3:$B$10,2,FALSE)</f>
        <v>PHONE</v>
      </c>
      <c r="E228" s="115" t="s">
        <v>259</v>
      </c>
      <c r="F228" s="116" t="s">
        <v>169</v>
      </c>
      <c r="G228" s="117" t="s">
        <v>255</v>
      </c>
      <c r="H228" s="118" t="s">
        <v>522</v>
      </c>
      <c r="I228" s="118" t="s">
        <v>523</v>
      </c>
      <c r="J228" s="119" t="s">
        <v>261</v>
      </c>
      <c r="K228" s="120">
        <v>78</v>
      </c>
      <c r="L228" s="118" t="s">
        <v>728</v>
      </c>
      <c r="M228" s="118" t="s">
        <v>245</v>
      </c>
      <c r="N228" s="118" t="s">
        <v>238</v>
      </c>
      <c r="O228" s="118" t="s">
        <v>74</v>
      </c>
      <c r="P228" s="118"/>
      <c r="Q228" s="118" t="s">
        <v>49</v>
      </c>
      <c r="R228" s="118">
        <v>0</v>
      </c>
      <c r="S228" s="118">
        <v>1</v>
      </c>
      <c r="T228" s="118">
        <v>1</v>
      </c>
      <c r="U228" s="118">
        <v>1</v>
      </c>
      <c r="V228" s="118">
        <v>1</v>
      </c>
      <c r="W228" s="118">
        <v>1</v>
      </c>
      <c r="X228" s="118">
        <v>1</v>
      </c>
      <c r="Y228" s="118" t="s">
        <v>140</v>
      </c>
      <c r="Z228" s="118" t="s">
        <v>140</v>
      </c>
      <c r="AA228" s="118">
        <v>1</v>
      </c>
      <c r="AB228" s="118">
        <v>1</v>
      </c>
      <c r="AC228" s="118">
        <v>0</v>
      </c>
      <c r="AD228" s="118" t="s">
        <v>140</v>
      </c>
      <c r="AE228" s="118">
        <v>1</v>
      </c>
      <c r="AF228" s="118" t="s">
        <v>140</v>
      </c>
      <c r="AG228" s="118">
        <v>1</v>
      </c>
      <c r="AH228" s="118" t="s">
        <v>140</v>
      </c>
      <c r="AI228" s="118">
        <v>1</v>
      </c>
      <c r="AJ228" s="118">
        <v>1</v>
      </c>
      <c r="AK228" s="118" t="s">
        <v>140</v>
      </c>
      <c r="AL228" s="118" t="s">
        <v>140</v>
      </c>
      <c r="AM228" s="118" t="s">
        <v>140</v>
      </c>
      <c r="AN228" s="118" t="s">
        <v>140</v>
      </c>
      <c r="AO228" s="118" t="s">
        <v>586</v>
      </c>
    </row>
    <row r="229" spans="1:41" ht="25.5" hidden="1" x14ac:dyDescent="0.2">
      <c r="A229" s="13">
        <f t="shared" si="6"/>
        <v>1</v>
      </c>
      <c r="B229" s="13">
        <f t="shared" si="7"/>
        <v>1</v>
      </c>
      <c r="C229" s="13" t="str">
        <f>VLOOKUP(B229,Correspondance!$D$3:$E$14,2,FALSE)</f>
        <v>Janvier</v>
      </c>
      <c r="D229" s="15" t="str">
        <f>VLOOKUP(G229,Correspondance!$A$3:$B$10,2,FALSE)</f>
        <v>PHONE</v>
      </c>
      <c r="E229" s="115" t="s">
        <v>259</v>
      </c>
      <c r="F229" s="116" t="s">
        <v>169</v>
      </c>
      <c r="G229" s="117" t="s">
        <v>255</v>
      </c>
      <c r="H229" s="118" t="s">
        <v>522</v>
      </c>
      <c r="I229" s="118" t="s">
        <v>523</v>
      </c>
      <c r="J229" s="119" t="s">
        <v>261</v>
      </c>
      <c r="K229" s="120">
        <v>94.5</v>
      </c>
      <c r="L229" s="118" t="s">
        <v>729</v>
      </c>
      <c r="M229" s="118" t="s">
        <v>174</v>
      </c>
      <c r="N229" s="118" t="s">
        <v>238</v>
      </c>
      <c r="O229" s="118" t="s">
        <v>74</v>
      </c>
      <c r="P229" s="118" t="s">
        <v>504</v>
      </c>
      <c r="Q229" s="118" t="s">
        <v>49</v>
      </c>
      <c r="R229" s="118">
        <v>1</v>
      </c>
      <c r="S229" s="118">
        <v>1</v>
      </c>
      <c r="T229" s="118" t="s">
        <v>140</v>
      </c>
      <c r="U229" s="118">
        <v>1</v>
      </c>
      <c r="V229" s="118">
        <v>1</v>
      </c>
      <c r="W229" s="118">
        <v>1</v>
      </c>
      <c r="X229" s="118">
        <v>1</v>
      </c>
      <c r="Y229" s="118" t="s">
        <v>140</v>
      </c>
      <c r="Z229" s="118" t="s">
        <v>140</v>
      </c>
      <c r="AA229" s="118">
        <v>1</v>
      </c>
      <c r="AB229" s="118">
        <v>1</v>
      </c>
      <c r="AC229" s="118">
        <v>1</v>
      </c>
      <c r="AD229" s="118">
        <v>1</v>
      </c>
      <c r="AE229" s="118">
        <v>1</v>
      </c>
      <c r="AF229" s="118" t="s">
        <v>140</v>
      </c>
      <c r="AG229" s="118" t="s">
        <v>140</v>
      </c>
      <c r="AH229" s="118" t="s">
        <v>140</v>
      </c>
      <c r="AI229" s="118">
        <v>0</v>
      </c>
      <c r="AJ229" s="118">
        <v>1</v>
      </c>
      <c r="AK229" s="118">
        <v>1</v>
      </c>
      <c r="AL229" s="118" t="s">
        <v>140</v>
      </c>
      <c r="AM229" s="118" t="s">
        <v>140</v>
      </c>
      <c r="AN229" s="118">
        <v>1</v>
      </c>
      <c r="AO229" s="118" t="s">
        <v>586</v>
      </c>
    </row>
    <row r="230" spans="1:41" hidden="1" x14ac:dyDescent="0.2">
      <c r="A230" s="13">
        <f t="shared" si="6"/>
        <v>1</v>
      </c>
      <c r="B230" s="13">
        <f t="shared" si="7"/>
        <v>1</v>
      </c>
      <c r="C230" s="13" t="str">
        <f>VLOOKUP(B230,Correspondance!$D$3:$E$14,2,FALSE)</f>
        <v>Janvier</v>
      </c>
      <c r="D230" s="15" t="str">
        <f>VLOOKUP(G230,Correspondance!$A$3:$B$10,2,FALSE)</f>
        <v>PHONE</v>
      </c>
      <c r="E230" s="115" t="s">
        <v>259</v>
      </c>
      <c r="F230" s="116" t="s">
        <v>169</v>
      </c>
      <c r="G230" s="117" t="s">
        <v>277</v>
      </c>
      <c r="H230" s="118" t="s">
        <v>278</v>
      </c>
      <c r="I230" s="118" t="s">
        <v>279</v>
      </c>
      <c r="J230" s="119" t="s">
        <v>261</v>
      </c>
      <c r="K230" s="120">
        <v>100</v>
      </c>
      <c r="L230" s="118" t="s">
        <v>280</v>
      </c>
      <c r="M230" s="118" t="s">
        <v>174</v>
      </c>
      <c r="N230" s="118" t="s">
        <v>238</v>
      </c>
      <c r="O230" s="118" t="s">
        <v>74</v>
      </c>
      <c r="P230" s="118" t="s">
        <v>275</v>
      </c>
      <c r="Q230" s="118" t="s">
        <v>49</v>
      </c>
      <c r="R230" s="118">
        <v>1</v>
      </c>
      <c r="S230" s="118">
        <v>1</v>
      </c>
      <c r="T230" s="118">
        <v>1</v>
      </c>
      <c r="U230" s="118">
        <v>1</v>
      </c>
      <c r="V230" s="118">
        <v>1</v>
      </c>
      <c r="W230" s="118">
        <v>1</v>
      </c>
      <c r="X230" s="118">
        <v>1</v>
      </c>
      <c r="Y230" s="118" t="s">
        <v>140</v>
      </c>
      <c r="Z230" s="118" t="s">
        <v>140</v>
      </c>
      <c r="AA230" s="118">
        <v>1</v>
      </c>
      <c r="AB230" s="118">
        <v>1</v>
      </c>
      <c r="AC230" s="118">
        <v>1</v>
      </c>
      <c r="AD230" s="118" t="s">
        <v>140</v>
      </c>
      <c r="AE230" s="118">
        <v>1</v>
      </c>
      <c r="AF230" s="118" t="s">
        <v>140</v>
      </c>
      <c r="AG230" s="118">
        <v>1</v>
      </c>
      <c r="AH230" s="118" t="s">
        <v>140</v>
      </c>
      <c r="AI230" s="118">
        <v>1</v>
      </c>
      <c r="AJ230" s="118">
        <v>1</v>
      </c>
      <c r="AK230" s="118" t="s">
        <v>140</v>
      </c>
      <c r="AL230" s="118" t="s">
        <v>140</v>
      </c>
      <c r="AM230" s="118" t="s">
        <v>140</v>
      </c>
      <c r="AN230" s="118" t="s">
        <v>140</v>
      </c>
      <c r="AO230" s="118" t="s">
        <v>563</v>
      </c>
    </row>
    <row r="231" spans="1:41" hidden="1" x14ac:dyDescent="0.2">
      <c r="A231" s="13">
        <f t="shared" si="6"/>
        <v>1</v>
      </c>
      <c r="B231" s="13">
        <f t="shared" si="7"/>
        <v>1</v>
      </c>
      <c r="C231" s="13" t="str">
        <f>VLOOKUP(B231,Correspondance!$D$3:$E$14,2,FALSE)</f>
        <v>Janvier</v>
      </c>
      <c r="D231" s="15" t="str">
        <f>VLOOKUP(G231,Correspondance!$A$3:$B$11,2,FALSE)</f>
        <v>PHONE</v>
      </c>
      <c r="E231" s="115" t="s">
        <v>259</v>
      </c>
      <c r="F231" s="116" t="s">
        <v>169</v>
      </c>
      <c r="G231" s="117" t="s">
        <v>277</v>
      </c>
      <c r="H231" s="118" t="s">
        <v>278</v>
      </c>
      <c r="I231" s="118" t="s">
        <v>279</v>
      </c>
      <c r="J231" s="119" t="s">
        <v>261</v>
      </c>
      <c r="K231" s="120">
        <v>100</v>
      </c>
      <c r="L231" s="118" t="s">
        <v>281</v>
      </c>
      <c r="M231" s="118" t="s">
        <v>223</v>
      </c>
      <c r="N231" s="118" t="s">
        <v>238</v>
      </c>
      <c r="O231" s="118" t="s">
        <v>47</v>
      </c>
      <c r="P231" s="118" t="s">
        <v>282</v>
      </c>
      <c r="Q231" s="118" t="s">
        <v>49</v>
      </c>
      <c r="R231" s="118">
        <v>1</v>
      </c>
      <c r="S231" s="118">
        <v>1</v>
      </c>
      <c r="T231" s="118">
        <v>1</v>
      </c>
      <c r="U231" s="118">
        <v>1</v>
      </c>
      <c r="V231" s="118">
        <v>1</v>
      </c>
      <c r="W231" s="118">
        <v>1</v>
      </c>
      <c r="X231" s="118">
        <v>1</v>
      </c>
      <c r="Y231" s="118" t="s">
        <v>140</v>
      </c>
      <c r="Z231" s="118" t="s">
        <v>140</v>
      </c>
      <c r="AA231" s="118">
        <v>1</v>
      </c>
      <c r="AB231" s="118">
        <v>1</v>
      </c>
      <c r="AC231" s="118">
        <v>1</v>
      </c>
      <c r="AD231" s="118" t="s">
        <v>140</v>
      </c>
      <c r="AE231" s="118">
        <v>1</v>
      </c>
      <c r="AF231" s="118" t="s">
        <v>140</v>
      </c>
      <c r="AG231" s="118">
        <v>1</v>
      </c>
      <c r="AH231" s="118" t="s">
        <v>140</v>
      </c>
      <c r="AI231" s="118">
        <v>1</v>
      </c>
      <c r="AJ231" s="118">
        <v>1</v>
      </c>
      <c r="AK231" s="118" t="s">
        <v>140</v>
      </c>
      <c r="AL231" s="118" t="s">
        <v>140</v>
      </c>
      <c r="AM231" s="118" t="s">
        <v>140</v>
      </c>
      <c r="AN231" s="118">
        <v>1</v>
      </c>
      <c r="AO231" s="118" t="s">
        <v>563</v>
      </c>
    </row>
    <row r="232" spans="1:41" hidden="1" x14ac:dyDescent="0.2">
      <c r="A232" s="13">
        <f t="shared" si="6"/>
        <v>1</v>
      </c>
      <c r="B232" s="13">
        <f t="shared" si="7"/>
        <v>1</v>
      </c>
      <c r="C232" s="13" t="str">
        <f>VLOOKUP(B232,Correspondance!$D$3:$E$14,2,FALSE)</f>
        <v>Janvier</v>
      </c>
      <c r="D232" s="15" t="str">
        <f>VLOOKUP(G232,Correspondance!$A$3:$B$11,2,FALSE)</f>
        <v>PHONE</v>
      </c>
      <c r="E232" s="115" t="s">
        <v>259</v>
      </c>
      <c r="F232" s="116" t="s">
        <v>169</v>
      </c>
      <c r="G232" s="117" t="s">
        <v>1333</v>
      </c>
      <c r="H232" s="118" t="s">
        <v>283</v>
      </c>
      <c r="I232" s="118" t="s">
        <v>284</v>
      </c>
      <c r="J232" s="119" t="s">
        <v>261</v>
      </c>
      <c r="K232" s="120">
        <v>96</v>
      </c>
      <c r="L232" s="118" t="s">
        <v>285</v>
      </c>
      <c r="M232" s="118" t="s">
        <v>286</v>
      </c>
      <c r="N232" s="118" t="s">
        <v>238</v>
      </c>
      <c r="O232" s="118" t="s">
        <v>74</v>
      </c>
      <c r="P232" s="118" t="s">
        <v>287</v>
      </c>
      <c r="Q232" s="118" t="s">
        <v>49</v>
      </c>
      <c r="R232" s="118">
        <v>1</v>
      </c>
      <c r="S232" s="118">
        <v>1</v>
      </c>
      <c r="T232" s="118">
        <v>1</v>
      </c>
      <c r="U232" s="118">
        <v>1</v>
      </c>
      <c r="V232" s="118">
        <v>1</v>
      </c>
      <c r="W232" s="118">
        <v>1</v>
      </c>
      <c r="X232" s="118">
        <v>1</v>
      </c>
      <c r="Y232" s="118" t="s">
        <v>140</v>
      </c>
      <c r="Z232" s="118" t="s">
        <v>140</v>
      </c>
      <c r="AA232" s="118">
        <v>1</v>
      </c>
      <c r="AB232" s="118">
        <v>0</v>
      </c>
      <c r="AC232" s="118">
        <v>1</v>
      </c>
      <c r="AD232" s="118" t="s">
        <v>140</v>
      </c>
      <c r="AE232" s="118">
        <v>1</v>
      </c>
      <c r="AF232" s="118" t="s">
        <v>140</v>
      </c>
      <c r="AG232" s="118">
        <v>1</v>
      </c>
      <c r="AH232" s="118" t="s">
        <v>140</v>
      </c>
      <c r="AI232" s="118">
        <v>1</v>
      </c>
      <c r="AJ232" s="118">
        <v>1</v>
      </c>
      <c r="AK232" s="118" t="s">
        <v>140</v>
      </c>
      <c r="AL232" s="118" t="s">
        <v>140</v>
      </c>
      <c r="AM232" s="118">
        <v>1</v>
      </c>
      <c r="AN232" s="118">
        <v>1</v>
      </c>
      <c r="AO232" s="118"/>
    </row>
    <row r="233" spans="1:41" x14ac:dyDescent="0.2">
      <c r="A233" s="13">
        <f t="shared" si="6"/>
        <v>2</v>
      </c>
      <c r="B233" s="13">
        <f t="shared" si="7"/>
        <v>1</v>
      </c>
      <c r="C233" s="13" t="str">
        <f>VLOOKUP(B233,Correspondance!$D$3:$E$14,2,FALSE)</f>
        <v>Janvier</v>
      </c>
      <c r="D233" s="15" t="str">
        <f>VLOOKUP(G233,Correspondance!$A$3:$B$11,2,FALSE)</f>
        <v>PHONE</v>
      </c>
      <c r="E233" s="115" t="s">
        <v>134</v>
      </c>
      <c r="F233" s="116" t="s">
        <v>169</v>
      </c>
      <c r="G233" s="117" t="s">
        <v>352</v>
      </c>
      <c r="H233" s="118" t="s">
        <v>353</v>
      </c>
      <c r="I233" s="118" t="s">
        <v>363</v>
      </c>
      <c r="J233" s="119" t="s">
        <v>57</v>
      </c>
      <c r="K233" s="120">
        <v>75</v>
      </c>
      <c r="L233" s="118" t="s">
        <v>364</v>
      </c>
      <c r="M233" s="118" t="s">
        <v>365</v>
      </c>
      <c r="N233" s="118" t="s">
        <v>114</v>
      </c>
      <c r="O233" s="118" t="s">
        <v>47</v>
      </c>
      <c r="P233" s="118" t="s">
        <v>354</v>
      </c>
      <c r="Q233" s="118" t="s">
        <v>49</v>
      </c>
      <c r="R233" s="118">
        <v>1</v>
      </c>
      <c r="S233" s="118">
        <v>1</v>
      </c>
      <c r="T233" s="118">
        <v>1</v>
      </c>
      <c r="U233" s="118">
        <v>1</v>
      </c>
      <c r="V233" s="118">
        <v>1</v>
      </c>
      <c r="W233" s="118">
        <v>1</v>
      </c>
      <c r="X233" s="118">
        <v>1</v>
      </c>
      <c r="Y233" s="118" t="s">
        <v>140</v>
      </c>
      <c r="Z233" s="118">
        <v>1</v>
      </c>
      <c r="AA233" s="118">
        <v>1</v>
      </c>
      <c r="AB233" s="118">
        <v>0</v>
      </c>
      <c r="AC233" s="118">
        <v>0</v>
      </c>
      <c r="AD233" s="118">
        <v>0</v>
      </c>
      <c r="AE233" s="118">
        <v>1</v>
      </c>
      <c r="AF233" s="118" t="s">
        <v>140</v>
      </c>
      <c r="AG233" s="118">
        <v>1</v>
      </c>
      <c r="AH233" s="118" t="s">
        <v>140</v>
      </c>
      <c r="AI233" s="118">
        <v>1</v>
      </c>
      <c r="AJ233" s="118">
        <v>1</v>
      </c>
      <c r="AK233" s="118" t="s">
        <v>140</v>
      </c>
      <c r="AL233" s="118" t="s">
        <v>140</v>
      </c>
      <c r="AM233" s="118" t="s">
        <v>140</v>
      </c>
      <c r="AN233" s="118" t="s">
        <v>140</v>
      </c>
      <c r="AO233" s="118" t="s">
        <v>566</v>
      </c>
    </row>
    <row r="234" spans="1:41" hidden="1" x14ac:dyDescent="0.2">
      <c r="A234" s="13">
        <f t="shared" si="6"/>
        <v>2</v>
      </c>
      <c r="B234" s="13">
        <f t="shared" si="7"/>
        <v>1</v>
      </c>
      <c r="C234" s="13" t="str">
        <f>VLOOKUP(B234,Correspondance!$D$3:$E$14,2,FALSE)</f>
        <v>Janvier</v>
      </c>
      <c r="D234" s="15" t="str">
        <f>VLOOKUP(G234,Correspondance!$A$3:$B$11,2,FALSE)</f>
        <v>PHONE</v>
      </c>
      <c r="E234" s="115" t="s">
        <v>134</v>
      </c>
      <c r="F234" s="116" t="s">
        <v>169</v>
      </c>
      <c r="G234" s="117" t="s">
        <v>352</v>
      </c>
      <c r="H234" s="118" t="s">
        <v>353</v>
      </c>
      <c r="I234" s="118" t="s">
        <v>363</v>
      </c>
      <c r="J234" s="119" t="s">
        <v>57</v>
      </c>
      <c r="K234" s="120">
        <v>100</v>
      </c>
      <c r="L234" s="118" t="s">
        <v>366</v>
      </c>
      <c r="M234" s="118" t="s">
        <v>215</v>
      </c>
      <c r="N234" s="118" t="s">
        <v>114</v>
      </c>
      <c r="O234" s="118" t="s">
        <v>47</v>
      </c>
      <c r="P234" s="118" t="s">
        <v>77</v>
      </c>
      <c r="Q234" s="118" t="s">
        <v>49</v>
      </c>
      <c r="R234" s="118">
        <v>1</v>
      </c>
      <c r="S234" s="118">
        <v>1</v>
      </c>
      <c r="T234" s="118">
        <v>1</v>
      </c>
      <c r="U234" s="118">
        <v>1</v>
      </c>
      <c r="V234" s="118">
        <v>1</v>
      </c>
      <c r="W234" s="118">
        <v>1</v>
      </c>
      <c r="X234" s="118">
        <v>1</v>
      </c>
      <c r="Y234" s="118" t="s">
        <v>140</v>
      </c>
      <c r="Z234" s="118">
        <v>1</v>
      </c>
      <c r="AA234" s="118">
        <v>1</v>
      </c>
      <c r="AB234" s="118">
        <v>1</v>
      </c>
      <c r="AC234" s="118">
        <v>1</v>
      </c>
      <c r="AD234" s="118">
        <v>1</v>
      </c>
      <c r="AE234" s="118">
        <v>1</v>
      </c>
      <c r="AF234" s="118" t="s">
        <v>140</v>
      </c>
      <c r="AG234" s="118">
        <v>1</v>
      </c>
      <c r="AH234" s="118">
        <v>1</v>
      </c>
      <c r="AI234" s="118">
        <v>1</v>
      </c>
      <c r="AJ234" s="118">
        <v>1</v>
      </c>
      <c r="AK234" s="118">
        <v>1</v>
      </c>
      <c r="AL234" s="118" t="s">
        <v>140</v>
      </c>
      <c r="AM234" s="118" t="s">
        <v>140</v>
      </c>
      <c r="AN234" s="118" t="s">
        <v>140</v>
      </c>
      <c r="AO234" s="118" t="s">
        <v>566</v>
      </c>
    </row>
    <row r="235" spans="1:41" hidden="1" x14ac:dyDescent="0.2">
      <c r="A235" s="13">
        <f t="shared" si="6"/>
        <v>2</v>
      </c>
      <c r="B235" s="13">
        <f t="shared" si="7"/>
        <v>1</v>
      </c>
      <c r="C235" s="13" t="str">
        <f>VLOOKUP(B235,Correspondance!$D$3:$E$14,2,FALSE)</f>
        <v>Janvier</v>
      </c>
      <c r="D235" s="15" t="str">
        <f>VLOOKUP(G235,Correspondance!$A$3:$B$11,2,FALSE)</f>
        <v>PHONE</v>
      </c>
      <c r="E235" s="115" t="s">
        <v>134</v>
      </c>
      <c r="F235" s="116" t="s">
        <v>169</v>
      </c>
      <c r="G235" s="117" t="s">
        <v>352</v>
      </c>
      <c r="H235" s="118" t="s">
        <v>353</v>
      </c>
      <c r="I235" s="118" t="s">
        <v>363</v>
      </c>
      <c r="J235" s="119" t="s">
        <v>57</v>
      </c>
      <c r="K235" s="120">
        <v>100</v>
      </c>
      <c r="L235" s="118" t="s">
        <v>367</v>
      </c>
      <c r="M235" s="118" t="s">
        <v>368</v>
      </c>
      <c r="N235" s="118" t="s">
        <v>114</v>
      </c>
      <c r="O235" s="118" t="s">
        <v>47</v>
      </c>
      <c r="P235" s="118" t="s">
        <v>355</v>
      </c>
      <c r="Q235" s="118" t="s">
        <v>49</v>
      </c>
      <c r="R235" s="118">
        <v>1</v>
      </c>
      <c r="S235" s="118">
        <v>1</v>
      </c>
      <c r="T235" s="118">
        <v>1</v>
      </c>
      <c r="U235" s="118">
        <v>1</v>
      </c>
      <c r="V235" s="118">
        <v>1</v>
      </c>
      <c r="W235" s="118">
        <v>1</v>
      </c>
      <c r="X235" s="118">
        <v>1</v>
      </c>
      <c r="Y235" s="118" t="s">
        <v>140</v>
      </c>
      <c r="Z235" s="118">
        <v>1</v>
      </c>
      <c r="AA235" s="118">
        <v>1</v>
      </c>
      <c r="AB235" s="118">
        <v>1</v>
      </c>
      <c r="AC235" s="118">
        <v>1</v>
      </c>
      <c r="AD235" s="118">
        <v>1</v>
      </c>
      <c r="AE235" s="118">
        <v>1</v>
      </c>
      <c r="AF235" s="118" t="s">
        <v>140</v>
      </c>
      <c r="AG235" s="118">
        <v>1</v>
      </c>
      <c r="AH235" s="118" t="s">
        <v>140</v>
      </c>
      <c r="AI235" s="118">
        <v>1</v>
      </c>
      <c r="AJ235" s="118">
        <v>1</v>
      </c>
      <c r="AK235" s="118">
        <v>1</v>
      </c>
      <c r="AL235" s="118" t="s">
        <v>140</v>
      </c>
      <c r="AM235" s="118" t="s">
        <v>140</v>
      </c>
      <c r="AN235" s="118" t="s">
        <v>140</v>
      </c>
      <c r="AO235" s="118" t="s">
        <v>566</v>
      </c>
    </row>
    <row r="236" spans="1:41" hidden="1" x14ac:dyDescent="0.2">
      <c r="A236" s="13">
        <f t="shared" si="6"/>
        <v>2</v>
      </c>
      <c r="B236" s="13">
        <f t="shared" si="7"/>
        <v>1</v>
      </c>
      <c r="C236" s="13" t="str">
        <f>VLOOKUP(B236,Correspondance!$D$3:$E$14,2,FALSE)</f>
        <v>Janvier</v>
      </c>
      <c r="D236" s="15" t="str">
        <f>VLOOKUP(G236,Correspondance!$A$3:$B$11,2,FALSE)</f>
        <v>PHONE</v>
      </c>
      <c r="E236" s="115" t="s">
        <v>134</v>
      </c>
      <c r="F236" s="116" t="s">
        <v>169</v>
      </c>
      <c r="G236" s="117" t="s">
        <v>255</v>
      </c>
      <c r="H236" s="118" t="s">
        <v>356</v>
      </c>
      <c r="I236" s="118" t="s">
        <v>369</v>
      </c>
      <c r="J236" s="119" t="s">
        <v>730</v>
      </c>
      <c r="K236" s="120">
        <v>88.5</v>
      </c>
      <c r="L236" s="118" t="s">
        <v>370</v>
      </c>
      <c r="M236" s="118" t="s">
        <v>223</v>
      </c>
      <c r="N236" s="118" t="s">
        <v>114</v>
      </c>
      <c r="O236" s="118" t="s">
        <v>47</v>
      </c>
      <c r="P236" s="118" t="s">
        <v>357</v>
      </c>
      <c r="Q236" s="118" t="s">
        <v>49</v>
      </c>
      <c r="R236" s="118">
        <v>1</v>
      </c>
      <c r="S236" s="118">
        <v>1</v>
      </c>
      <c r="T236" s="118">
        <v>1</v>
      </c>
      <c r="U236" s="118">
        <v>1</v>
      </c>
      <c r="V236" s="118">
        <v>0</v>
      </c>
      <c r="W236" s="118">
        <v>1</v>
      </c>
      <c r="X236" s="118">
        <v>1</v>
      </c>
      <c r="Y236" s="118" t="s">
        <v>140</v>
      </c>
      <c r="Z236" s="118" t="s">
        <v>140</v>
      </c>
      <c r="AA236" s="118">
        <v>1</v>
      </c>
      <c r="AB236" s="118">
        <v>1</v>
      </c>
      <c r="AC236" s="118">
        <v>1</v>
      </c>
      <c r="AD236" s="118">
        <v>1</v>
      </c>
      <c r="AE236" s="118">
        <v>0</v>
      </c>
      <c r="AF236" s="118" t="s">
        <v>140</v>
      </c>
      <c r="AG236" s="118">
        <v>1</v>
      </c>
      <c r="AH236" s="118" t="s">
        <v>140</v>
      </c>
      <c r="AI236" s="118">
        <v>1</v>
      </c>
      <c r="AJ236" s="118">
        <v>1</v>
      </c>
      <c r="AK236" s="118" t="s">
        <v>140</v>
      </c>
      <c r="AL236" s="118" t="s">
        <v>140</v>
      </c>
      <c r="AM236" s="118" t="s">
        <v>140</v>
      </c>
      <c r="AN236" s="118" t="s">
        <v>140</v>
      </c>
      <c r="AO236" s="118" t="s">
        <v>566</v>
      </c>
    </row>
    <row r="237" spans="1:41" x14ac:dyDescent="0.2">
      <c r="A237" s="13">
        <f t="shared" si="6"/>
        <v>2</v>
      </c>
      <c r="B237" s="13">
        <f t="shared" si="7"/>
        <v>1</v>
      </c>
      <c r="C237" s="13" t="str">
        <f>VLOOKUP(B237,Correspondance!$D$3:$E$14,2,FALSE)</f>
        <v>Janvier</v>
      </c>
      <c r="D237" s="15" t="str">
        <f>VLOOKUP(G237,Correspondance!$A$3:$B$11,2,FALSE)</f>
        <v>PHONE</v>
      </c>
      <c r="E237" s="115" t="s">
        <v>134</v>
      </c>
      <c r="F237" s="116" t="s">
        <v>169</v>
      </c>
      <c r="G237" s="117" t="s">
        <v>277</v>
      </c>
      <c r="H237" s="118" t="s">
        <v>278</v>
      </c>
      <c r="I237" s="118" t="s">
        <v>279</v>
      </c>
      <c r="J237" s="119" t="s">
        <v>57</v>
      </c>
      <c r="K237" s="120">
        <v>65.040000000000006</v>
      </c>
      <c r="L237" s="118" t="s">
        <v>371</v>
      </c>
      <c r="M237" s="118" t="s">
        <v>223</v>
      </c>
      <c r="N237" s="118" t="s">
        <v>114</v>
      </c>
      <c r="O237" s="118" t="s">
        <v>47</v>
      </c>
      <c r="P237" s="118" t="s">
        <v>358</v>
      </c>
      <c r="Q237" s="118" t="s">
        <v>49</v>
      </c>
      <c r="R237" s="118">
        <v>0</v>
      </c>
      <c r="S237" s="118">
        <v>1</v>
      </c>
      <c r="T237" s="118">
        <v>0</v>
      </c>
      <c r="U237" s="118">
        <v>1</v>
      </c>
      <c r="V237" s="118">
        <v>1</v>
      </c>
      <c r="W237" s="118">
        <v>1</v>
      </c>
      <c r="X237" s="118">
        <v>1</v>
      </c>
      <c r="Y237" s="118" t="s">
        <v>140</v>
      </c>
      <c r="Z237" s="118">
        <v>1</v>
      </c>
      <c r="AA237" s="118">
        <v>1</v>
      </c>
      <c r="AB237" s="118">
        <v>1</v>
      </c>
      <c r="AC237" s="118">
        <v>0</v>
      </c>
      <c r="AD237" s="118">
        <v>1</v>
      </c>
      <c r="AE237" s="118">
        <v>1</v>
      </c>
      <c r="AF237" s="118" t="s">
        <v>140</v>
      </c>
      <c r="AG237" s="118">
        <v>1</v>
      </c>
      <c r="AH237" s="118" t="s">
        <v>140</v>
      </c>
      <c r="AI237" s="118">
        <v>1</v>
      </c>
      <c r="AJ237" s="118">
        <v>1</v>
      </c>
      <c r="AK237" s="118">
        <v>0</v>
      </c>
      <c r="AL237" s="118" t="s">
        <v>140</v>
      </c>
      <c r="AM237" s="118" t="s">
        <v>140</v>
      </c>
      <c r="AN237" s="118" t="s">
        <v>140</v>
      </c>
      <c r="AO237" s="118" t="s">
        <v>563</v>
      </c>
    </row>
    <row r="238" spans="1:41" hidden="1" x14ac:dyDescent="0.2">
      <c r="A238" s="13">
        <f t="shared" si="6"/>
        <v>2</v>
      </c>
      <c r="B238" s="13">
        <f t="shared" si="7"/>
        <v>1</v>
      </c>
      <c r="C238" s="13" t="str">
        <f>VLOOKUP(B238,Correspondance!$D$3:$E$14,2,FALSE)</f>
        <v>Janvier</v>
      </c>
      <c r="D238" s="15" t="str">
        <f>VLOOKUP(G238,Correspondance!$A$3:$B$11,2,FALSE)</f>
        <v>PHONE</v>
      </c>
      <c r="E238" s="115" t="s">
        <v>134</v>
      </c>
      <c r="F238" s="116" t="s">
        <v>169</v>
      </c>
      <c r="G238" s="117" t="s">
        <v>277</v>
      </c>
      <c r="H238" s="118" t="s">
        <v>278</v>
      </c>
      <c r="I238" s="118" t="s">
        <v>279</v>
      </c>
      <c r="J238" s="119" t="s">
        <v>57</v>
      </c>
      <c r="K238" s="120">
        <v>100</v>
      </c>
      <c r="L238" s="118" t="s">
        <v>364</v>
      </c>
      <c r="M238" s="118" t="s">
        <v>368</v>
      </c>
      <c r="N238" s="118" t="s">
        <v>114</v>
      </c>
      <c r="O238" s="118" t="s">
        <v>47</v>
      </c>
      <c r="P238" s="118" t="s">
        <v>77</v>
      </c>
      <c r="Q238" s="118" t="s">
        <v>49</v>
      </c>
      <c r="R238" s="118">
        <v>1</v>
      </c>
      <c r="S238" s="118">
        <v>1</v>
      </c>
      <c r="T238" s="118">
        <v>1</v>
      </c>
      <c r="U238" s="118">
        <v>1</v>
      </c>
      <c r="V238" s="118">
        <v>1</v>
      </c>
      <c r="W238" s="118">
        <v>1</v>
      </c>
      <c r="X238" s="118">
        <v>1</v>
      </c>
      <c r="Y238" s="118" t="s">
        <v>140</v>
      </c>
      <c r="Z238" s="118">
        <v>1</v>
      </c>
      <c r="AA238" s="118">
        <v>1</v>
      </c>
      <c r="AB238" s="118">
        <v>1</v>
      </c>
      <c r="AC238" s="118">
        <v>1</v>
      </c>
      <c r="AD238" s="118">
        <v>1</v>
      </c>
      <c r="AE238" s="118">
        <v>1</v>
      </c>
      <c r="AF238" s="118" t="s">
        <v>140</v>
      </c>
      <c r="AG238" s="118">
        <v>1</v>
      </c>
      <c r="AH238" s="118" t="s">
        <v>140</v>
      </c>
      <c r="AI238" s="118">
        <v>1</v>
      </c>
      <c r="AJ238" s="118">
        <v>1</v>
      </c>
      <c r="AK238" s="118">
        <v>1</v>
      </c>
      <c r="AL238" s="118" t="s">
        <v>140</v>
      </c>
      <c r="AM238" s="118" t="s">
        <v>140</v>
      </c>
      <c r="AN238" s="118" t="s">
        <v>140</v>
      </c>
      <c r="AO238" s="118" t="s">
        <v>563</v>
      </c>
    </row>
    <row r="239" spans="1:41" x14ac:dyDescent="0.2">
      <c r="A239" s="13">
        <f t="shared" si="6"/>
        <v>2</v>
      </c>
      <c r="B239" s="13">
        <f t="shared" si="7"/>
        <v>1</v>
      </c>
      <c r="C239" s="13" t="str">
        <f>VLOOKUP(B239,Correspondance!$D$3:$E$14,2,FALSE)</f>
        <v>Janvier</v>
      </c>
      <c r="D239" s="15" t="str">
        <f>VLOOKUP(G239,Correspondance!$A$3:$B$11,2,FALSE)</f>
        <v>PHONE</v>
      </c>
      <c r="E239" s="115" t="s">
        <v>304</v>
      </c>
      <c r="F239" s="116" t="s">
        <v>169</v>
      </c>
      <c r="G239" s="117" t="s">
        <v>359</v>
      </c>
      <c r="H239" s="118" t="s">
        <v>360</v>
      </c>
      <c r="I239" s="118" t="s">
        <v>372</v>
      </c>
      <c r="J239" s="119" t="s">
        <v>57</v>
      </c>
      <c r="K239" s="120">
        <v>68.656716417910445</v>
      </c>
      <c r="L239" s="118" t="s">
        <v>373</v>
      </c>
      <c r="M239" s="118" t="s">
        <v>174</v>
      </c>
      <c r="N239" s="118" t="s">
        <v>46</v>
      </c>
      <c r="O239" s="118" t="s">
        <v>74</v>
      </c>
      <c r="P239" s="118" t="s">
        <v>361</v>
      </c>
      <c r="Q239" s="118" t="s">
        <v>49</v>
      </c>
      <c r="R239" s="118">
        <v>1</v>
      </c>
      <c r="S239" s="118" t="s">
        <v>140</v>
      </c>
      <c r="T239" s="118" t="s">
        <v>140</v>
      </c>
      <c r="U239" s="118">
        <v>1</v>
      </c>
      <c r="V239" s="118">
        <v>1</v>
      </c>
      <c r="W239" s="118">
        <v>1</v>
      </c>
      <c r="X239" s="118">
        <v>1</v>
      </c>
      <c r="Y239" s="118" t="s">
        <v>140</v>
      </c>
      <c r="Z239" s="118">
        <v>1</v>
      </c>
      <c r="AA239" s="118">
        <v>1</v>
      </c>
      <c r="AB239" s="118">
        <v>1</v>
      </c>
      <c r="AC239" s="118">
        <v>0</v>
      </c>
      <c r="AD239" s="118">
        <v>1</v>
      </c>
      <c r="AE239" s="118" t="s">
        <v>140</v>
      </c>
      <c r="AF239" s="118" t="s">
        <v>140</v>
      </c>
      <c r="AG239" s="118" t="s">
        <v>140</v>
      </c>
      <c r="AH239" s="118">
        <v>0</v>
      </c>
      <c r="AI239" s="118" t="s">
        <v>140</v>
      </c>
      <c r="AJ239" s="118" t="s">
        <v>140</v>
      </c>
      <c r="AK239" s="118" t="s">
        <v>140</v>
      </c>
      <c r="AL239" s="118" t="s">
        <v>140</v>
      </c>
      <c r="AM239" s="118" t="s">
        <v>140</v>
      </c>
      <c r="AN239" s="118" t="s">
        <v>140</v>
      </c>
      <c r="AO239" s="118" t="s">
        <v>563</v>
      </c>
    </row>
    <row r="240" spans="1:41" hidden="1" x14ac:dyDescent="0.2">
      <c r="A240" s="13">
        <f t="shared" si="6"/>
        <v>2</v>
      </c>
      <c r="B240" s="13">
        <f t="shared" si="7"/>
        <v>1</v>
      </c>
      <c r="C240" s="13" t="str">
        <f>VLOOKUP(B240,Correspondance!$D$3:$E$14,2,FALSE)</f>
        <v>Janvier</v>
      </c>
      <c r="D240" s="15" t="str">
        <f>VLOOKUP(G240,Correspondance!$A$3:$B$11,2,FALSE)</f>
        <v>PHONE</v>
      </c>
      <c r="E240" s="115" t="s">
        <v>304</v>
      </c>
      <c r="F240" s="116" t="s">
        <v>169</v>
      </c>
      <c r="G240" s="117" t="s">
        <v>255</v>
      </c>
      <c r="H240" s="118" t="s">
        <v>356</v>
      </c>
      <c r="I240" s="118" t="s">
        <v>369</v>
      </c>
      <c r="J240" s="119" t="s">
        <v>730</v>
      </c>
      <c r="K240" s="120">
        <v>100</v>
      </c>
      <c r="L240" s="118" t="s">
        <v>374</v>
      </c>
      <c r="M240" s="118" t="s">
        <v>245</v>
      </c>
      <c r="N240" s="118" t="s">
        <v>46</v>
      </c>
      <c r="O240" s="118" t="s">
        <v>74</v>
      </c>
      <c r="P240" s="118" t="s">
        <v>187</v>
      </c>
      <c r="Q240" s="118" t="s">
        <v>49</v>
      </c>
      <c r="R240" s="118">
        <v>1</v>
      </c>
      <c r="S240" s="118">
        <v>1</v>
      </c>
      <c r="T240" s="118">
        <v>1</v>
      </c>
      <c r="U240" s="118">
        <v>1</v>
      </c>
      <c r="V240" s="118">
        <v>1</v>
      </c>
      <c r="W240" s="118">
        <v>1</v>
      </c>
      <c r="X240" s="118">
        <v>1</v>
      </c>
      <c r="Y240" s="118" t="s">
        <v>140</v>
      </c>
      <c r="Z240" s="118">
        <v>1</v>
      </c>
      <c r="AA240" s="118">
        <v>1</v>
      </c>
      <c r="AB240" s="118">
        <v>1</v>
      </c>
      <c r="AC240" s="118">
        <v>1</v>
      </c>
      <c r="AD240" s="118">
        <v>1</v>
      </c>
      <c r="AE240" s="118">
        <v>1</v>
      </c>
      <c r="AF240" s="118" t="s">
        <v>140</v>
      </c>
      <c r="AG240" s="118">
        <v>1</v>
      </c>
      <c r="AH240" s="118">
        <v>1</v>
      </c>
      <c r="AI240" s="118">
        <v>1</v>
      </c>
      <c r="AJ240" s="118">
        <v>1</v>
      </c>
      <c r="AK240" s="118">
        <v>1</v>
      </c>
      <c r="AL240" s="118">
        <v>1</v>
      </c>
      <c r="AM240" s="118">
        <v>1</v>
      </c>
      <c r="AN240" s="118">
        <v>1</v>
      </c>
      <c r="AO240" s="118" t="s">
        <v>566</v>
      </c>
    </row>
    <row r="241" spans="1:41" hidden="1" x14ac:dyDescent="0.2">
      <c r="A241" s="13">
        <f t="shared" si="6"/>
        <v>2</v>
      </c>
      <c r="B241" s="13">
        <f t="shared" si="7"/>
        <v>1</v>
      </c>
      <c r="C241" s="13" t="str">
        <f>VLOOKUP(B241,Correspondance!$D$3:$E$14,2,FALSE)</f>
        <v>Janvier</v>
      </c>
      <c r="D241" s="15" t="str">
        <f>VLOOKUP(G241,Correspondance!$A$3:$B$11,2,FALSE)</f>
        <v>PHONE</v>
      </c>
      <c r="E241" s="115" t="s">
        <v>304</v>
      </c>
      <c r="F241" s="116" t="s">
        <v>169</v>
      </c>
      <c r="G241" s="117" t="s">
        <v>255</v>
      </c>
      <c r="H241" s="118" t="s">
        <v>266</v>
      </c>
      <c r="I241" s="118" t="s">
        <v>267</v>
      </c>
      <c r="J241" s="119" t="s">
        <v>57</v>
      </c>
      <c r="K241" s="120">
        <v>100</v>
      </c>
      <c r="L241" s="118" t="s">
        <v>731</v>
      </c>
      <c r="M241" s="118" t="s">
        <v>215</v>
      </c>
      <c r="N241" s="118" t="s">
        <v>46</v>
      </c>
      <c r="O241" s="118" t="s">
        <v>47</v>
      </c>
      <c r="P241" s="118" t="s">
        <v>732</v>
      </c>
      <c r="Q241" s="118" t="s">
        <v>49</v>
      </c>
      <c r="R241" s="118">
        <v>1</v>
      </c>
      <c r="S241" s="118">
        <v>1</v>
      </c>
      <c r="T241" s="118">
        <v>1</v>
      </c>
      <c r="U241" s="118">
        <v>1</v>
      </c>
      <c r="V241" s="118">
        <v>1</v>
      </c>
      <c r="W241" s="118">
        <v>1</v>
      </c>
      <c r="X241" s="118">
        <v>1</v>
      </c>
      <c r="Y241" s="118" t="s">
        <v>140</v>
      </c>
      <c r="Z241" s="118">
        <v>1</v>
      </c>
      <c r="AA241" s="118">
        <v>1</v>
      </c>
      <c r="AB241" s="118">
        <v>1</v>
      </c>
      <c r="AC241" s="118">
        <v>1</v>
      </c>
      <c r="AD241" s="118">
        <v>1</v>
      </c>
      <c r="AE241" s="118">
        <v>1</v>
      </c>
      <c r="AF241" s="118" t="s">
        <v>140</v>
      </c>
      <c r="AG241" s="118">
        <v>1</v>
      </c>
      <c r="AH241" s="118">
        <v>1</v>
      </c>
      <c r="AI241" s="118">
        <v>1</v>
      </c>
      <c r="AJ241" s="118">
        <v>1</v>
      </c>
      <c r="AK241" s="118" t="s">
        <v>140</v>
      </c>
      <c r="AL241" s="118" t="s">
        <v>140</v>
      </c>
      <c r="AM241" s="118" t="s">
        <v>140</v>
      </c>
      <c r="AN241" s="118" t="s">
        <v>140</v>
      </c>
      <c r="AO241" s="118" t="s">
        <v>586</v>
      </c>
    </row>
    <row r="242" spans="1:41" hidden="1" x14ac:dyDescent="0.2">
      <c r="A242" s="13">
        <f t="shared" si="6"/>
        <v>2</v>
      </c>
      <c r="B242" s="13">
        <f t="shared" si="7"/>
        <v>1</v>
      </c>
      <c r="C242" s="13" t="str">
        <f>VLOOKUP(B242,Correspondance!$D$3:$E$14,2,FALSE)</f>
        <v>Janvier</v>
      </c>
      <c r="D242" s="15" t="str">
        <f>VLOOKUP(G242,Correspondance!$A$3:$B$11,2,FALSE)</f>
        <v>PHONE</v>
      </c>
      <c r="E242" s="115" t="s">
        <v>304</v>
      </c>
      <c r="F242" s="116" t="s">
        <v>169</v>
      </c>
      <c r="G242" s="117" t="s">
        <v>277</v>
      </c>
      <c r="H242" s="118" t="s">
        <v>278</v>
      </c>
      <c r="I242" s="118" t="s">
        <v>279</v>
      </c>
      <c r="J242" s="119" t="s">
        <v>57</v>
      </c>
      <c r="K242" s="120">
        <v>100</v>
      </c>
      <c r="L242" s="118" t="s">
        <v>375</v>
      </c>
      <c r="M242" s="118" t="s">
        <v>245</v>
      </c>
      <c r="N242" s="118" t="s">
        <v>46</v>
      </c>
      <c r="O242" s="118" t="s">
        <v>74</v>
      </c>
      <c r="P242" s="118" t="s">
        <v>362</v>
      </c>
      <c r="Q242" s="118" t="s">
        <v>49</v>
      </c>
      <c r="R242" s="118">
        <v>1</v>
      </c>
      <c r="S242" s="118">
        <v>1</v>
      </c>
      <c r="T242" s="118">
        <v>1</v>
      </c>
      <c r="U242" s="118">
        <v>1</v>
      </c>
      <c r="V242" s="118">
        <v>1</v>
      </c>
      <c r="W242" s="118">
        <v>1</v>
      </c>
      <c r="X242" s="118">
        <v>1</v>
      </c>
      <c r="Y242" s="118" t="s">
        <v>140</v>
      </c>
      <c r="Z242" s="118">
        <v>1</v>
      </c>
      <c r="AA242" s="118">
        <v>1</v>
      </c>
      <c r="AB242" s="118">
        <v>1</v>
      </c>
      <c r="AC242" s="118">
        <v>1</v>
      </c>
      <c r="AD242" s="118">
        <v>1</v>
      </c>
      <c r="AE242" s="118">
        <v>1</v>
      </c>
      <c r="AF242" s="118" t="s">
        <v>140</v>
      </c>
      <c r="AG242" s="118">
        <v>1</v>
      </c>
      <c r="AH242" s="118">
        <v>1</v>
      </c>
      <c r="AI242" s="118">
        <v>1</v>
      </c>
      <c r="AJ242" s="118">
        <v>1</v>
      </c>
      <c r="AK242" s="118">
        <v>1</v>
      </c>
      <c r="AL242" s="118">
        <v>1</v>
      </c>
      <c r="AM242" s="118">
        <v>1</v>
      </c>
      <c r="AN242" s="118">
        <v>1</v>
      </c>
      <c r="AO242" s="118" t="s">
        <v>563</v>
      </c>
    </row>
    <row r="243" spans="1:41" x14ac:dyDescent="0.2">
      <c r="A243" s="13">
        <f t="shared" si="6"/>
        <v>2</v>
      </c>
      <c r="B243" s="13">
        <f t="shared" si="7"/>
        <v>1</v>
      </c>
      <c r="C243" s="13" t="str">
        <f>VLOOKUP(B243,Correspondance!$D$3:$E$14,2,FALSE)</f>
        <v>Janvier</v>
      </c>
      <c r="D243" s="15" t="str">
        <f>VLOOKUP(G243,Correspondance!$A$3:$B$11,2,FALSE)</f>
        <v>PHONE</v>
      </c>
      <c r="E243" s="115" t="s">
        <v>376</v>
      </c>
      <c r="F243" s="116" t="s">
        <v>169</v>
      </c>
      <c r="G243" s="117" t="s">
        <v>359</v>
      </c>
      <c r="H243" s="118" t="s">
        <v>360</v>
      </c>
      <c r="I243" s="118" t="s">
        <v>372</v>
      </c>
      <c r="J243" s="119" t="s">
        <v>57</v>
      </c>
      <c r="K243" s="120">
        <v>68.656716417910445</v>
      </c>
      <c r="L243" s="118" t="s">
        <v>733</v>
      </c>
      <c r="M243" s="118" t="s">
        <v>174</v>
      </c>
      <c r="N243" s="118" t="s">
        <v>46</v>
      </c>
      <c r="O243" s="118" t="s">
        <v>74</v>
      </c>
      <c r="P243" s="118" t="s">
        <v>361</v>
      </c>
      <c r="Q243" s="118" t="s">
        <v>49</v>
      </c>
      <c r="R243" s="118">
        <v>1</v>
      </c>
      <c r="S243" s="118" t="s">
        <v>140</v>
      </c>
      <c r="T243" s="118" t="s">
        <v>140</v>
      </c>
      <c r="U243" s="118">
        <v>1</v>
      </c>
      <c r="V243" s="118">
        <v>1</v>
      </c>
      <c r="W243" s="118">
        <v>1</v>
      </c>
      <c r="X243" s="118">
        <v>0</v>
      </c>
      <c r="Y243" s="118" t="s">
        <v>140</v>
      </c>
      <c r="Z243" s="118">
        <v>1</v>
      </c>
      <c r="AA243" s="118">
        <v>1</v>
      </c>
      <c r="AB243" s="118">
        <v>1</v>
      </c>
      <c r="AC243" s="118">
        <v>0</v>
      </c>
      <c r="AD243" s="118">
        <v>1</v>
      </c>
      <c r="AE243" s="118" t="s">
        <v>140</v>
      </c>
      <c r="AF243" s="118" t="s">
        <v>140</v>
      </c>
      <c r="AG243" s="118" t="s">
        <v>140</v>
      </c>
      <c r="AH243" s="118">
        <v>0</v>
      </c>
      <c r="AI243" s="118" t="s">
        <v>140</v>
      </c>
      <c r="AJ243" s="118" t="s">
        <v>140</v>
      </c>
      <c r="AK243" s="118" t="s">
        <v>140</v>
      </c>
      <c r="AL243" s="118" t="s">
        <v>140</v>
      </c>
      <c r="AM243" s="118" t="s">
        <v>140</v>
      </c>
      <c r="AN243" s="118" t="s">
        <v>140</v>
      </c>
      <c r="AO243" s="118" t="s">
        <v>563</v>
      </c>
    </row>
    <row r="244" spans="1:41" hidden="1" x14ac:dyDescent="0.2">
      <c r="A244" s="13">
        <f t="shared" ref="A244:A250" si="8">WEEKNUM(E244)</f>
        <v>2</v>
      </c>
      <c r="B244" s="13">
        <f t="shared" ref="B244:B250" si="9">MONTH(E244)</f>
        <v>1</v>
      </c>
      <c r="C244" s="13" t="str">
        <f>VLOOKUP(B244,Correspondance!$D$3:$E$14,2,FALSE)</f>
        <v>Janvier</v>
      </c>
      <c r="D244" s="15" t="str">
        <f>VLOOKUP(G244,Correspondance!$A$3:$B$11,2,FALSE)</f>
        <v>PHONE</v>
      </c>
      <c r="E244" s="115" t="s">
        <v>376</v>
      </c>
      <c r="F244" s="116" t="s">
        <v>169</v>
      </c>
      <c r="G244" s="117" t="s">
        <v>359</v>
      </c>
      <c r="H244" s="118" t="s">
        <v>360</v>
      </c>
      <c r="I244" s="118" t="s">
        <v>372</v>
      </c>
      <c r="J244" s="119" t="s">
        <v>57</v>
      </c>
      <c r="K244" s="120">
        <v>100</v>
      </c>
      <c r="L244" s="118" t="s">
        <v>377</v>
      </c>
      <c r="M244" s="118" t="s">
        <v>174</v>
      </c>
      <c r="N244" s="118" t="s">
        <v>46</v>
      </c>
      <c r="O244" s="118" t="s">
        <v>175</v>
      </c>
      <c r="P244" s="118" t="s">
        <v>361</v>
      </c>
      <c r="Q244" s="118" t="s">
        <v>49</v>
      </c>
      <c r="R244" s="118">
        <v>1</v>
      </c>
      <c r="S244" s="118" t="s">
        <v>140</v>
      </c>
      <c r="T244" s="118" t="s">
        <v>140</v>
      </c>
      <c r="U244" s="118">
        <v>1</v>
      </c>
      <c r="V244" s="118">
        <v>1</v>
      </c>
      <c r="W244" s="118">
        <v>1</v>
      </c>
      <c r="X244" s="118">
        <v>1</v>
      </c>
      <c r="Y244" s="118" t="s">
        <v>140</v>
      </c>
      <c r="Z244" s="118">
        <v>1</v>
      </c>
      <c r="AA244" s="118">
        <v>1</v>
      </c>
      <c r="AB244" s="118">
        <v>1</v>
      </c>
      <c r="AC244" s="118">
        <v>1</v>
      </c>
      <c r="AD244" s="118">
        <v>1</v>
      </c>
      <c r="AE244" s="118" t="s">
        <v>140</v>
      </c>
      <c r="AF244" s="118" t="s">
        <v>140</v>
      </c>
      <c r="AG244" s="118" t="s">
        <v>140</v>
      </c>
      <c r="AH244" s="118" t="s">
        <v>140</v>
      </c>
      <c r="AI244" s="118" t="s">
        <v>140</v>
      </c>
      <c r="AJ244" s="118" t="s">
        <v>140</v>
      </c>
      <c r="AK244" s="118" t="s">
        <v>140</v>
      </c>
      <c r="AL244" s="118" t="s">
        <v>140</v>
      </c>
      <c r="AM244" s="118" t="s">
        <v>140</v>
      </c>
      <c r="AN244" s="118" t="s">
        <v>140</v>
      </c>
      <c r="AO244" s="118" t="s">
        <v>563</v>
      </c>
    </row>
    <row r="245" spans="1:41" ht="25.5" x14ac:dyDescent="0.2">
      <c r="A245" s="13">
        <f t="shared" si="8"/>
        <v>2</v>
      </c>
      <c r="B245" s="13">
        <f t="shared" si="9"/>
        <v>1</v>
      </c>
      <c r="C245" s="13" t="str">
        <f>VLOOKUP(B245,Correspondance!$D$3:$E$14,2,FALSE)</f>
        <v>Janvier</v>
      </c>
      <c r="D245" s="15" t="str">
        <f>VLOOKUP(G245,Correspondance!$A$3:$B$11,2,FALSE)</f>
        <v>PHONE</v>
      </c>
      <c r="E245" s="115" t="s">
        <v>376</v>
      </c>
      <c r="F245" s="116" t="s">
        <v>169</v>
      </c>
      <c r="G245" s="117" t="s">
        <v>255</v>
      </c>
      <c r="H245" s="118" t="s">
        <v>522</v>
      </c>
      <c r="I245" s="118" t="s">
        <v>523</v>
      </c>
      <c r="J245" s="119" t="s">
        <v>57</v>
      </c>
      <c r="K245" s="120">
        <v>68.656716417910445</v>
      </c>
      <c r="L245" s="118" t="s">
        <v>734</v>
      </c>
      <c r="M245" s="118" t="s">
        <v>174</v>
      </c>
      <c r="N245" s="118" t="s">
        <v>46</v>
      </c>
      <c r="O245" s="118" t="s">
        <v>47</v>
      </c>
      <c r="P245" s="118" t="s">
        <v>361</v>
      </c>
      <c r="Q245" s="118" t="s">
        <v>49</v>
      </c>
      <c r="R245" s="118">
        <v>1</v>
      </c>
      <c r="S245" s="118" t="s">
        <v>140</v>
      </c>
      <c r="T245" s="118" t="s">
        <v>140</v>
      </c>
      <c r="U245" s="118">
        <v>1</v>
      </c>
      <c r="V245" s="118">
        <v>1</v>
      </c>
      <c r="W245" s="118">
        <v>1</v>
      </c>
      <c r="X245" s="118">
        <v>1</v>
      </c>
      <c r="Y245" s="118" t="s">
        <v>140</v>
      </c>
      <c r="Z245" s="118">
        <v>1</v>
      </c>
      <c r="AA245" s="118">
        <v>1</v>
      </c>
      <c r="AB245" s="118">
        <v>1</v>
      </c>
      <c r="AC245" s="118">
        <v>0</v>
      </c>
      <c r="AD245" s="118">
        <v>1</v>
      </c>
      <c r="AE245" s="118" t="s">
        <v>140</v>
      </c>
      <c r="AF245" s="118" t="s">
        <v>140</v>
      </c>
      <c r="AG245" s="118" t="s">
        <v>140</v>
      </c>
      <c r="AH245" s="118">
        <v>0</v>
      </c>
      <c r="AI245" s="118" t="s">
        <v>140</v>
      </c>
      <c r="AJ245" s="118" t="s">
        <v>140</v>
      </c>
      <c r="AK245" s="118" t="s">
        <v>140</v>
      </c>
      <c r="AL245" s="118" t="s">
        <v>140</v>
      </c>
      <c r="AM245" s="118" t="s">
        <v>140</v>
      </c>
      <c r="AN245" s="118" t="s">
        <v>140</v>
      </c>
      <c r="AO245" s="118" t="s">
        <v>586</v>
      </c>
    </row>
    <row r="246" spans="1:41" x14ac:dyDescent="0.2">
      <c r="A246" s="13">
        <f t="shared" si="8"/>
        <v>2</v>
      </c>
      <c r="B246" s="13">
        <f t="shared" si="9"/>
        <v>1</v>
      </c>
      <c r="C246" s="13" t="str">
        <f>VLOOKUP(B246,Correspondance!$D$3:$E$14,2,FALSE)</f>
        <v>Janvier</v>
      </c>
      <c r="D246" s="15" t="str">
        <f>VLOOKUP(G246,Correspondance!$A$3:$B$11,2,FALSE)</f>
        <v>PHONE</v>
      </c>
      <c r="E246" s="115" t="s">
        <v>376</v>
      </c>
      <c r="F246" s="116" t="s">
        <v>169</v>
      </c>
      <c r="G246" s="117" t="s">
        <v>277</v>
      </c>
      <c r="H246" s="118" t="s">
        <v>278</v>
      </c>
      <c r="I246" s="118" t="s">
        <v>279</v>
      </c>
      <c r="J246" s="119" t="s">
        <v>57</v>
      </c>
      <c r="K246" s="120">
        <v>83.888888888888886</v>
      </c>
      <c r="L246" s="118" t="s">
        <v>735</v>
      </c>
      <c r="M246" s="118" t="s">
        <v>174</v>
      </c>
      <c r="N246" s="118" t="s">
        <v>46</v>
      </c>
      <c r="O246" s="118" t="s">
        <v>47</v>
      </c>
      <c r="P246" s="118" t="s">
        <v>553</v>
      </c>
      <c r="Q246" s="118" t="s">
        <v>49</v>
      </c>
      <c r="R246" s="118">
        <v>1</v>
      </c>
      <c r="S246" s="118">
        <v>1</v>
      </c>
      <c r="T246" s="118">
        <v>1</v>
      </c>
      <c r="U246" s="118">
        <v>1</v>
      </c>
      <c r="V246" s="118">
        <v>1</v>
      </c>
      <c r="W246" s="118">
        <v>1</v>
      </c>
      <c r="X246" s="118">
        <v>1</v>
      </c>
      <c r="Y246" s="118" t="s">
        <v>140</v>
      </c>
      <c r="Z246" s="118">
        <v>1</v>
      </c>
      <c r="AA246" s="118">
        <v>1</v>
      </c>
      <c r="AB246" s="118">
        <v>1</v>
      </c>
      <c r="AC246" s="118">
        <v>0</v>
      </c>
      <c r="AD246" s="118">
        <v>1</v>
      </c>
      <c r="AE246" s="118">
        <v>0</v>
      </c>
      <c r="AF246" s="118" t="s">
        <v>140</v>
      </c>
      <c r="AG246" s="118">
        <v>1</v>
      </c>
      <c r="AH246" s="118">
        <v>1</v>
      </c>
      <c r="AI246" s="118">
        <v>1</v>
      </c>
      <c r="AJ246" s="118">
        <v>1</v>
      </c>
      <c r="AK246" s="118">
        <v>1</v>
      </c>
      <c r="AL246" s="118">
        <v>1</v>
      </c>
      <c r="AM246" s="118" t="s">
        <v>140</v>
      </c>
      <c r="AN246" s="118" t="s">
        <v>140</v>
      </c>
      <c r="AO246" s="118" t="s">
        <v>563</v>
      </c>
    </row>
    <row r="247" spans="1:41" hidden="1" x14ac:dyDescent="0.2">
      <c r="A247" s="13">
        <f t="shared" si="8"/>
        <v>3</v>
      </c>
      <c r="B247" s="13">
        <f t="shared" si="9"/>
        <v>1</v>
      </c>
      <c r="C247" s="13" t="str">
        <f>VLOOKUP(B247,Correspondance!$D$3:$E$14,2,FALSE)</f>
        <v>Janvier</v>
      </c>
      <c r="D247" s="15" t="str">
        <f>VLOOKUP(G247,Correspondance!$A$3:$B$11,2,FALSE)</f>
        <v>PHONE</v>
      </c>
      <c r="E247" s="115" t="s">
        <v>586</v>
      </c>
      <c r="F247" s="116" t="s">
        <v>169</v>
      </c>
      <c r="G247" s="117" t="s">
        <v>352</v>
      </c>
      <c r="H247" s="118" t="s">
        <v>353</v>
      </c>
      <c r="I247" s="118" t="s">
        <v>363</v>
      </c>
      <c r="J247" s="119" t="s">
        <v>44</v>
      </c>
      <c r="K247" s="120">
        <v>100</v>
      </c>
      <c r="L247" s="118" t="s">
        <v>736</v>
      </c>
      <c r="M247" s="118" t="s">
        <v>223</v>
      </c>
      <c r="N247" s="118" t="s">
        <v>114</v>
      </c>
      <c r="O247" s="118" t="s">
        <v>74</v>
      </c>
      <c r="P247" s="118" t="s">
        <v>737</v>
      </c>
      <c r="Q247" s="118" t="s">
        <v>49</v>
      </c>
      <c r="R247" s="118">
        <v>1</v>
      </c>
      <c r="S247" s="118">
        <v>1</v>
      </c>
      <c r="T247" s="118">
        <v>1</v>
      </c>
      <c r="U247" s="118">
        <v>1</v>
      </c>
      <c r="V247" s="118">
        <v>1</v>
      </c>
      <c r="W247" s="118">
        <v>1</v>
      </c>
      <c r="X247" s="118">
        <v>1</v>
      </c>
      <c r="Y247" s="118" t="s">
        <v>140</v>
      </c>
      <c r="Z247" s="118" t="s">
        <v>140</v>
      </c>
      <c r="AA247" s="118">
        <v>1</v>
      </c>
      <c r="AB247" s="118">
        <v>1</v>
      </c>
      <c r="AC247" s="118">
        <v>1</v>
      </c>
      <c r="AD247" s="118">
        <v>1</v>
      </c>
      <c r="AE247" s="118">
        <v>1</v>
      </c>
      <c r="AF247" s="118" t="s">
        <v>140</v>
      </c>
      <c r="AG247" s="118">
        <v>1</v>
      </c>
      <c r="AH247" s="118">
        <v>1</v>
      </c>
      <c r="AI247" s="118">
        <v>1</v>
      </c>
      <c r="AJ247" s="118">
        <v>1</v>
      </c>
      <c r="AK247" s="118">
        <v>1</v>
      </c>
      <c r="AL247" s="118">
        <v>1</v>
      </c>
      <c r="AM247" s="118">
        <v>1</v>
      </c>
      <c r="AN247" s="118">
        <v>1</v>
      </c>
      <c r="AO247" s="118" t="s">
        <v>566</v>
      </c>
    </row>
    <row r="248" spans="1:41" hidden="1" x14ac:dyDescent="0.2">
      <c r="A248" s="13">
        <f t="shared" si="8"/>
        <v>3</v>
      </c>
      <c r="B248" s="13">
        <f t="shared" si="9"/>
        <v>1</v>
      </c>
      <c r="C248" s="13" t="str">
        <f>VLOOKUP(B248,Correspondance!$D$3:$E$14,2,FALSE)</f>
        <v>Janvier</v>
      </c>
      <c r="D248" s="15" t="str">
        <f>VLOOKUP(G248,Correspondance!$A$3:$B$11,2,FALSE)</f>
        <v>PHONE</v>
      </c>
      <c r="E248" s="115" t="s">
        <v>586</v>
      </c>
      <c r="F248" s="116" t="s">
        <v>169</v>
      </c>
      <c r="G248" s="117" t="s">
        <v>352</v>
      </c>
      <c r="H248" s="118" t="s">
        <v>353</v>
      </c>
      <c r="I248" s="118" t="s">
        <v>363</v>
      </c>
      <c r="J248" s="119" t="s">
        <v>44</v>
      </c>
      <c r="K248" s="120">
        <v>100</v>
      </c>
      <c r="L248" s="118" t="s">
        <v>738</v>
      </c>
      <c r="M248" s="118" t="s">
        <v>245</v>
      </c>
      <c r="N248" s="118" t="s">
        <v>114</v>
      </c>
      <c r="O248" s="118" t="s">
        <v>74</v>
      </c>
      <c r="P248" s="118" t="s">
        <v>112</v>
      </c>
      <c r="Q248" s="118" t="s">
        <v>49</v>
      </c>
      <c r="R248" s="118">
        <v>1</v>
      </c>
      <c r="S248" s="118">
        <v>1</v>
      </c>
      <c r="T248" s="118">
        <v>1</v>
      </c>
      <c r="U248" s="118">
        <v>1</v>
      </c>
      <c r="V248" s="118">
        <v>1</v>
      </c>
      <c r="W248" s="118">
        <v>1</v>
      </c>
      <c r="X248" s="118">
        <v>1</v>
      </c>
      <c r="Y248" s="118" t="s">
        <v>140</v>
      </c>
      <c r="Z248" s="118" t="s">
        <v>140</v>
      </c>
      <c r="AA248" s="118">
        <v>1</v>
      </c>
      <c r="AB248" s="118">
        <v>1</v>
      </c>
      <c r="AC248" s="118">
        <v>1</v>
      </c>
      <c r="AD248" s="118">
        <v>1</v>
      </c>
      <c r="AE248" s="118">
        <v>1</v>
      </c>
      <c r="AF248" s="118" t="s">
        <v>140</v>
      </c>
      <c r="AG248" s="118">
        <v>1</v>
      </c>
      <c r="AH248" s="118" t="s">
        <v>140</v>
      </c>
      <c r="AI248" s="118">
        <v>1</v>
      </c>
      <c r="AJ248" s="118">
        <v>1</v>
      </c>
      <c r="AK248" s="118">
        <v>1</v>
      </c>
      <c r="AL248" s="118" t="s">
        <v>140</v>
      </c>
      <c r="AM248" s="118" t="s">
        <v>140</v>
      </c>
      <c r="AN248" s="118">
        <v>1</v>
      </c>
      <c r="AO248" s="118" t="s">
        <v>566</v>
      </c>
    </row>
    <row r="249" spans="1:41" hidden="1" x14ac:dyDescent="0.2">
      <c r="A249" s="13">
        <f t="shared" si="8"/>
        <v>3</v>
      </c>
      <c r="B249" s="13">
        <f t="shared" si="9"/>
        <v>1</v>
      </c>
      <c r="C249" s="13" t="str">
        <f>VLOOKUP(B249,Correspondance!$D$3:$E$14,2,FALSE)</f>
        <v>Janvier</v>
      </c>
      <c r="D249" s="15" t="str">
        <f>VLOOKUP(G249,Correspondance!$A$3:$B$11,2,FALSE)</f>
        <v>PHONE</v>
      </c>
      <c r="E249" s="115" t="s">
        <v>586</v>
      </c>
      <c r="F249" s="116" t="s">
        <v>169</v>
      </c>
      <c r="G249" s="117" t="s">
        <v>352</v>
      </c>
      <c r="H249" s="118" t="s">
        <v>353</v>
      </c>
      <c r="I249" s="118" t="s">
        <v>363</v>
      </c>
      <c r="J249" s="119" t="s">
        <v>44</v>
      </c>
      <c r="K249" s="120">
        <v>100</v>
      </c>
      <c r="L249" s="118" t="s">
        <v>739</v>
      </c>
      <c r="M249" s="118" t="s">
        <v>190</v>
      </c>
      <c r="N249" s="118" t="s">
        <v>114</v>
      </c>
      <c r="O249" s="118" t="s">
        <v>74</v>
      </c>
      <c r="P249" s="118" t="s">
        <v>665</v>
      </c>
      <c r="Q249" s="118" t="s">
        <v>49</v>
      </c>
      <c r="R249" s="118">
        <v>1</v>
      </c>
      <c r="S249" s="118">
        <v>1</v>
      </c>
      <c r="T249" s="118">
        <v>1</v>
      </c>
      <c r="U249" s="118">
        <v>1</v>
      </c>
      <c r="V249" s="118">
        <v>1</v>
      </c>
      <c r="W249" s="118">
        <v>1</v>
      </c>
      <c r="X249" s="118">
        <v>1</v>
      </c>
      <c r="Y249" s="118" t="s">
        <v>140</v>
      </c>
      <c r="Z249" s="118" t="s">
        <v>140</v>
      </c>
      <c r="AA249" s="118">
        <v>1</v>
      </c>
      <c r="AB249" s="118">
        <v>1</v>
      </c>
      <c r="AC249" s="118">
        <v>1</v>
      </c>
      <c r="AD249" s="118">
        <v>1</v>
      </c>
      <c r="AE249" s="118">
        <v>1</v>
      </c>
      <c r="AF249" s="118" t="s">
        <v>140</v>
      </c>
      <c r="AG249" s="118">
        <v>1</v>
      </c>
      <c r="AH249" s="118" t="s">
        <v>140</v>
      </c>
      <c r="AI249" s="118">
        <v>1</v>
      </c>
      <c r="AJ249" s="118">
        <v>1</v>
      </c>
      <c r="AK249" s="118">
        <v>1</v>
      </c>
      <c r="AL249" s="118">
        <v>1</v>
      </c>
      <c r="AM249" s="118" t="s">
        <v>140</v>
      </c>
      <c r="AN249" s="118">
        <v>1</v>
      </c>
      <c r="AO249" s="118" t="s">
        <v>566</v>
      </c>
    </row>
    <row r="250" spans="1:41" hidden="1" x14ac:dyDescent="0.2">
      <c r="A250" s="13">
        <f t="shared" si="8"/>
        <v>3</v>
      </c>
      <c r="B250" s="13">
        <f t="shared" si="9"/>
        <v>1</v>
      </c>
      <c r="C250" s="13" t="str">
        <f>VLOOKUP(B250,Correspondance!$D$3:$E$14,2,FALSE)</f>
        <v>Janvier</v>
      </c>
      <c r="D250" s="15" t="str">
        <f>VLOOKUP(G250,Correspondance!$A$3:$B$11,2,FALSE)</f>
        <v>PHONE</v>
      </c>
      <c r="E250" s="115" t="s">
        <v>586</v>
      </c>
      <c r="F250" s="116" t="s">
        <v>169</v>
      </c>
      <c r="G250" s="117" t="s">
        <v>352</v>
      </c>
      <c r="H250" s="118" t="s">
        <v>353</v>
      </c>
      <c r="I250" s="118" t="s">
        <v>363</v>
      </c>
      <c r="J250" s="119" t="s">
        <v>44</v>
      </c>
      <c r="K250" s="120">
        <v>100</v>
      </c>
      <c r="L250" s="118" t="s">
        <v>740</v>
      </c>
      <c r="M250" s="118" t="s">
        <v>190</v>
      </c>
      <c r="N250" s="118" t="s">
        <v>114</v>
      </c>
      <c r="O250" s="118" t="s">
        <v>74</v>
      </c>
      <c r="P250" s="118" t="s">
        <v>665</v>
      </c>
      <c r="Q250" s="118" t="s">
        <v>49</v>
      </c>
      <c r="R250" s="118">
        <v>1</v>
      </c>
      <c r="S250" s="118">
        <v>1</v>
      </c>
      <c r="T250" s="118">
        <v>1</v>
      </c>
      <c r="U250" s="118">
        <v>1</v>
      </c>
      <c r="V250" s="118">
        <v>1</v>
      </c>
      <c r="W250" s="118">
        <v>1</v>
      </c>
      <c r="X250" s="118">
        <v>1</v>
      </c>
      <c r="Y250" s="118" t="s">
        <v>140</v>
      </c>
      <c r="Z250" s="118" t="s">
        <v>140</v>
      </c>
      <c r="AA250" s="118">
        <v>1</v>
      </c>
      <c r="AB250" s="118">
        <v>1</v>
      </c>
      <c r="AC250" s="118">
        <v>1</v>
      </c>
      <c r="AD250" s="118">
        <v>1</v>
      </c>
      <c r="AE250" s="118">
        <v>1</v>
      </c>
      <c r="AF250" s="118" t="s">
        <v>140</v>
      </c>
      <c r="AG250" s="118">
        <v>1</v>
      </c>
      <c r="AH250" s="118" t="s">
        <v>140</v>
      </c>
      <c r="AI250" s="118">
        <v>1</v>
      </c>
      <c r="AJ250" s="118">
        <v>1</v>
      </c>
      <c r="AK250" s="118">
        <v>1</v>
      </c>
      <c r="AL250" s="118">
        <v>1</v>
      </c>
      <c r="AM250" s="118" t="s">
        <v>140</v>
      </c>
      <c r="AN250" s="118">
        <v>1</v>
      </c>
      <c r="AO250" s="118" t="s">
        <v>566</v>
      </c>
    </row>
    <row r="251" spans="1:41" x14ac:dyDescent="0.2">
      <c r="A251" s="13">
        <f t="shared" ref="A251:A314" si="10">WEEKNUM(E251)</f>
        <v>3</v>
      </c>
      <c r="B251" s="13">
        <f t="shared" ref="B251:B314" si="11">MONTH(E251)</f>
        <v>1</v>
      </c>
      <c r="C251" s="13" t="str">
        <f>VLOOKUP(B251,Correspondance!$D$3:$E$14,2,FALSE)</f>
        <v>Janvier</v>
      </c>
      <c r="D251" s="15" t="str">
        <f>VLOOKUP(G251,Correspondance!$A$3:$B$11,2,FALSE)</f>
        <v>PHONE</v>
      </c>
      <c r="E251" s="115" t="s">
        <v>586</v>
      </c>
      <c r="F251" s="116" t="s">
        <v>169</v>
      </c>
      <c r="G251" s="117" t="s">
        <v>255</v>
      </c>
      <c r="H251" s="118" t="s">
        <v>356</v>
      </c>
      <c r="I251" s="118" t="s">
        <v>369</v>
      </c>
      <c r="J251" s="119" t="s">
        <v>44</v>
      </c>
      <c r="K251" s="120">
        <v>86.464285714285708</v>
      </c>
      <c r="L251" s="118" t="s">
        <v>741</v>
      </c>
      <c r="M251" s="118" t="s">
        <v>215</v>
      </c>
      <c r="N251" s="118" t="s">
        <v>114</v>
      </c>
      <c r="O251" s="118" t="s">
        <v>74</v>
      </c>
      <c r="P251" s="118" t="s">
        <v>742</v>
      </c>
      <c r="Q251" s="118" t="s">
        <v>49</v>
      </c>
      <c r="R251" s="118">
        <v>1</v>
      </c>
      <c r="S251" s="118">
        <v>1</v>
      </c>
      <c r="T251" s="118">
        <v>1</v>
      </c>
      <c r="U251" s="118">
        <v>1</v>
      </c>
      <c r="V251" s="118">
        <v>1</v>
      </c>
      <c r="W251" s="118">
        <v>1</v>
      </c>
      <c r="X251" s="118">
        <v>1</v>
      </c>
      <c r="Y251" s="118" t="s">
        <v>140</v>
      </c>
      <c r="Z251" s="118" t="s">
        <v>140</v>
      </c>
      <c r="AA251" s="118">
        <v>0</v>
      </c>
      <c r="AB251" s="118">
        <v>1</v>
      </c>
      <c r="AC251" s="118">
        <v>0</v>
      </c>
      <c r="AD251" s="118">
        <v>1</v>
      </c>
      <c r="AE251" s="118">
        <v>1</v>
      </c>
      <c r="AF251" s="118" t="s">
        <v>140</v>
      </c>
      <c r="AG251" s="118">
        <v>1</v>
      </c>
      <c r="AH251" s="118" t="s">
        <v>140</v>
      </c>
      <c r="AI251" s="118">
        <v>1</v>
      </c>
      <c r="AJ251" s="118">
        <v>1</v>
      </c>
      <c r="AK251" s="118">
        <v>0</v>
      </c>
      <c r="AL251" s="118" t="s">
        <v>140</v>
      </c>
      <c r="AM251" s="118" t="s">
        <v>140</v>
      </c>
      <c r="AN251" s="118">
        <v>1</v>
      </c>
      <c r="AO251" s="118" t="s">
        <v>566</v>
      </c>
    </row>
    <row r="252" spans="1:41" hidden="1" x14ac:dyDescent="0.2">
      <c r="A252" s="13">
        <f t="shared" si="10"/>
        <v>3</v>
      </c>
      <c r="B252" s="13">
        <f t="shared" si="11"/>
        <v>1</v>
      </c>
      <c r="C252" s="13" t="str">
        <f>VLOOKUP(B252,Correspondance!$D$3:$E$14,2,FALSE)</f>
        <v>Janvier</v>
      </c>
      <c r="D252" s="15" t="str">
        <f>VLOOKUP(G252,Correspondance!$A$3:$B$11,2,FALSE)</f>
        <v>PHONE</v>
      </c>
      <c r="E252" s="115" t="s">
        <v>586</v>
      </c>
      <c r="F252" s="116" t="s">
        <v>169</v>
      </c>
      <c r="G252" s="117" t="s">
        <v>255</v>
      </c>
      <c r="H252" s="118" t="s">
        <v>356</v>
      </c>
      <c r="I252" s="118" t="s">
        <v>369</v>
      </c>
      <c r="J252" s="119" t="s">
        <v>730</v>
      </c>
      <c r="K252" s="120">
        <v>89.392857142857139</v>
      </c>
      <c r="L252" s="118" t="s">
        <v>743</v>
      </c>
      <c r="M252" s="118" t="s">
        <v>526</v>
      </c>
      <c r="N252" s="118" t="s">
        <v>114</v>
      </c>
      <c r="O252" s="118" t="s">
        <v>74</v>
      </c>
      <c r="P252" s="118" t="s">
        <v>207</v>
      </c>
      <c r="Q252" s="118" t="s">
        <v>49</v>
      </c>
      <c r="R252" s="118">
        <v>1</v>
      </c>
      <c r="S252" s="118">
        <v>1</v>
      </c>
      <c r="T252" s="118">
        <v>1</v>
      </c>
      <c r="U252" s="118">
        <v>1</v>
      </c>
      <c r="V252" s="118">
        <v>1</v>
      </c>
      <c r="W252" s="118">
        <v>1</v>
      </c>
      <c r="X252" s="118">
        <v>1</v>
      </c>
      <c r="Y252" s="118" t="s">
        <v>140</v>
      </c>
      <c r="Z252" s="118" t="s">
        <v>140</v>
      </c>
      <c r="AA252" s="118">
        <v>0</v>
      </c>
      <c r="AB252" s="118">
        <v>1</v>
      </c>
      <c r="AC252" s="118">
        <v>1</v>
      </c>
      <c r="AD252" s="118">
        <v>1</v>
      </c>
      <c r="AE252" s="118">
        <v>0</v>
      </c>
      <c r="AF252" s="118" t="s">
        <v>140</v>
      </c>
      <c r="AG252" s="118">
        <v>1</v>
      </c>
      <c r="AH252" s="118" t="s">
        <v>140</v>
      </c>
      <c r="AI252" s="118">
        <v>0</v>
      </c>
      <c r="AJ252" s="118">
        <v>1</v>
      </c>
      <c r="AK252" s="118">
        <v>1</v>
      </c>
      <c r="AL252" s="118" t="s">
        <v>140</v>
      </c>
      <c r="AM252" s="118" t="s">
        <v>140</v>
      </c>
      <c r="AN252" s="118">
        <v>1</v>
      </c>
      <c r="AO252" s="118" t="s">
        <v>566</v>
      </c>
    </row>
    <row r="253" spans="1:41" ht="25.5" x14ac:dyDescent="0.2">
      <c r="A253" s="13">
        <f t="shared" si="10"/>
        <v>3</v>
      </c>
      <c r="B253" s="13">
        <f t="shared" si="11"/>
        <v>1</v>
      </c>
      <c r="C253" s="13" t="str">
        <f>VLOOKUP(B253,Correspondance!$D$3:$E$14,2,FALSE)</f>
        <v>Janvier</v>
      </c>
      <c r="D253" s="15" t="str">
        <f>VLOOKUP(G253,Correspondance!$A$3:$B$11,2,FALSE)</f>
        <v>PHONE</v>
      </c>
      <c r="E253" s="115" t="s">
        <v>586</v>
      </c>
      <c r="F253" s="116" t="s">
        <v>169</v>
      </c>
      <c r="G253" s="117" t="s">
        <v>255</v>
      </c>
      <c r="H253" s="118" t="s">
        <v>1332</v>
      </c>
      <c r="I253" s="118" t="s">
        <v>260</v>
      </c>
      <c r="J253" s="119" t="s">
        <v>44</v>
      </c>
      <c r="K253" s="120">
        <v>78</v>
      </c>
      <c r="L253" s="118" t="s">
        <v>744</v>
      </c>
      <c r="M253" s="118" t="s">
        <v>174</v>
      </c>
      <c r="N253" s="118" t="s">
        <v>114</v>
      </c>
      <c r="O253" s="118" t="s">
        <v>74</v>
      </c>
      <c r="P253" s="118" t="s">
        <v>207</v>
      </c>
      <c r="Q253" s="118" t="s">
        <v>49</v>
      </c>
      <c r="R253" s="118">
        <v>1</v>
      </c>
      <c r="S253" s="118">
        <v>1</v>
      </c>
      <c r="T253" s="118">
        <v>0</v>
      </c>
      <c r="U253" s="118">
        <v>1</v>
      </c>
      <c r="V253" s="118">
        <v>1</v>
      </c>
      <c r="W253" s="118">
        <v>1</v>
      </c>
      <c r="X253" s="118">
        <v>0</v>
      </c>
      <c r="Y253" s="118" t="s">
        <v>140</v>
      </c>
      <c r="Z253" s="118">
        <v>0</v>
      </c>
      <c r="AA253" s="118">
        <v>0</v>
      </c>
      <c r="AB253" s="118">
        <v>1</v>
      </c>
      <c r="AC253" s="118">
        <v>0</v>
      </c>
      <c r="AD253" s="118">
        <v>1</v>
      </c>
      <c r="AE253" s="118">
        <v>1</v>
      </c>
      <c r="AF253" s="118" t="s">
        <v>140</v>
      </c>
      <c r="AG253" s="118">
        <v>1</v>
      </c>
      <c r="AH253" s="118" t="s">
        <v>140</v>
      </c>
      <c r="AI253" s="118">
        <v>1</v>
      </c>
      <c r="AJ253" s="118">
        <v>1</v>
      </c>
      <c r="AK253" s="118">
        <v>1</v>
      </c>
      <c r="AL253" s="118" t="s">
        <v>140</v>
      </c>
      <c r="AM253" s="118" t="s">
        <v>140</v>
      </c>
      <c r="AN253" s="118" t="s">
        <v>140</v>
      </c>
      <c r="AO253" s="118" t="s">
        <v>615</v>
      </c>
    </row>
    <row r="254" spans="1:41" ht="25.5" hidden="1" x14ac:dyDescent="0.2">
      <c r="A254" s="13">
        <f t="shared" si="10"/>
        <v>3</v>
      </c>
      <c r="B254" s="13">
        <f t="shared" si="11"/>
        <v>1</v>
      </c>
      <c r="C254" s="13" t="str">
        <f>VLOOKUP(B254,Correspondance!$D$3:$E$14,2,FALSE)</f>
        <v>Janvier</v>
      </c>
      <c r="D254" s="15" t="str">
        <f>VLOOKUP(G254,Correspondance!$A$3:$B$11,2,FALSE)</f>
        <v>PHONE</v>
      </c>
      <c r="E254" s="115" t="s">
        <v>586</v>
      </c>
      <c r="F254" s="116" t="s">
        <v>169</v>
      </c>
      <c r="G254" s="117" t="s">
        <v>255</v>
      </c>
      <c r="H254" s="118" t="s">
        <v>1332</v>
      </c>
      <c r="I254" s="118" t="s">
        <v>260</v>
      </c>
      <c r="J254" s="119" t="s">
        <v>44</v>
      </c>
      <c r="K254" s="120">
        <v>89</v>
      </c>
      <c r="L254" s="118" t="s">
        <v>745</v>
      </c>
      <c r="M254" s="118" t="s">
        <v>526</v>
      </c>
      <c r="N254" s="118" t="s">
        <v>114</v>
      </c>
      <c r="O254" s="118" t="s">
        <v>74</v>
      </c>
      <c r="P254" s="118" t="s">
        <v>737</v>
      </c>
      <c r="Q254" s="118" t="s">
        <v>49</v>
      </c>
      <c r="R254" s="118">
        <v>1</v>
      </c>
      <c r="S254" s="118">
        <v>1</v>
      </c>
      <c r="T254" s="118">
        <v>1</v>
      </c>
      <c r="U254" s="118">
        <v>1</v>
      </c>
      <c r="V254" s="118">
        <v>1</v>
      </c>
      <c r="W254" s="118">
        <v>1</v>
      </c>
      <c r="X254" s="118">
        <v>1</v>
      </c>
      <c r="Y254" s="118" t="s">
        <v>140</v>
      </c>
      <c r="Z254" s="118" t="s">
        <v>140</v>
      </c>
      <c r="AA254" s="118">
        <v>1</v>
      </c>
      <c r="AB254" s="118">
        <v>1</v>
      </c>
      <c r="AC254" s="118">
        <v>1</v>
      </c>
      <c r="AD254" s="118">
        <v>0</v>
      </c>
      <c r="AE254" s="118">
        <v>1</v>
      </c>
      <c r="AF254" s="118" t="s">
        <v>140</v>
      </c>
      <c r="AG254" s="118">
        <v>1</v>
      </c>
      <c r="AH254" s="118" t="s">
        <v>140</v>
      </c>
      <c r="AI254" s="118">
        <v>1</v>
      </c>
      <c r="AJ254" s="118">
        <v>1</v>
      </c>
      <c r="AK254" s="118">
        <v>1</v>
      </c>
      <c r="AL254" s="118" t="s">
        <v>140</v>
      </c>
      <c r="AM254" s="118" t="s">
        <v>140</v>
      </c>
      <c r="AN254" s="118">
        <v>1</v>
      </c>
      <c r="AO254" s="118" t="s">
        <v>615</v>
      </c>
    </row>
    <row r="255" spans="1:41" hidden="1" x14ac:dyDescent="0.2">
      <c r="A255" s="13">
        <f t="shared" si="10"/>
        <v>3</v>
      </c>
      <c r="B255" s="13">
        <f t="shared" si="11"/>
        <v>1</v>
      </c>
      <c r="C255" s="13" t="str">
        <f>VLOOKUP(B255,Correspondance!$D$3:$E$14,2,FALSE)</f>
        <v>Janvier</v>
      </c>
      <c r="D255" s="15" t="str">
        <f>VLOOKUP(G255,Correspondance!$A$3:$B$11,2,FALSE)</f>
        <v>PHONE</v>
      </c>
      <c r="E255" s="115" t="s">
        <v>586</v>
      </c>
      <c r="F255" s="116" t="s">
        <v>169</v>
      </c>
      <c r="G255" s="117" t="s">
        <v>255</v>
      </c>
      <c r="H255" s="118" t="s">
        <v>266</v>
      </c>
      <c r="I255" s="118" t="s">
        <v>267</v>
      </c>
      <c r="J255" s="119" t="s">
        <v>44</v>
      </c>
      <c r="K255" s="120">
        <v>100</v>
      </c>
      <c r="L255" s="118" t="s">
        <v>746</v>
      </c>
      <c r="M255" s="118" t="s">
        <v>544</v>
      </c>
      <c r="N255" s="118" t="s">
        <v>114</v>
      </c>
      <c r="O255" s="118" t="s">
        <v>74</v>
      </c>
      <c r="P255" s="118" t="s">
        <v>495</v>
      </c>
      <c r="Q255" s="118" t="s">
        <v>49</v>
      </c>
      <c r="R255" s="118">
        <v>1</v>
      </c>
      <c r="S255" s="118">
        <v>1</v>
      </c>
      <c r="T255" s="118">
        <v>1</v>
      </c>
      <c r="U255" s="118">
        <v>1</v>
      </c>
      <c r="V255" s="118">
        <v>1</v>
      </c>
      <c r="W255" s="118">
        <v>1</v>
      </c>
      <c r="X255" s="118">
        <v>1</v>
      </c>
      <c r="Y255" s="118" t="s">
        <v>140</v>
      </c>
      <c r="Z255" s="118">
        <v>1</v>
      </c>
      <c r="AA255" s="118">
        <v>1</v>
      </c>
      <c r="AB255" s="118">
        <v>1</v>
      </c>
      <c r="AC255" s="118">
        <v>1</v>
      </c>
      <c r="AD255" s="118">
        <v>1</v>
      </c>
      <c r="AE255" s="118">
        <v>1</v>
      </c>
      <c r="AF255" s="118" t="s">
        <v>140</v>
      </c>
      <c r="AG255" s="118">
        <v>1</v>
      </c>
      <c r="AH255" s="118">
        <v>1</v>
      </c>
      <c r="AI255" s="118">
        <v>1</v>
      </c>
      <c r="AJ255" s="118">
        <v>1</v>
      </c>
      <c r="AK255" s="118">
        <v>1</v>
      </c>
      <c r="AL255" s="118" t="s">
        <v>140</v>
      </c>
      <c r="AM255" s="118" t="s">
        <v>140</v>
      </c>
      <c r="AN255" s="118">
        <v>1</v>
      </c>
      <c r="AO255" s="118" t="s">
        <v>566</v>
      </c>
    </row>
    <row r="256" spans="1:41" hidden="1" x14ac:dyDescent="0.2">
      <c r="A256" s="13">
        <f t="shared" si="10"/>
        <v>3</v>
      </c>
      <c r="B256" s="13">
        <f t="shared" si="11"/>
        <v>1</v>
      </c>
      <c r="C256" s="13" t="str">
        <f>VLOOKUP(B256,Correspondance!$D$3:$E$14,2,FALSE)</f>
        <v>Janvier</v>
      </c>
      <c r="D256" s="15" t="str">
        <f>VLOOKUP(G256,Correspondance!$A$3:$B$11,2,FALSE)</f>
        <v>PHONE</v>
      </c>
      <c r="E256" s="115" t="s">
        <v>586</v>
      </c>
      <c r="F256" s="116" t="s">
        <v>169</v>
      </c>
      <c r="G256" s="117" t="s">
        <v>255</v>
      </c>
      <c r="H256" s="118" t="s">
        <v>272</v>
      </c>
      <c r="I256" s="118" t="s">
        <v>273</v>
      </c>
      <c r="J256" s="119" t="s">
        <v>44</v>
      </c>
      <c r="K256" s="120">
        <v>95.285714285714292</v>
      </c>
      <c r="L256" s="118" t="s">
        <v>747</v>
      </c>
      <c r="M256" s="118" t="s">
        <v>215</v>
      </c>
      <c r="N256" s="118" t="s">
        <v>114</v>
      </c>
      <c r="O256" s="118" t="s">
        <v>74</v>
      </c>
      <c r="P256" s="118" t="s">
        <v>112</v>
      </c>
      <c r="Q256" s="118" t="s">
        <v>49</v>
      </c>
      <c r="R256" s="118">
        <v>1</v>
      </c>
      <c r="S256" s="118">
        <v>1</v>
      </c>
      <c r="T256" s="118">
        <v>1</v>
      </c>
      <c r="U256" s="118">
        <v>1</v>
      </c>
      <c r="V256" s="118">
        <v>1</v>
      </c>
      <c r="W256" s="118">
        <v>1</v>
      </c>
      <c r="X256" s="118">
        <v>0</v>
      </c>
      <c r="Y256" s="118" t="s">
        <v>140</v>
      </c>
      <c r="Z256" s="118" t="s">
        <v>140</v>
      </c>
      <c r="AA256" s="118">
        <v>1</v>
      </c>
      <c r="AB256" s="118">
        <v>1</v>
      </c>
      <c r="AC256" s="118">
        <v>1</v>
      </c>
      <c r="AD256" s="118">
        <v>1</v>
      </c>
      <c r="AE256" s="118">
        <v>1</v>
      </c>
      <c r="AF256" s="118" t="s">
        <v>140</v>
      </c>
      <c r="AG256" s="118">
        <v>1</v>
      </c>
      <c r="AH256" s="118" t="s">
        <v>140</v>
      </c>
      <c r="AI256" s="118">
        <v>0</v>
      </c>
      <c r="AJ256" s="118">
        <v>1</v>
      </c>
      <c r="AK256" s="118">
        <v>1</v>
      </c>
      <c r="AL256" s="118" t="s">
        <v>140</v>
      </c>
      <c r="AM256" s="118" t="s">
        <v>140</v>
      </c>
      <c r="AN256" s="118">
        <v>1</v>
      </c>
      <c r="AO256" s="118" t="s">
        <v>1085</v>
      </c>
    </row>
    <row r="257" spans="1:41" x14ac:dyDescent="0.2">
      <c r="A257" s="13">
        <f t="shared" si="10"/>
        <v>4</v>
      </c>
      <c r="B257" s="13">
        <f t="shared" si="11"/>
        <v>1</v>
      </c>
      <c r="C257" s="13" t="str">
        <f>VLOOKUP(B257,Correspondance!$D$3:$E$14,2,FALSE)</f>
        <v>Janvier</v>
      </c>
      <c r="D257" s="15" t="str">
        <f>VLOOKUP(G257,Correspondance!$A$3:$B$11,2,FALSE)</f>
        <v>PHONE</v>
      </c>
      <c r="E257" s="115" t="s">
        <v>610</v>
      </c>
      <c r="F257" s="116" t="s">
        <v>169</v>
      </c>
      <c r="G257" s="117" t="s">
        <v>352</v>
      </c>
      <c r="H257" s="118" t="s">
        <v>353</v>
      </c>
      <c r="I257" s="118" t="s">
        <v>363</v>
      </c>
      <c r="J257" s="119" t="s">
        <v>57</v>
      </c>
      <c r="K257" s="120">
        <v>90</v>
      </c>
      <c r="L257" s="118" t="s">
        <v>748</v>
      </c>
      <c r="M257" s="118" t="s">
        <v>174</v>
      </c>
      <c r="N257" s="118" t="s">
        <v>46</v>
      </c>
      <c r="O257" s="118" t="s">
        <v>74</v>
      </c>
      <c r="P257" s="118" t="s">
        <v>749</v>
      </c>
      <c r="Q257" s="118" t="s">
        <v>49</v>
      </c>
      <c r="R257" s="118">
        <v>1</v>
      </c>
      <c r="S257" s="118">
        <v>1</v>
      </c>
      <c r="T257" s="118">
        <v>1</v>
      </c>
      <c r="U257" s="118">
        <v>1</v>
      </c>
      <c r="V257" s="118">
        <v>1</v>
      </c>
      <c r="W257" s="118">
        <v>1</v>
      </c>
      <c r="X257" s="118">
        <v>1</v>
      </c>
      <c r="Y257" s="118" t="s">
        <v>140</v>
      </c>
      <c r="Z257" s="118">
        <v>1</v>
      </c>
      <c r="AA257" s="118">
        <v>1</v>
      </c>
      <c r="AB257" s="118">
        <v>1</v>
      </c>
      <c r="AC257" s="118">
        <v>0</v>
      </c>
      <c r="AD257" s="118">
        <v>1</v>
      </c>
      <c r="AE257" s="118">
        <v>1</v>
      </c>
      <c r="AF257" s="118" t="s">
        <v>140</v>
      </c>
      <c r="AG257" s="118">
        <v>1</v>
      </c>
      <c r="AH257" s="118">
        <v>1</v>
      </c>
      <c r="AI257" s="118">
        <v>1</v>
      </c>
      <c r="AJ257" s="118">
        <v>1</v>
      </c>
      <c r="AK257" s="118">
        <v>1</v>
      </c>
      <c r="AL257" s="118">
        <v>1</v>
      </c>
      <c r="AM257" s="118">
        <v>1</v>
      </c>
      <c r="AN257" s="118">
        <v>1</v>
      </c>
      <c r="AO257" s="118" t="s">
        <v>566</v>
      </c>
    </row>
    <row r="258" spans="1:41" x14ac:dyDescent="0.2">
      <c r="A258" s="13">
        <f t="shared" si="10"/>
        <v>4</v>
      </c>
      <c r="B258" s="13">
        <f t="shared" si="11"/>
        <v>1</v>
      </c>
      <c r="C258" s="13" t="str">
        <f>VLOOKUP(B258,Correspondance!$D$3:$E$14,2,FALSE)</f>
        <v>Janvier</v>
      </c>
      <c r="D258" s="15" t="str">
        <f>VLOOKUP(G258,Correspondance!$A$3:$B$11,2,FALSE)</f>
        <v>PHONE</v>
      </c>
      <c r="E258" s="115" t="s">
        <v>610</v>
      </c>
      <c r="F258" s="116" t="s">
        <v>169</v>
      </c>
      <c r="G258" s="117" t="s">
        <v>359</v>
      </c>
      <c r="H258" s="118" t="s">
        <v>360</v>
      </c>
      <c r="I258" s="118" t="s">
        <v>372</v>
      </c>
      <c r="J258" s="119" t="s">
        <v>57</v>
      </c>
      <c r="K258" s="120">
        <v>68.656716417910445</v>
      </c>
      <c r="L258" s="118" t="s">
        <v>750</v>
      </c>
      <c r="M258" s="118" t="s">
        <v>174</v>
      </c>
      <c r="N258" s="118" t="s">
        <v>46</v>
      </c>
      <c r="O258" s="118" t="s">
        <v>74</v>
      </c>
      <c r="P258" s="118" t="s">
        <v>361</v>
      </c>
      <c r="Q258" s="118" t="s">
        <v>49</v>
      </c>
      <c r="R258" s="118">
        <v>1</v>
      </c>
      <c r="S258" s="118" t="s">
        <v>140</v>
      </c>
      <c r="T258" s="118" t="s">
        <v>140</v>
      </c>
      <c r="U258" s="118">
        <v>1</v>
      </c>
      <c r="V258" s="118">
        <v>1</v>
      </c>
      <c r="W258" s="118">
        <v>1</v>
      </c>
      <c r="X258" s="118">
        <v>1</v>
      </c>
      <c r="Y258" s="118" t="s">
        <v>140</v>
      </c>
      <c r="Z258" s="118">
        <v>1</v>
      </c>
      <c r="AA258" s="118">
        <v>1</v>
      </c>
      <c r="AB258" s="118">
        <v>1</v>
      </c>
      <c r="AC258" s="118">
        <v>0</v>
      </c>
      <c r="AD258" s="118">
        <v>1</v>
      </c>
      <c r="AE258" s="118" t="s">
        <v>140</v>
      </c>
      <c r="AF258" s="118" t="s">
        <v>140</v>
      </c>
      <c r="AG258" s="118" t="s">
        <v>140</v>
      </c>
      <c r="AH258" s="118">
        <v>0</v>
      </c>
      <c r="AI258" s="118" t="s">
        <v>140</v>
      </c>
      <c r="AJ258" s="118" t="s">
        <v>140</v>
      </c>
      <c r="AK258" s="118" t="s">
        <v>140</v>
      </c>
      <c r="AL258" s="118" t="s">
        <v>140</v>
      </c>
      <c r="AM258" s="118" t="s">
        <v>140</v>
      </c>
      <c r="AN258" s="118" t="s">
        <v>140</v>
      </c>
      <c r="AO258" s="118" t="s">
        <v>566</v>
      </c>
    </row>
    <row r="259" spans="1:41" x14ac:dyDescent="0.2">
      <c r="A259" s="13">
        <f t="shared" si="10"/>
        <v>4</v>
      </c>
      <c r="B259" s="13">
        <f t="shared" si="11"/>
        <v>1</v>
      </c>
      <c r="C259" s="13" t="str">
        <f>VLOOKUP(B259,Correspondance!$D$3:$E$14,2,FALSE)</f>
        <v>Janvier</v>
      </c>
      <c r="D259" s="15" t="str">
        <f>VLOOKUP(G259,Correspondance!$A$3:$B$11,2,FALSE)</f>
        <v>PHONE</v>
      </c>
      <c r="E259" s="115" t="s">
        <v>610</v>
      </c>
      <c r="F259" s="116" t="s">
        <v>169</v>
      </c>
      <c r="G259" s="117" t="s">
        <v>359</v>
      </c>
      <c r="H259" s="118" t="s">
        <v>517</v>
      </c>
      <c r="I259" s="118" t="s">
        <v>518</v>
      </c>
      <c r="J259" s="119" t="s">
        <v>57</v>
      </c>
      <c r="K259" s="120">
        <v>88</v>
      </c>
      <c r="L259" s="118" t="s">
        <v>751</v>
      </c>
      <c r="M259" s="118" t="s">
        <v>174</v>
      </c>
      <c r="N259" s="118" t="s">
        <v>46</v>
      </c>
      <c r="O259" s="118" t="s">
        <v>74</v>
      </c>
      <c r="P259" s="118" t="s">
        <v>573</v>
      </c>
      <c r="Q259" s="118" t="s">
        <v>49</v>
      </c>
      <c r="R259" s="118">
        <v>1</v>
      </c>
      <c r="S259" s="118">
        <v>1</v>
      </c>
      <c r="T259" s="118">
        <v>1</v>
      </c>
      <c r="U259" s="118">
        <v>1</v>
      </c>
      <c r="V259" s="118">
        <v>1</v>
      </c>
      <c r="W259" s="118">
        <v>1</v>
      </c>
      <c r="X259" s="118">
        <v>1</v>
      </c>
      <c r="Y259" s="118" t="s">
        <v>140</v>
      </c>
      <c r="Z259" s="118">
        <v>1</v>
      </c>
      <c r="AA259" s="118">
        <v>1</v>
      </c>
      <c r="AB259" s="118">
        <v>1</v>
      </c>
      <c r="AC259" s="118">
        <v>0</v>
      </c>
      <c r="AD259" s="118">
        <v>1</v>
      </c>
      <c r="AE259" s="118">
        <v>1</v>
      </c>
      <c r="AF259" s="118" t="s">
        <v>140</v>
      </c>
      <c r="AG259" s="118">
        <v>1</v>
      </c>
      <c r="AH259" s="118">
        <v>0</v>
      </c>
      <c r="AI259" s="118">
        <v>1</v>
      </c>
      <c r="AJ259" s="118">
        <v>1</v>
      </c>
      <c r="AK259" s="118">
        <v>1</v>
      </c>
      <c r="AL259" s="118">
        <v>1</v>
      </c>
      <c r="AM259" s="118">
        <v>1</v>
      </c>
      <c r="AN259" s="118">
        <v>1</v>
      </c>
      <c r="AO259" s="118" t="s">
        <v>1085</v>
      </c>
    </row>
    <row r="260" spans="1:41" hidden="1" x14ac:dyDescent="0.2">
      <c r="A260" s="13">
        <f t="shared" si="10"/>
        <v>4</v>
      </c>
      <c r="B260" s="13">
        <f t="shared" si="11"/>
        <v>1</v>
      </c>
      <c r="C260" s="13" t="str">
        <f>VLOOKUP(B260,Correspondance!$D$3:$E$14,2,FALSE)</f>
        <v>Janvier</v>
      </c>
      <c r="D260" s="15" t="str">
        <f>VLOOKUP(G260,Correspondance!$A$3:$B$11,2,FALSE)</f>
        <v>PHONE</v>
      </c>
      <c r="E260" s="115" t="s">
        <v>610</v>
      </c>
      <c r="F260" s="116" t="s">
        <v>169</v>
      </c>
      <c r="G260" s="117" t="s">
        <v>359</v>
      </c>
      <c r="H260" s="118" t="s">
        <v>519</v>
      </c>
      <c r="I260" s="118" t="s">
        <v>520</v>
      </c>
      <c r="J260" s="119" t="s">
        <v>57</v>
      </c>
      <c r="K260" s="120">
        <v>100</v>
      </c>
      <c r="L260" s="118" t="s">
        <v>752</v>
      </c>
      <c r="M260" s="118" t="s">
        <v>174</v>
      </c>
      <c r="N260" s="118" t="s">
        <v>46</v>
      </c>
      <c r="O260" s="118" t="s">
        <v>74</v>
      </c>
      <c r="P260" s="118" t="s">
        <v>361</v>
      </c>
      <c r="Q260" s="118" t="s">
        <v>49</v>
      </c>
      <c r="R260" s="118">
        <v>1</v>
      </c>
      <c r="S260" s="118" t="s">
        <v>140</v>
      </c>
      <c r="T260" s="118">
        <v>1</v>
      </c>
      <c r="U260" s="118">
        <v>1</v>
      </c>
      <c r="V260" s="118">
        <v>1</v>
      </c>
      <c r="W260" s="118">
        <v>1</v>
      </c>
      <c r="X260" s="118">
        <v>1</v>
      </c>
      <c r="Y260" s="118" t="s">
        <v>140</v>
      </c>
      <c r="Z260" s="118">
        <v>1</v>
      </c>
      <c r="AA260" s="118">
        <v>1</v>
      </c>
      <c r="AB260" s="118">
        <v>1</v>
      </c>
      <c r="AC260" s="118">
        <v>1</v>
      </c>
      <c r="AD260" s="118">
        <v>1</v>
      </c>
      <c r="AE260" s="118" t="s">
        <v>140</v>
      </c>
      <c r="AF260" s="118" t="s">
        <v>140</v>
      </c>
      <c r="AG260" s="118" t="s">
        <v>140</v>
      </c>
      <c r="AH260" s="118">
        <v>1</v>
      </c>
      <c r="AI260" s="118" t="s">
        <v>140</v>
      </c>
      <c r="AJ260" s="118" t="s">
        <v>140</v>
      </c>
      <c r="AK260" s="118" t="s">
        <v>140</v>
      </c>
      <c r="AL260" s="118" t="s">
        <v>140</v>
      </c>
      <c r="AM260" s="118" t="s">
        <v>140</v>
      </c>
      <c r="AN260" s="118" t="s">
        <v>140</v>
      </c>
      <c r="AO260" s="118" t="s">
        <v>1085</v>
      </c>
    </row>
    <row r="261" spans="1:41" hidden="1" x14ac:dyDescent="0.2">
      <c r="A261" s="13">
        <f t="shared" si="10"/>
        <v>4</v>
      </c>
      <c r="B261" s="13">
        <f t="shared" si="11"/>
        <v>1</v>
      </c>
      <c r="C261" s="13" t="str">
        <f>VLOOKUP(B261,Correspondance!$D$3:$E$14,2,FALSE)</f>
        <v>Janvier</v>
      </c>
      <c r="D261" s="15" t="str">
        <f>VLOOKUP(G261,Correspondance!$A$3:$B$11,2,FALSE)</f>
        <v>PHONE</v>
      </c>
      <c r="E261" s="115" t="s">
        <v>610</v>
      </c>
      <c r="F261" s="116" t="s">
        <v>169</v>
      </c>
      <c r="G261" s="117" t="s">
        <v>359</v>
      </c>
      <c r="H261" s="118" t="s">
        <v>1334</v>
      </c>
      <c r="I261" s="118" t="s">
        <v>511</v>
      </c>
      <c r="J261" s="119" t="s">
        <v>57</v>
      </c>
      <c r="K261" s="120">
        <v>96</v>
      </c>
      <c r="L261" s="118" t="s">
        <v>753</v>
      </c>
      <c r="M261" s="118" t="s">
        <v>215</v>
      </c>
      <c r="N261" s="118" t="s">
        <v>46</v>
      </c>
      <c r="O261" s="118" t="s">
        <v>47</v>
      </c>
      <c r="P261" s="118" t="s">
        <v>754</v>
      </c>
      <c r="Q261" s="118" t="s">
        <v>49</v>
      </c>
      <c r="R261" s="118">
        <v>1</v>
      </c>
      <c r="S261" s="118">
        <v>1</v>
      </c>
      <c r="T261" s="118">
        <v>1</v>
      </c>
      <c r="U261" s="118">
        <v>1</v>
      </c>
      <c r="V261" s="118">
        <v>1</v>
      </c>
      <c r="W261" s="118">
        <v>1</v>
      </c>
      <c r="X261" s="118">
        <v>1</v>
      </c>
      <c r="Y261" s="118" t="s">
        <v>140</v>
      </c>
      <c r="Z261" s="118">
        <v>1</v>
      </c>
      <c r="AA261" s="118">
        <v>1</v>
      </c>
      <c r="AB261" s="118">
        <v>1</v>
      </c>
      <c r="AC261" s="118">
        <v>1</v>
      </c>
      <c r="AD261" s="118">
        <v>1</v>
      </c>
      <c r="AE261" s="118">
        <v>1</v>
      </c>
      <c r="AF261" s="118" t="s">
        <v>140</v>
      </c>
      <c r="AG261" s="118">
        <v>1</v>
      </c>
      <c r="AH261" s="118" t="s">
        <v>140</v>
      </c>
      <c r="AI261" s="118">
        <v>1</v>
      </c>
      <c r="AJ261" s="118">
        <v>0</v>
      </c>
      <c r="AK261" s="118">
        <v>1</v>
      </c>
      <c r="AL261" s="118">
        <v>1</v>
      </c>
      <c r="AM261" s="118">
        <v>1</v>
      </c>
      <c r="AN261" s="118">
        <v>1</v>
      </c>
      <c r="AO261" s="118" t="s">
        <v>1085</v>
      </c>
    </row>
    <row r="262" spans="1:41" hidden="1" x14ac:dyDescent="0.2">
      <c r="A262" s="13">
        <f t="shared" si="10"/>
        <v>4</v>
      </c>
      <c r="B262" s="13">
        <f t="shared" si="11"/>
        <v>1</v>
      </c>
      <c r="C262" s="13" t="str">
        <f>VLOOKUP(B262,Correspondance!$D$3:$E$14,2,FALSE)</f>
        <v>Janvier</v>
      </c>
      <c r="D262" s="15" t="str">
        <f>VLOOKUP(G262,Correspondance!$A$3:$B$11,2,FALSE)</f>
        <v>PHONE</v>
      </c>
      <c r="E262" s="115" t="s">
        <v>610</v>
      </c>
      <c r="F262" s="116" t="s">
        <v>169</v>
      </c>
      <c r="G262" s="117" t="s">
        <v>255</v>
      </c>
      <c r="H262" s="118" t="s">
        <v>356</v>
      </c>
      <c r="I262" s="118" t="s">
        <v>369</v>
      </c>
      <c r="J262" s="119" t="s">
        <v>730</v>
      </c>
      <c r="K262" s="120">
        <v>98</v>
      </c>
      <c r="L262" s="118" t="s">
        <v>755</v>
      </c>
      <c r="M262" s="118" t="s">
        <v>526</v>
      </c>
      <c r="N262" s="118" t="s">
        <v>46</v>
      </c>
      <c r="O262" s="118" t="s">
        <v>47</v>
      </c>
      <c r="P262" s="118" t="s">
        <v>539</v>
      </c>
      <c r="Q262" s="118" t="s">
        <v>49</v>
      </c>
      <c r="R262" s="118">
        <v>1</v>
      </c>
      <c r="S262" s="118">
        <v>1</v>
      </c>
      <c r="T262" s="118">
        <v>1</v>
      </c>
      <c r="U262" s="118">
        <v>1</v>
      </c>
      <c r="V262" s="118">
        <v>1</v>
      </c>
      <c r="W262" s="118">
        <v>1</v>
      </c>
      <c r="X262" s="118">
        <v>1</v>
      </c>
      <c r="Y262" s="118" t="s">
        <v>140</v>
      </c>
      <c r="Z262" s="118">
        <v>1</v>
      </c>
      <c r="AA262" s="118">
        <v>1</v>
      </c>
      <c r="AB262" s="118">
        <v>1</v>
      </c>
      <c r="AC262" s="118">
        <v>1</v>
      </c>
      <c r="AD262" s="118">
        <v>1</v>
      </c>
      <c r="AE262" s="118">
        <v>1</v>
      </c>
      <c r="AF262" s="118" t="s">
        <v>140</v>
      </c>
      <c r="AG262" s="118">
        <v>1</v>
      </c>
      <c r="AH262" s="118">
        <v>0</v>
      </c>
      <c r="AI262" s="118">
        <v>1</v>
      </c>
      <c r="AJ262" s="118">
        <v>1</v>
      </c>
      <c r="AK262" s="118">
        <v>1</v>
      </c>
      <c r="AL262" s="118">
        <v>1</v>
      </c>
      <c r="AM262" s="118">
        <v>1</v>
      </c>
      <c r="AN262" s="118">
        <v>1</v>
      </c>
      <c r="AO262" s="118" t="s">
        <v>566</v>
      </c>
    </row>
    <row r="263" spans="1:41" hidden="1" x14ac:dyDescent="0.2">
      <c r="A263" s="13">
        <f t="shared" si="10"/>
        <v>4</v>
      </c>
      <c r="B263" s="13">
        <f t="shared" si="11"/>
        <v>1</v>
      </c>
      <c r="C263" s="13" t="str">
        <f>VLOOKUP(B263,Correspondance!$D$3:$E$14,2,FALSE)</f>
        <v>Janvier</v>
      </c>
      <c r="D263" s="15" t="str">
        <f>VLOOKUP(G263,Correspondance!$A$3:$B$11,2,FALSE)</f>
        <v>PHONE</v>
      </c>
      <c r="E263" s="115" t="s">
        <v>610</v>
      </c>
      <c r="F263" s="116" t="s">
        <v>169</v>
      </c>
      <c r="G263" s="117" t="s">
        <v>255</v>
      </c>
      <c r="H263" s="118" t="s">
        <v>356</v>
      </c>
      <c r="I263" s="118" t="s">
        <v>369</v>
      </c>
      <c r="J263" s="119" t="s">
        <v>730</v>
      </c>
      <c r="K263" s="120">
        <v>100</v>
      </c>
      <c r="L263" s="118" t="s">
        <v>756</v>
      </c>
      <c r="M263" s="118" t="s">
        <v>174</v>
      </c>
      <c r="N263" s="118" t="s">
        <v>46</v>
      </c>
      <c r="O263" s="118" t="s">
        <v>74</v>
      </c>
      <c r="P263" s="118" t="s">
        <v>757</v>
      </c>
      <c r="Q263" s="118" t="s">
        <v>49</v>
      </c>
      <c r="R263" s="118">
        <v>1</v>
      </c>
      <c r="S263" s="118">
        <v>1</v>
      </c>
      <c r="T263" s="118">
        <v>1</v>
      </c>
      <c r="U263" s="118">
        <v>1</v>
      </c>
      <c r="V263" s="118">
        <v>1</v>
      </c>
      <c r="W263" s="118">
        <v>1</v>
      </c>
      <c r="X263" s="118">
        <v>1</v>
      </c>
      <c r="Y263" s="118" t="s">
        <v>140</v>
      </c>
      <c r="Z263" s="118">
        <v>1</v>
      </c>
      <c r="AA263" s="118">
        <v>1</v>
      </c>
      <c r="AB263" s="118">
        <v>1</v>
      </c>
      <c r="AC263" s="118">
        <v>1</v>
      </c>
      <c r="AD263" s="118">
        <v>1</v>
      </c>
      <c r="AE263" s="118">
        <v>1</v>
      </c>
      <c r="AF263" s="118" t="s">
        <v>140</v>
      </c>
      <c r="AG263" s="118">
        <v>1</v>
      </c>
      <c r="AH263" s="118">
        <v>1</v>
      </c>
      <c r="AI263" s="118">
        <v>1</v>
      </c>
      <c r="AJ263" s="118">
        <v>1</v>
      </c>
      <c r="AK263" s="118">
        <v>1</v>
      </c>
      <c r="AL263" s="118">
        <v>1</v>
      </c>
      <c r="AM263" s="118">
        <v>1</v>
      </c>
      <c r="AN263" s="118">
        <v>1</v>
      </c>
      <c r="AO263" s="118" t="s">
        <v>566</v>
      </c>
    </row>
    <row r="264" spans="1:41" hidden="1" x14ac:dyDescent="0.2">
      <c r="A264" s="13">
        <f t="shared" si="10"/>
        <v>4</v>
      </c>
      <c r="B264" s="13">
        <f t="shared" si="11"/>
        <v>1</v>
      </c>
      <c r="C264" s="13" t="str">
        <f>VLOOKUP(B264,Correspondance!$D$3:$E$14,2,FALSE)</f>
        <v>Janvier</v>
      </c>
      <c r="D264" s="15" t="str">
        <f>VLOOKUP(G264,Correspondance!$A$3:$B$11,2,FALSE)</f>
        <v>PHONE</v>
      </c>
      <c r="E264" s="115" t="s">
        <v>610</v>
      </c>
      <c r="F264" s="116" t="s">
        <v>169</v>
      </c>
      <c r="G264" s="117" t="s">
        <v>255</v>
      </c>
      <c r="H264" s="118" t="s">
        <v>356</v>
      </c>
      <c r="I264" s="118" t="s">
        <v>369</v>
      </c>
      <c r="J264" s="119" t="s">
        <v>730</v>
      </c>
      <c r="K264" s="120">
        <v>100</v>
      </c>
      <c r="L264" s="118" t="s">
        <v>758</v>
      </c>
      <c r="M264" s="118" t="s">
        <v>365</v>
      </c>
      <c r="N264" s="118" t="s">
        <v>46</v>
      </c>
      <c r="O264" s="118" t="s">
        <v>74</v>
      </c>
      <c r="P264" s="118" t="s">
        <v>507</v>
      </c>
      <c r="Q264" s="118" t="s">
        <v>49</v>
      </c>
      <c r="R264" s="118">
        <v>1</v>
      </c>
      <c r="S264" s="118">
        <v>1</v>
      </c>
      <c r="T264" s="118">
        <v>1</v>
      </c>
      <c r="U264" s="118">
        <v>1</v>
      </c>
      <c r="V264" s="118">
        <v>1</v>
      </c>
      <c r="W264" s="118">
        <v>1</v>
      </c>
      <c r="X264" s="118">
        <v>1</v>
      </c>
      <c r="Y264" s="118" t="s">
        <v>140</v>
      </c>
      <c r="Z264" s="118">
        <v>1</v>
      </c>
      <c r="AA264" s="118">
        <v>0</v>
      </c>
      <c r="AB264" s="118">
        <v>1</v>
      </c>
      <c r="AC264" s="118">
        <v>1</v>
      </c>
      <c r="AD264" s="118">
        <v>1</v>
      </c>
      <c r="AE264" s="118">
        <v>1</v>
      </c>
      <c r="AF264" s="118" t="s">
        <v>140</v>
      </c>
      <c r="AG264" s="118">
        <v>1</v>
      </c>
      <c r="AH264" s="118">
        <v>1</v>
      </c>
      <c r="AI264" s="118">
        <v>1</v>
      </c>
      <c r="AJ264" s="118">
        <v>1</v>
      </c>
      <c r="AK264" s="118">
        <v>1</v>
      </c>
      <c r="AL264" s="118" t="s">
        <v>140</v>
      </c>
      <c r="AM264" s="118" t="s">
        <v>140</v>
      </c>
      <c r="AN264" s="118" t="s">
        <v>140</v>
      </c>
      <c r="AO264" s="118" t="s">
        <v>566</v>
      </c>
    </row>
    <row r="265" spans="1:41" ht="25.5" hidden="1" x14ac:dyDescent="0.2">
      <c r="A265" s="13">
        <f t="shared" si="10"/>
        <v>4</v>
      </c>
      <c r="B265" s="13">
        <f t="shared" si="11"/>
        <v>1</v>
      </c>
      <c r="C265" s="13" t="str">
        <f>VLOOKUP(B265,Correspondance!$D$3:$E$14,2,FALSE)</f>
        <v>Janvier</v>
      </c>
      <c r="D265" s="15" t="str">
        <f>VLOOKUP(G265,Correspondance!$A$3:$B$11,2,FALSE)</f>
        <v>PHONE</v>
      </c>
      <c r="E265" s="115" t="s">
        <v>610</v>
      </c>
      <c r="F265" s="116" t="s">
        <v>169</v>
      </c>
      <c r="G265" s="117" t="s">
        <v>255</v>
      </c>
      <c r="H265" s="118" t="s">
        <v>1332</v>
      </c>
      <c r="I265" s="118" t="s">
        <v>260</v>
      </c>
      <c r="J265" s="119" t="s">
        <v>57</v>
      </c>
      <c r="K265" s="120">
        <v>98</v>
      </c>
      <c r="L265" s="118" t="s">
        <v>759</v>
      </c>
      <c r="M265" s="118" t="s">
        <v>174</v>
      </c>
      <c r="N265" s="118" t="s">
        <v>46</v>
      </c>
      <c r="O265" s="118" t="s">
        <v>74</v>
      </c>
      <c r="P265" s="118" t="s">
        <v>760</v>
      </c>
      <c r="Q265" s="118" t="s">
        <v>49</v>
      </c>
      <c r="R265" s="118">
        <v>1</v>
      </c>
      <c r="S265" s="118">
        <v>1</v>
      </c>
      <c r="T265" s="118">
        <v>1</v>
      </c>
      <c r="U265" s="118">
        <v>1</v>
      </c>
      <c r="V265" s="118">
        <v>1</v>
      </c>
      <c r="W265" s="118">
        <v>1</v>
      </c>
      <c r="X265" s="118">
        <v>1</v>
      </c>
      <c r="Y265" s="118" t="s">
        <v>140</v>
      </c>
      <c r="Z265" s="118">
        <v>1</v>
      </c>
      <c r="AA265" s="118">
        <v>1</v>
      </c>
      <c r="AB265" s="118">
        <v>1</v>
      </c>
      <c r="AC265" s="118">
        <v>1</v>
      </c>
      <c r="AD265" s="118">
        <v>1</v>
      </c>
      <c r="AE265" s="118">
        <v>1</v>
      </c>
      <c r="AF265" s="118" t="s">
        <v>140</v>
      </c>
      <c r="AG265" s="118">
        <v>1</v>
      </c>
      <c r="AH265" s="118">
        <v>0</v>
      </c>
      <c r="AI265" s="118">
        <v>1</v>
      </c>
      <c r="AJ265" s="118">
        <v>1</v>
      </c>
      <c r="AK265" s="118">
        <v>1</v>
      </c>
      <c r="AL265" s="118">
        <v>1</v>
      </c>
      <c r="AM265" s="118">
        <v>1</v>
      </c>
      <c r="AN265" s="118">
        <v>1</v>
      </c>
      <c r="AO265" s="118" t="s">
        <v>615</v>
      </c>
    </row>
    <row r="266" spans="1:41" x14ac:dyDescent="0.2">
      <c r="A266" s="13">
        <f t="shared" si="10"/>
        <v>4</v>
      </c>
      <c r="B266" s="13">
        <f t="shared" si="11"/>
        <v>1</v>
      </c>
      <c r="C266" s="13" t="str">
        <f>VLOOKUP(B266,Correspondance!$D$3:$E$14,2,FALSE)</f>
        <v>Janvier</v>
      </c>
      <c r="D266" s="15" t="str">
        <f>VLOOKUP(G266,Correspondance!$A$3:$B$11,2,FALSE)</f>
        <v>PHONE</v>
      </c>
      <c r="E266" s="115" t="s">
        <v>610</v>
      </c>
      <c r="F266" s="116" t="s">
        <v>169</v>
      </c>
      <c r="G266" s="117" t="s">
        <v>255</v>
      </c>
      <c r="H266" s="118" t="s">
        <v>266</v>
      </c>
      <c r="I266" s="118" t="s">
        <v>267</v>
      </c>
      <c r="J266" s="119" t="s">
        <v>57</v>
      </c>
      <c r="K266" s="120">
        <v>77</v>
      </c>
      <c r="L266" s="118" t="s">
        <v>761</v>
      </c>
      <c r="M266" s="118" t="s">
        <v>215</v>
      </c>
      <c r="N266" s="118" t="s">
        <v>46</v>
      </c>
      <c r="O266" s="118" t="s">
        <v>47</v>
      </c>
      <c r="P266" s="118" t="s">
        <v>762</v>
      </c>
      <c r="Q266" s="118" t="s">
        <v>49</v>
      </c>
      <c r="R266" s="118">
        <v>1</v>
      </c>
      <c r="S266" s="118">
        <v>1</v>
      </c>
      <c r="T266" s="118">
        <v>1</v>
      </c>
      <c r="U266" s="118">
        <v>1</v>
      </c>
      <c r="V266" s="118">
        <v>1</v>
      </c>
      <c r="W266" s="118">
        <v>0</v>
      </c>
      <c r="X266" s="118">
        <v>1</v>
      </c>
      <c r="Y266" s="118" t="s">
        <v>140</v>
      </c>
      <c r="Z266" s="118">
        <v>1</v>
      </c>
      <c r="AA266" s="118">
        <v>1</v>
      </c>
      <c r="AB266" s="118">
        <v>1</v>
      </c>
      <c r="AC266" s="118">
        <v>0</v>
      </c>
      <c r="AD266" s="118">
        <v>1</v>
      </c>
      <c r="AE266" s="118">
        <v>1</v>
      </c>
      <c r="AF266" s="118" t="s">
        <v>140</v>
      </c>
      <c r="AG266" s="118">
        <v>1</v>
      </c>
      <c r="AH266" s="118">
        <v>0</v>
      </c>
      <c r="AI266" s="118">
        <v>1</v>
      </c>
      <c r="AJ266" s="118">
        <v>1</v>
      </c>
      <c r="AK266" s="118">
        <v>1</v>
      </c>
      <c r="AL266" s="118">
        <v>1</v>
      </c>
      <c r="AM266" s="118">
        <v>1</v>
      </c>
      <c r="AN266" s="118">
        <v>1</v>
      </c>
      <c r="AO266" s="118" t="s">
        <v>1071</v>
      </c>
    </row>
    <row r="267" spans="1:41" hidden="1" x14ac:dyDescent="0.2">
      <c r="A267" s="13">
        <f t="shared" si="10"/>
        <v>4</v>
      </c>
      <c r="B267" s="13">
        <f t="shared" si="11"/>
        <v>1</v>
      </c>
      <c r="C267" s="13" t="str">
        <f>VLOOKUP(B267,Correspondance!$D$3:$E$14,2,FALSE)</f>
        <v>Janvier</v>
      </c>
      <c r="D267" s="15" t="str">
        <f>VLOOKUP(G267,Correspondance!$A$3:$B$11,2,FALSE)</f>
        <v>PHONE</v>
      </c>
      <c r="E267" s="115" t="s">
        <v>610</v>
      </c>
      <c r="F267" s="116" t="s">
        <v>169</v>
      </c>
      <c r="G267" s="117" t="s">
        <v>255</v>
      </c>
      <c r="H267" s="118" t="s">
        <v>266</v>
      </c>
      <c r="I267" s="118" t="s">
        <v>267</v>
      </c>
      <c r="J267" s="119" t="s">
        <v>57</v>
      </c>
      <c r="K267" s="120">
        <v>100</v>
      </c>
      <c r="L267" s="118" t="s">
        <v>763</v>
      </c>
      <c r="M267" s="118" t="s">
        <v>174</v>
      </c>
      <c r="N267" s="118" t="s">
        <v>46</v>
      </c>
      <c r="O267" s="118" t="s">
        <v>74</v>
      </c>
      <c r="P267" s="118" t="s">
        <v>757</v>
      </c>
      <c r="Q267" s="118" t="s">
        <v>49</v>
      </c>
      <c r="R267" s="118">
        <v>1</v>
      </c>
      <c r="S267" s="118">
        <v>1</v>
      </c>
      <c r="T267" s="118">
        <v>1</v>
      </c>
      <c r="U267" s="118">
        <v>1</v>
      </c>
      <c r="V267" s="118">
        <v>1</v>
      </c>
      <c r="W267" s="118">
        <v>1</v>
      </c>
      <c r="X267" s="118">
        <v>1</v>
      </c>
      <c r="Y267" s="118" t="s">
        <v>140</v>
      </c>
      <c r="Z267" s="118">
        <v>1</v>
      </c>
      <c r="AA267" s="118">
        <v>1</v>
      </c>
      <c r="AB267" s="118">
        <v>1</v>
      </c>
      <c r="AC267" s="118">
        <v>1</v>
      </c>
      <c r="AD267" s="118">
        <v>1</v>
      </c>
      <c r="AE267" s="118">
        <v>1</v>
      </c>
      <c r="AF267" s="118" t="s">
        <v>140</v>
      </c>
      <c r="AG267" s="118">
        <v>1</v>
      </c>
      <c r="AH267" s="118">
        <v>1</v>
      </c>
      <c r="AI267" s="118">
        <v>1</v>
      </c>
      <c r="AJ267" s="118">
        <v>1</v>
      </c>
      <c r="AK267" s="118">
        <v>1</v>
      </c>
      <c r="AL267" s="118">
        <v>1</v>
      </c>
      <c r="AM267" s="118">
        <v>1</v>
      </c>
      <c r="AN267" s="118">
        <v>1</v>
      </c>
      <c r="AO267" s="118" t="s">
        <v>566</v>
      </c>
    </row>
    <row r="268" spans="1:41" hidden="1" x14ac:dyDescent="0.2">
      <c r="A268" s="13">
        <f t="shared" si="10"/>
        <v>4</v>
      </c>
      <c r="B268" s="13">
        <f t="shared" si="11"/>
        <v>1</v>
      </c>
      <c r="C268" s="13" t="str">
        <f>VLOOKUP(B268,Correspondance!$D$3:$E$14,2,FALSE)</f>
        <v>Janvier</v>
      </c>
      <c r="D268" s="15" t="str">
        <f>VLOOKUP(G268,Correspondance!$A$3:$B$11,2,FALSE)</f>
        <v>PHONE</v>
      </c>
      <c r="E268" s="115" t="s">
        <v>610</v>
      </c>
      <c r="F268" s="116" t="s">
        <v>169</v>
      </c>
      <c r="G268" s="117" t="s">
        <v>255</v>
      </c>
      <c r="H268" s="118" t="s">
        <v>266</v>
      </c>
      <c r="I268" s="118" t="s">
        <v>267</v>
      </c>
      <c r="J268" s="119" t="s">
        <v>57</v>
      </c>
      <c r="K268" s="120">
        <v>100</v>
      </c>
      <c r="L268" s="118" t="s">
        <v>764</v>
      </c>
      <c r="M268" s="118" t="s">
        <v>174</v>
      </c>
      <c r="N268" s="118" t="s">
        <v>46</v>
      </c>
      <c r="O268" s="118" t="s">
        <v>74</v>
      </c>
      <c r="P268" s="118" t="s">
        <v>678</v>
      </c>
      <c r="Q268" s="118" t="s">
        <v>49</v>
      </c>
      <c r="R268" s="118">
        <v>1</v>
      </c>
      <c r="S268" s="118">
        <v>1</v>
      </c>
      <c r="T268" s="118">
        <v>1</v>
      </c>
      <c r="U268" s="118">
        <v>1</v>
      </c>
      <c r="V268" s="118">
        <v>1</v>
      </c>
      <c r="W268" s="118">
        <v>1</v>
      </c>
      <c r="X268" s="118">
        <v>1</v>
      </c>
      <c r="Y268" s="118" t="s">
        <v>140</v>
      </c>
      <c r="Z268" s="118">
        <v>1</v>
      </c>
      <c r="AA268" s="118">
        <v>1</v>
      </c>
      <c r="AB268" s="118">
        <v>1</v>
      </c>
      <c r="AC268" s="118">
        <v>1</v>
      </c>
      <c r="AD268" s="118">
        <v>1</v>
      </c>
      <c r="AE268" s="118">
        <v>1</v>
      </c>
      <c r="AF268" s="118" t="s">
        <v>140</v>
      </c>
      <c r="AG268" s="118">
        <v>1</v>
      </c>
      <c r="AH268" s="118">
        <v>1</v>
      </c>
      <c r="AI268" s="118">
        <v>1</v>
      </c>
      <c r="AJ268" s="118">
        <v>1</v>
      </c>
      <c r="AK268" s="118">
        <v>1</v>
      </c>
      <c r="AL268" s="118">
        <v>1</v>
      </c>
      <c r="AM268" s="118">
        <v>1</v>
      </c>
      <c r="AN268" s="118">
        <v>1</v>
      </c>
      <c r="AO268" s="118" t="s">
        <v>566</v>
      </c>
    </row>
    <row r="269" spans="1:41" hidden="1" x14ac:dyDescent="0.2">
      <c r="A269" s="13">
        <f t="shared" si="10"/>
        <v>4</v>
      </c>
      <c r="B269" s="13">
        <f t="shared" si="11"/>
        <v>1</v>
      </c>
      <c r="C269" s="13" t="str">
        <f>VLOOKUP(B269,Correspondance!$D$3:$E$14,2,FALSE)</f>
        <v>Janvier</v>
      </c>
      <c r="D269" s="15" t="str">
        <f>VLOOKUP(G269,Correspondance!$A$3:$B$11,2,FALSE)</f>
        <v>PHONE</v>
      </c>
      <c r="E269" s="115" t="s">
        <v>610</v>
      </c>
      <c r="F269" s="116" t="s">
        <v>169</v>
      </c>
      <c r="G269" s="117" t="s">
        <v>255</v>
      </c>
      <c r="H269" s="118" t="s">
        <v>266</v>
      </c>
      <c r="I269" s="118" t="s">
        <v>267</v>
      </c>
      <c r="J269" s="119" t="s">
        <v>57</v>
      </c>
      <c r="K269" s="120">
        <v>100</v>
      </c>
      <c r="L269" s="118" t="s">
        <v>765</v>
      </c>
      <c r="M269" s="118" t="s">
        <v>766</v>
      </c>
      <c r="N269" s="118" t="s">
        <v>46</v>
      </c>
      <c r="O269" s="118" t="s">
        <v>47</v>
      </c>
      <c r="P269" s="118" t="s">
        <v>767</v>
      </c>
      <c r="Q269" s="118" t="s">
        <v>49</v>
      </c>
      <c r="R269" s="118">
        <v>1</v>
      </c>
      <c r="S269" s="118">
        <v>1</v>
      </c>
      <c r="T269" s="118">
        <v>1</v>
      </c>
      <c r="U269" s="118">
        <v>1</v>
      </c>
      <c r="V269" s="118">
        <v>1</v>
      </c>
      <c r="W269" s="118">
        <v>1</v>
      </c>
      <c r="X269" s="118">
        <v>1</v>
      </c>
      <c r="Y269" s="118" t="s">
        <v>140</v>
      </c>
      <c r="Z269" s="118">
        <v>1</v>
      </c>
      <c r="AA269" s="118">
        <v>1</v>
      </c>
      <c r="AB269" s="118">
        <v>1</v>
      </c>
      <c r="AC269" s="118">
        <v>1</v>
      </c>
      <c r="AD269" s="118">
        <v>1</v>
      </c>
      <c r="AE269" s="118">
        <v>1</v>
      </c>
      <c r="AF269" s="118" t="s">
        <v>140</v>
      </c>
      <c r="AG269" s="118">
        <v>1</v>
      </c>
      <c r="AH269" s="118">
        <v>1</v>
      </c>
      <c r="AI269" s="118">
        <v>1</v>
      </c>
      <c r="AJ269" s="118">
        <v>1</v>
      </c>
      <c r="AK269" s="118">
        <v>1</v>
      </c>
      <c r="AL269" s="118">
        <v>1</v>
      </c>
      <c r="AM269" s="118">
        <v>1</v>
      </c>
      <c r="AN269" s="118">
        <v>1</v>
      </c>
      <c r="AO269" s="118" t="s">
        <v>566</v>
      </c>
    </row>
    <row r="270" spans="1:41" hidden="1" x14ac:dyDescent="0.2">
      <c r="A270" s="13">
        <f t="shared" si="10"/>
        <v>4</v>
      </c>
      <c r="B270" s="13">
        <f t="shared" si="11"/>
        <v>1</v>
      </c>
      <c r="C270" s="13" t="str">
        <f>VLOOKUP(B270,Correspondance!$D$3:$E$14,2,FALSE)</f>
        <v>Janvier</v>
      </c>
      <c r="D270" s="15" t="str">
        <f>VLOOKUP(G270,Correspondance!$A$3:$B$11,2,FALSE)</f>
        <v>PHONE</v>
      </c>
      <c r="E270" s="115" t="s">
        <v>610</v>
      </c>
      <c r="F270" s="116" t="s">
        <v>169</v>
      </c>
      <c r="G270" s="117" t="s">
        <v>255</v>
      </c>
      <c r="H270" s="118" t="s">
        <v>272</v>
      </c>
      <c r="I270" s="118" t="s">
        <v>273</v>
      </c>
      <c r="J270" s="119" t="s">
        <v>57</v>
      </c>
      <c r="K270" s="120">
        <v>95</v>
      </c>
      <c r="L270" s="118" t="s">
        <v>768</v>
      </c>
      <c r="M270" s="118" t="s">
        <v>174</v>
      </c>
      <c r="N270" s="118" t="s">
        <v>46</v>
      </c>
      <c r="O270" s="118" t="s">
        <v>74</v>
      </c>
      <c r="P270" s="118" t="s">
        <v>769</v>
      </c>
      <c r="Q270" s="118" t="s">
        <v>49</v>
      </c>
      <c r="R270" s="118">
        <v>1</v>
      </c>
      <c r="S270" s="118">
        <v>1</v>
      </c>
      <c r="T270" s="118">
        <v>1</v>
      </c>
      <c r="U270" s="118">
        <v>1</v>
      </c>
      <c r="V270" s="118">
        <v>1</v>
      </c>
      <c r="W270" s="118">
        <v>1</v>
      </c>
      <c r="X270" s="118">
        <v>1</v>
      </c>
      <c r="Y270" s="118" t="s">
        <v>140</v>
      </c>
      <c r="Z270" s="118">
        <v>1</v>
      </c>
      <c r="AA270" s="118">
        <v>1</v>
      </c>
      <c r="AB270" s="118">
        <v>1</v>
      </c>
      <c r="AC270" s="118">
        <v>1</v>
      </c>
      <c r="AD270" s="118">
        <v>1</v>
      </c>
      <c r="AE270" s="118">
        <v>0</v>
      </c>
      <c r="AF270" s="118" t="s">
        <v>140</v>
      </c>
      <c r="AG270" s="118">
        <v>1</v>
      </c>
      <c r="AH270" s="118">
        <v>1</v>
      </c>
      <c r="AI270" s="118">
        <v>1</v>
      </c>
      <c r="AJ270" s="118">
        <v>1</v>
      </c>
      <c r="AK270" s="118">
        <v>1</v>
      </c>
      <c r="AL270" s="118">
        <v>1</v>
      </c>
      <c r="AM270" s="118">
        <v>1</v>
      </c>
      <c r="AN270" s="118">
        <v>1</v>
      </c>
      <c r="AO270" s="118" t="s">
        <v>1085</v>
      </c>
    </row>
    <row r="271" spans="1:41" ht="25.5" x14ac:dyDescent="0.2">
      <c r="A271" s="13">
        <f t="shared" si="10"/>
        <v>4</v>
      </c>
      <c r="B271" s="13">
        <f t="shared" si="11"/>
        <v>1</v>
      </c>
      <c r="C271" s="13" t="str">
        <f>VLOOKUP(B271,Correspondance!$D$3:$E$14,2,FALSE)</f>
        <v>Janvier</v>
      </c>
      <c r="D271" s="15" t="str">
        <f>VLOOKUP(G271,Correspondance!$A$3:$B$11,2,FALSE)</f>
        <v>PHONE</v>
      </c>
      <c r="E271" s="115" t="s">
        <v>610</v>
      </c>
      <c r="F271" s="116" t="s">
        <v>169</v>
      </c>
      <c r="G271" s="117" t="s">
        <v>255</v>
      </c>
      <c r="H271" s="118" t="s">
        <v>522</v>
      </c>
      <c r="I271" s="118" t="s">
        <v>523</v>
      </c>
      <c r="J271" s="119" t="s">
        <v>57</v>
      </c>
      <c r="K271" s="120">
        <v>67</v>
      </c>
      <c r="L271" s="118" t="s">
        <v>770</v>
      </c>
      <c r="M271" s="118" t="s">
        <v>174</v>
      </c>
      <c r="N271" s="118" t="s">
        <v>46</v>
      </c>
      <c r="O271" s="118" t="s">
        <v>74</v>
      </c>
      <c r="P271" s="118" t="s">
        <v>771</v>
      </c>
      <c r="Q271" s="118" t="s">
        <v>49</v>
      </c>
      <c r="R271" s="118">
        <v>0</v>
      </c>
      <c r="S271" s="118">
        <v>1</v>
      </c>
      <c r="T271" s="118">
        <v>1</v>
      </c>
      <c r="U271" s="118">
        <v>1</v>
      </c>
      <c r="V271" s="118">
        <v>1</v>
      </c>
      <c r="W271" s="118">
        <v>0</v>
      </c>
      <c r="X271" s="118">
        <v>1</v>
      </c>
      <c r="Y271" s="118" t="s">
        <v>140</v>
      </c>
      <c r="Z271" s="118">
        <v>1</v>
      </c>
      <c r="AA271" s="118">
        <v>1</v>
      </c>
      <c r="AB271" s="118">
        <v>1</v>
      </c>
      <c r="AC271" s="118">
        <v>0</v>
      </c>
      <c r="AD271" s="118">
        <v>1</v>
      </c>
      <c r="AE271" s="118">
        <v>1</v>
      </c>
      <c r="AF271" s="118" t="s">
        <v>140</v>
      </c>
      <c r="AG271" s="118">
        <v>1</v>
      </c>
      <c r="AH271" s="118" t="s">
        <v>140</v>
      </c>
      <c r="AI271" s="118">
        <v>1</v>
      </c>
      <c r="AJ271" s="118">
        <v>1</v>
      </c>
      <c r="AK271" s="118">
        <v>1</v>
      </c>
      <c r="AL271" s="118" t="s">
        <v>140</v>
      </c>
      <c r="AM271" s="118" t="s">
        <v>140</v>
      </c>
      <c r="AN271" s="118" t="s">
        <v>140</v>
      </c>
      <c r="AO271" s="118" t="s">
        <v>566</v>
      </c>
    </row>
    <row r="272" spans="1:41" hidden="1" x14ac:dyDescent="0.2">
      <c r="A272" s="13">
        <f t="shared" si="10"/>
        <v>4</v>
      </c>
      <c r="B272" s="13">
        <f t="shared" si="11"/>
        <v>1</v>
      </c>
      <c r="C272" s="13" t="str">
        <f>VLOOKUP(B272,Correspondance!$D$3:$E$14,2,FALSE)</f>
        <v>Janvier</v>
      </c>
      <c r="D272" s="15" t="str">
        <f>VLOOKUP(G272,Correspondance!$A$3:$B$11,2,FALSE)</f>
        <v>PHONE</v>
      </c>
      <c r="E272" s="115" t="s">
        <v>772</v>
      </c>
      <c r="F272" s="116" t="s">
        <v>169</v>
      </c>
      <c r="G272" s="117" t="s">
        <v>359</v>
      </c>
      <c r="H272" s="118" t="s">
        <v>517</v>
      </c>
      <c r="I272" s="118" t="s">
        <v>518</v>
      </c>
      <c r="J272" s="119" t="s">
        <v>57</v>
      </c>
      <c r="K272" s="120">
        <v>100</v>
      </c>
      <c r="L272" s="118" t="s">
        <v>773</v>
      </c>
      <c r="M272" s="118" t="s">
        <v>174</v>
      </c>
      <c r="N272" s="118" t="s">
        <v>46</v>
      </c>
      <c r="O272" s="118" t="s">
        <v>175</v>
      </c>
      <c r="P272" s="118" t="s">
        <v>774</v>
      </c>
      <c r="Q272" s="118" t="s">
        <v>49</v>
      </c>
      <c r="R272" s="118">
        <v>1</v>
      </c>
      <c r="S272" s="118">
        <v>1</v>
      </c>
      <c r="T272" s="118">
        <v>1</v>
      </c>
      <c r="U272" s="118">
        <v>1</v>
      </c>
      <c r="V272" s="118">
        <v>1</v>
      </c>
      <c r="W272" s="118">
        <v>1</v>
      </c>
      <c r="X272" s="118">
        <v>1</v>
      </c>
      <c r="Y272" s="118" t="s">
        <v>140</v>
      </c>
      <c r="Z272" s="118">
        <v>1</v>
      </c>
      <c r="AA272" s="118">
        <v>1</v>
      </c>
      <c r="AB272" s="118">
        <v>1</v>
      </c>
      <c r="AC272" s="118">
        <v>1</v>
      </c>
      <c r="AD272" s="118">
        <v>1</v>
      </c>
      <c r="AE272" s="118">
        <v>1</v>
      </c>
      <c r="AF272" s="118" t="s">
        <v>140</v>
      </c>
      <c r="AG272" s="118">
        <v>1</v>
      </c>
      <c r="AH272" s="118" t="s">
        <v>140</v>
      </c>
      <c r="AI272" s="118">
        <v>1</v>
      </c>
      <c r="AJ272" s="118">
        <v>1</v>
      </c>
      <c r="AK272" s="118">
        <v>1</v>
      </c>
      <c r="AL272" s="118">
        <v>1</v>
      </c>
      <c r="AM272" s="118">
        <v>1</v>
      </c>
      <c r="AN272" s="118">
        <v>1</v>
      </c>
      <c r="AO272" s="118" t="s">
        <v>1085</v>
      </c>
    </row>
    <row r="273" spans="1:41" hidden="1" x14ac:dyDescent="0.2">
      <c r="A273" s="13">
        <f t="shared" si="10"/>
        <v>4</v>
      </c>
      <c r="B273" s="13">
        <f t="shared" si="11"/>
        <v>1</v>
      </c>
      <c r="C273" s="13" t="str">
        <f>VLOOKUP(B273,Correspondance!$D$3:$E$14,2,FALSE)</f>
        <v>Janvier</v>
      </c>
      <c r="D273" s="15" t="str">
        <f>VLOOKUP(G273,Correspondance!$A$3:$B$11,2,FALSE)</f>
        <v>PHONE</v>
      </c>
      <c r="E273" s="115" t="s">
        <v>772</v>
      </c>
      <c r="F273" s="116" t="s">
        <v>169</v>
      </c>
      <c r="G273" s="117" t="s">
        <v>359</v>
      </c>
      <c r="H273" s="118" t="s">
        <v>519</v>
      </c>
      <c r="I273" s="118" t="s">
        <v>520</v>
      </c>
      <c r="J273" s="119" t="s">
        <v>57</v>
      </c>
      <c r="K273" s="120">
        <v>82.4</v>
      </c>
      <c r="L273" s="118" t="s">
        <v>775</v>
      </c>
      <c r="M273" s="118" t="s">
        <v>174</v>
      </c>
      <c r="N273" s="118" t="s">
        <v>46</v>
      </c>
      <c r="O273" s="118" t="s">
        <v>47</v>
      </c>
      <c r="P273" s="118" t="s">
        <v>1187</v>
      </c>
      <c r="Q273" s="118" t="s">
        <v>49</v>
      </c>
      <c r="R273" s="118">
        <v>1</v>
      </c>
      <c r="S273" s="118">
        <v>0</v>
      </c>
      <c r="T273" s="118">
        <v>1</v>
      </c>
      <c r="U273" s="118">
        <v>1</v>
      </c>
      <c r="V273" s="118">
        <v>1</v>
      </c>
      <c r="W273" s="118">
        <v>1</v>
      </c>
      <c r="X273" s="118">
        <v>1</v>
      </c>
      <c r="Y273" s="118" t="s">
        <v>140</v>
      </c>
      <c r="Z273" s="118">
        <v>1</v>
      </c>
      <c r="AA273" s="118">
        <v>1</v>
      </c>
      <c r="AB273" s="118">
        <v>1</v>
      </c>
      <c r="AC273" s="118">
        <v>1</v>
      </c>
      <c r="AD273" s="118">
        <v>0</v>
      </c>
      <c r="AE273" s="118">
        <v>1</v>
      </c>
      <c r="AF273" s="118" t="s">
        <v>140</v>
      </c>
      <c r="AG273" s="118">
        <v>1</v>
      </c>
      <c r="AH273" s="118">
        <v>1</v>
      </c>
      <c r="AI273" s="118">
        <v>1</v>
      </c>
      <c r="AJ273" s="118">
        <v>1</v>
      </c>
      <c r="AK273" s="118">
        <v>1</v>
      </c>
      <c r="AL273" s="118" t="s">
        <v>140</v>
      </c>
      <c r="AM273" s="118" t="s">
        <v>140</v>
      </c>
      <c r="AN273" s="118" t="s">
        <v>140</v>
      </c>
      <c r="AO273" s="118" t="s">
        <v>1085</v>
      </c>
    </row>
    <row r="274" spans="1:41" hidden="1" x14ac:dyDescent="0.2">
      <c r="A274" s="13">
        <f t="shared" si="10"/>
        <v>4</v>
      </c>
      <c r="B274" s="13">
        <f t="shared" si="11"/>
        <v>1</v>
      </c>
      <c r="C274" s="13" t="str">
        <f>VLOOKUP(B274,Correspondance!$D$3:$E$14,2,FALSE)</f>
        <v>Janvier</v>
      </c>
      <c r="D274" s="15" t="str">
        <f>VLOOKUP(G274,Correspondance!$A$3:$B$11,2,FALSE)</f>
        <v>PHONE</v>
      </c>
      <c r="E274" s="115" t="s">
        <v>772</v>
      </c>
      <c r="F274" s="116" t="s">
        <v>169</v>
      </c>
      <c r="G274" s="117" t="s">
        <v>359</v>
      </c>
      <c r="H274" s="118" t="s">
        <v>519</v>
      </c>
      <c r="I274" s="118" t="s">
        <v>520</v>
      </c>
      <c r="J274" s="119" t="s">
        <v>57</v>
      </c>
      <c r="K274" s="120">
        <v>100</v>
      </c>
      <c r="L274" s="118" t="s">
        <v>777</v>
      </c>
      <c r="M274" s="118" t="s">
        <v>174</v>
      </c>
      <c r="N274" s="118" t="s">
        <v>46</v>
      </c>
      <c r="O274" s="118" t="s">
        <v>175</v>
      </c>
      <c r="P274" s="118" t="s">
        <v>678</v>
      </c>
      <c r="Q274" s="118" t="s">
        <v>49</v>
      </c>
      <c r="R274" s="118">
        <v>1</v>
      </c>
      <c r="S274" s="118">
        <v>1</v>
      </c>
      <c r="T274" s="118">
        <v>1</v>
      </c>
      <c r="U274" s="118">
        <v>1</v>
      </c>
      <c r="V274" s="118">
        <v>1</v>
      </c>
      <c r="W274" s="118">
        <v>1</v>
      </c>
      <c r="X274" s="118">
        <v>1</v>
      </c>
      <c r="Y274" s="118" t="s">
        <v>140</v>
      </c>
      <c r="Z274" s="118">
        <v>1</v>
      </c>
      <c r="AA274" s="118">
        <v>1</v>
      </c>
      <c r="AB274" s="118">
        <v>1</v>
      </c>
      <c r="AC274" s="118">
        <v>1</v>
      </c>
      <c r="AD274" s="118">
        <v>1</v>
      </c>
      <c r="AE274" s="118">
        <v>1</v>
      </c>
      <c r="AF274" s="118" t="s">
        <v>140</v>
      </c>
      <c r="AG274" s="118" t="s">
        <v>140</v>
      </c>
      <c r="AH274" s="118" t="s">
        <v>140</v>
      </c>
      <c r="AI274" s="118">
        <v>1</v>
      </c>
      <c r="AJ274" s="118" t="s">
        <v>140</v>
      </c>
      <c r="AK274" s="118">
        <v>1</v>
      </c>
      <c r="AL274" s="118">
        <v>1</v>
      </c>
      <c r="AM274" s="118" t="s">
        <v>140</v>
      </c>
      <c r="AN274" s="118">
        <v>1</v>
      </c>
      <c r="AO274" s="118" t="s">
        <v>1085</v>
      </c>
    </row>
    <row r="275" spans="1:41" hidden="1" x14ac:dyDescent="0.2">
      <c r="A275" s="13">
        <f t="shared" si="10"/>
        <v>4</v>
      </c>
      <c r="B275" s="13">
        <f t="shared" si="11"/>
        <v>1</v>
      </c>
      <c r="C275" s="13" t="str">
        <f>VLOOKUP(B275,Correspondance!$D$3:$E$14,2,FALSE)</f>
        <v>Janvier</v>
      </c>
      <c r="D275" s="15" t="str">
        <f>VLOOKUP(G275,Correspondance!$A$3:$B$11,2,FALSE)</f>
        <v>PHONE</v>
      </c>
      <c r="E275" s="115" t="s">
        <v>772</v>
      </c>
      <c r="F275" s="116" t="s">
        <v>169</v>
      </c>
      <c r="G275" s="117" t="s">
        <v>359</v>
      </c>
      <c r="H275" s="118" t="s">
        <v>519</v>
      </c>
      <c r="I275" s="118" t="s">
        <v>520</v>
      </c>
      <c r="J275" s="119" t="s">
        <v>57</v>
      </c>
      <c r="K275" s="120">
        <v>100</v>
      </c>
      <c r="L275" s="118" t="s">
        <v>778</v>
      </c>
      <c r="M275" s="118" t="s">
        <v>190</v>
      </c>
      <c r="N275" s="118" t="s">
        <v>46</v>
      </c>
      <c r="O275" s="118" t="s">
        <v>47</v>
      </c>
      <c r="P275" s="118" t="s">
        <v>779</v>
      </c>
      <c r="Q275" s="118" t="s">
        <v>49</v>
      </c>
      <c r="R275" s="118">
        <v>1</v>
      </c>
      <c r="S275" s="118">
        <v>1</v>
      </c>
      <c r="T275" s="118">
        <v>1</v>
      </c>
      <c r="U275" s="118">
        <v>1</v>
      </c>
      <c r="V275" s="118">
        <v>1</v>
      </c>
      <c r="W275" s="118">
        <v>1</v>
      </c>
      <c r="X275" s="118">
        <v>1</v>
      </c>
      <c r="Y275" s="118" t="s">
        <v>140</v>
      </c>
      <c r="Z275" s="118">
        <v>1</v>
      </c>
      <c r="AA275" s="118">
        <v>1</v>
      </c>
      <c r="AB275" s="118">
        <v>1</v>
      </c>
      <c r="AC275" s="118">
        <v>1</v>
      </c>
      <c r="AD275" s="118">
        <v>1</v>
      </c>
      <c r="AE275" s="118">
        <v>1</v>
      </c>
      <c r="AF275" s="118" t="s">
        <v>140</v>
      </c>
      <c r="AG275" s="118">
        <v>1</v>
      </c>
      <c r="AH275" s="118">
        <v>1</v>
      </c>
      <c r="AI275" s="118">
        <v>1</v>
      </c>
      <c r="AJ275" s="118">
        <v>1</v>
      </c>
      <c r="AK275" s="118">
        <v>1</v>
      </c>
      <c r="AL275" s="118">
        <v>1</v>
      </c>
      <c r="AM275" s="118">
        <v>1</v>
      </c>
      <c r="AN275" s="118">
        <v>1</v>
      </c>
      <c r="AO275" s="118" t="s">
        <v>1085</v>
      </c>
    </row>
    <row r="276" spans="1:41" x14ac:dyDescent="0.2">
      <c r="A276" s="13">
        <f t="shared" si="10"/>
        <v>4</v>
      </c>
      <c r="B276" s="13">
        <f t="shared" si="11"/>
        <v>1</v>
      </c>
      <c r="C276" s="13" t="str">
        <f>VLOOKUP(B276,Correspondance!$D$3:$E$14,2,FALSE)</f>
        <v>Janvier</v>
      </c>
      <c r="D276" s="15" t="str">
        <f>VLOOKUP(G276,Correspondance!$A$3:$B$11,2,FALSE)</f>
        <v>PHONE</v>
      </c>
      <c r="E276" s="115" t="s">
        <v>772</v>
      </c>
      <c r="F276" s="116" t="s">
        <v>169</v>
      </c>
      <c r="G276" s="117" t="s">
        <v>359</v>
      </c>
      <c r="H276" s="118" t="s">
        <v>1334</v>
      </c>
      <c r="I276" s="118" t="s">
        <v>511</v>
      </c>
      <c r="J276" s="119" t="s">
        <v>57</v>
      </c>
      <c r="K276" s="120">
        <v>68.656716417910445</v>
      </c>
      <c r="L276" s="118" t="s">
        <v>780</v>
      </c>
      <c r="M276" s="118" t="s">
        <v>174</v>
      </c>
      <c r="N276" s="118" t="s">
        <v>46</v>
      </c>
      <c r="O276" s="118" t="s">
        <v>74</v>
      </c>
      <c r="P276" s="118" t="s">
        <v>361</v>
      </c>
      <c r="Q276" s="118" t="s">
        <v>49</v>
      </c>
      <c r="R276" s="118">
        <v>1</v>
      </c>
      <c r="S276" s="118" t="s">
        <v>140</v>
      </c>
      <c r="T276" s="118" t="s">
        <v>140</v>
      </c>
      <c r="U276" s="118">
        <v>1</v>
      </c>
      <c r="V276" s="118">
        <v>1</v>
      </c>
      <c r="W276" s="118">
        <v>1</v>
      </c>
      <c r="X276" s="118">
        <v>1</v>
      </c>
      <c r="Y276" s="118" t="s">
        <v>140</v>
      </c>
      <c r="Z276" s="118">
        <v>1</v>
      </c>
      <c r="AA276" s="118">
        <v>1</v>
      </c>
      <c r="AB276" s="118">
        <v>1</v>
      </c>
      <c r="AC276" s="118">
        <v>0</v>
      </c>
      <c r="AD276" s="118">
        <v>1</v>
      </c>
      <c r="AE276" s="118" t="s">
        <v>140</v>
      </c>
      <c r="AF276" s="118" t="s">
        <v>140</v>
      </c>
      <c r="AG276" s="118" t="s">
        <v>140</v>
      </c>
      <c r="AH276" s="118">
        <v>0</v>
      </c>
      <c r="AI276" s="118" t="s">
        <v>140</v>
      </c>
      <c r="AJ276" s="118" t="s">
        <v>140</v>
      </c>
      <c r="AK276" s="118" t="s">
        <v>140</v>
      </c>
      <c r="AL276" s="118" t="s">
        <v>140</v>
      </c>
      <c r="AM276" s="118" t="s">
        <v>140</v>
      </c>
      <c r="AN276" s="118" t="s">
        <v>140</v>
      </c>
      <c r="AO276" s="118" t="s">
        <v>1071</v>
      </c>
    </row>
    <row r="277" spans="1:41" hidden="1" x14ac:dyDescent="0.2">
      <c r="A277" s="13">
        <f t="shared" si="10"/>
        <v>4</v>
      </c>
      <c r="B277" s="13">
        <f t="shared" si="11"/>
        <v>1</v>
      </c>
      <c r="C277" s="13" t="str">
        <f>VLOOKUP(B277,Correspondance!$D$3:$E$14,2,FALSE)</f>
        <v>Janvier</v>
      </c>
      <c r="D277" s="15" t="str">
        <f>VLOOKUP(G277,Correspondance!$A$3:$B$11,2,FALSE)</f>
        <v>PHONE</v>
      </c>
      <c r="E277" s="115" t="s">
        <v>772</v>
      </c>
      <c r="F277" s="116" t="s">
        <v>169</v>
      </c>
      <c r="G277" s="117" t="s">
        <v>359</v>
      </c>
      <c r="H277" s="118" t="s">
        <v>1334</v>
      </c>
      <c r="I277" s="118" t="s">
        <v>511</v>
      </c>
      <c r="J277" s="119" t="s">
        <v>57</v>
      </c>
      <c r="K277" s="120">
        <v>95.6</v>
      </c>
      <c r="L277" s="118" t="s">
        <v>781</v>
      </c>
      <c r="M277" s="118" t="s">
        <v>237</v>
      </c>
      <c r="N277" s="118" t="s">
        <v>46</v>
      </c>
      <c r="O277" s="118" t="s">
        <v>175</v>
      </c>
      <c r="P277" s="118" t="s">
        <v>782</v>
      </c>
      <c r="Q277" s="118" t="s">
        <v>49</v>
      </c>
      <c r="R277" s="118">
        <v>1</v>
      </c>
      <c r="S277" s="118">
        <v>1</v>
      </c>
      <c r="T277" s="118">
        <v>1</v>
      </c>
      <c r="U277" s="118">
        <v>1</v>
      </c>
      <c r="V277" s="118">
        <v>1</v>
      </c>
      <c r="W277" s="118">
        <v>1</v>
      </c>
      <c r="X277" s="118">
        <v>1</v>
      </c>
      <c r="Y277" s="118" t="s">
        <v>140</v>
      </c>
      <c r="Z277" s="118">
        <v>1</v>
      </c>
      <c r="AA277" s="118">
        <v>1</v>
      </c>
      <c r="AB277" s="118">
        <v>1</v>
      </c>
      <c r="AC277" s="118">
        <v>1</v>
      </c>
      <c r="AD277" s="118">
        <v>1</v>
      </c>
      <c r="AE277" s="118">
        <v>1</v>
      </c>
      <c r="AF277" s="118" t="s">
        <v>140</v>
      </c>
      <c r="AG277" s="118">
        <v>1</v>
      </c>
      <c r="AH277" s="118">
        <v>1</v>
      </c>
      <c r="AI277" s="118">
        <v>0</v>
      </c>
      <c r="AJ277" s="118">
        <v>1</v>
      </c>
      <c r="AK277" s="118">
        <v>1</v>
      </c>
      <c r="AL277" s="118">
        <v>1</v>
      </c>
      <c r="AM277" s="118" t="s">
        <v>140</v>
      </c>
      <c r="AN277" s="118">
        <v>1</v>
      </c>
      <c r="AO277" s="118" t="s">
        <v>1085</v>
      </c>
    </row>
    <row r="278" spans="1:41" hidden="1" x14ac:dyDescent="0.2">
      <c r="A278" s="13">
        <f t="shared" si="10"/>
        <v>4</v>
      </c>
      <c r="B278" s="13">
        <f t="shared" si="11"/>
        <v>1</v>
      </c>
      <c r="C278" s="13" t="str">
        <f>VLOOKUP(B278,Correspondance!$D$3:$E$14,2,FALSE)</f>
        <v>Janvier</v>
      </c>
      <c r="D278" s="15" t="str">
        <f>VLOOKUP(G278,Correspondance!$A$3:$B$11,2,FALSE)</f>
        <v>PHONE</v>
      </c>
      <c r="E278" s="115" t="s">
        <v>772</v>
      </c>
      <c r="F278" s="116" t="s">
        <v>169</v>
      </c>
      <c r="G278" s="117" t="s">
        <v>255</v>
      </c>
      <c r="H278" s="118" t="s">
        <v>1331</v>
      </c>
      <c r="I278" s="118" t="s">
        <v>256</v>
      </c>
      <c r="J278" s="119" t="s">
        <v>57</v>
      </c>
      <c r="K278" s="120">
        <v>100</v>
      </c>
      <c r="L278" s="118" t="s">
        <v>783</v>
      </c>
      <c r="M278" s="118" t="s">
        <v>174</v>
      </c>
      <c r="N278" s="118" t="s">
        <v>46</v>
      </c>
      <c r="O278" s="118" t="s">
        <v>74</v>
      </c>
      <c r="P278" s="118" t="s">
        <v>577</v>
      </c>
      <c r="Q278" s="118" t="s">
        <v>49</v>
      </c>
      <c r="R278" s="118">
        <v>1</v>
      </c>
      <c r="S278" s="118">
        <v>1</v>
      </c>
      <c r="T278" s="118">
        <v>1</v>
      </c>
      <c r="U278" s="118">
        <v>1</v>
      </c>
      <c r="V278" s="118">
        <v>1</v>
      </c>
      <c r="W278" s="118">
        <v>1</v>
      </c>
      <c r="X278" s="118">
        <v>1</v>
      </c>
      <c r="Y278" s="118" t="s">
        <v>140</v>
      </c>
      <c r="Z278" s="118">
        <v>1</v>
      </c>
      <c r="AA278" s="118">
        <v>1</v>
      </c>
      <c r="AB278" s="118">
        <v>1</v>
      </c>
      <c r="AC278" s="118">
        <v>1</v>
      </c>
      <c r="AD278" s="118">
        <v>1</v>
      </c>
      <c r="AE278" s="118">
        <v>1</v>
      </c>
      <c r="AF278" s="118" t="s">
        <v>140</v>
      </c>
      <c r="AG278" s="118">
        <v>1</v>
      </c>
      <c r="AH278" s="118">
        <v>1</v>
      </c>
      <c r="AI278" s="118">
        <v>1</v>
      </c>
      <c r="AJ278" s="118">
        <v>1</v>
      </c>
      <c r="AK278" s="118">
        <v>1</v>
      </c>
      <c r="AL278" s="118">
        <v>1</v>
      </c>
      <c r="AM278" s="118">
        <v>1</v>
      </c>
      <c r="AN278" s="118">
        <v>1</v>
      </c>
      <c r="AO278" s="118" t="s">
        <v>1085</v>
      </c>
    </row>
    <row r="279" spans="1:41" hidden="1" x14ac:dyDescent="0.2">
      <c r="A279" s="13">
        <f t="shared" si="10"/>
        <v>4</v>
      </c>
      <c r="B279" s="13">
        <f t="shared" si="11"/>
        <v>1</v>
      </c>
      <c r="C279" s="13" t="str">
        <f>VLOOKUP(B279,Correspondance!$D$3:$E$14,2,FALSE)</f>
        <v>Janvier</v>
      </c>
      <c r="D279" s="15" t="str">
        <f>VLOOKUP(G279,Correspondance!$A$3:$B$11,2,FALSE)</f>
        <v>PHONE</v>
      </c>
      <c r="E279" s="115" t="s">
        <v>772</v>
      </c>
      <c r="F279" s="116" t="s">
        <v>169</v>
      </c>
      <c r="G279" s="117" t="s">
        <v>255</v>
      </c>
      <c r="H279" s="118" t="s">
        <v>1331</v>
      </c>
      <c r="I279" s="118" t="s">
        <v>256</v>
      </c>
      <c r="J279" s="119" t="s">
        <v>57</v>
      </c>
      <c r="K279" s="120">
        <v>100</v>
      </c>
      <c r="L279" s="118" t="s">
        <v>784</v>
      </c>
      <c r="M279" s="118" t="s">
        <v>785</v>
      </c>
      <c r="N279" s="118" t="s">
        <v>46</v>
      </c>
      <c r="O279" s="118" t="s">
        <v>47</v>
      </c>
      <c r="P279" s="118" t="s">
        <v>786</v>
      </c>
      <c r="Q279" s="118" t="s">
        <v>49</v>
      </c>
      <c r="R279" s="118">
        <v>1</v>
      </c>
      <c r="S279" s="118">
        <v>1</v>
      </c>
      <c r="T279" s="118">
        <v>1</v>
      </c>
      <c r="U279" s="118">
        <v>1</v>
      </c>
      <c r="V279" s="118">
        <v>1</v>
      </c>
      <c r="W279" s="118">
        <v>1</v>
      </c>
      <c r="X279" s="118">
        <v>1</v>
      </c>
      <c r="Y279" s="118" t="s">
        <v>140</v>
      </c>
      <c r="Z279" s="118">
        <v>1</v>
      </c>
      <c r="AA279" s="118">
        <v>1</v>
      </c>
      <c r="AB279" s="118">
        <v>1</v>
      </c>
      <c r="AC279" s="118">
        <v>1</v>
      </c>
      <c r="AD279" s="118">
        <v>1</v>
      </c>
      <c r="AE279" s="118">
        <v>1</v>
      </c>
      <c r="AF279" s="118" t="s">
        <v>140</v>
      </c>
      <c r="AG279" s="118">
        <v>1</v>
      </c>
      <c r="AH279" s="118">
        <v>1</v>
      </c>
      <c r="AI279" s="118">
        <v>1</v>
      </c>
      <c r="AJ279" s="118">
        <v>1</v>
      </c>
      <c r="AK279" s="118">
        <v>1</v>
      </c>
      <c r="AL279" s="118">
        <v>1</v>
      </c>
      <c r="AM279" s="118">
        <v>1</v>
      </c>
      <c r="AN279" s="118">
        <v>1</v>
      </c>
      <c r="AO279" s="118" t="s">
        <v>1085</v>
      </c>
    </row>
    <row r="280" spans="1:41" hidden="1" x14ac:dyDescent="0.2">
      <c r="A280" s="13">
        <f t="shared" si="10"/>
        <v>4</v>
      </c>
      <c r="B280" s="13">
        <f t="shared" si="11"/>
        <v>1</v>
      </c>
      <c r="C280" s="13" t="str">
        <f>VLOOKUP(B280,Correspondance!$D$3:$E$14,2,FALSE)</f>
        <v>Janvier</v>
      </c>
      <c r="D280" s="15" t="str">
        <f>VLOOKUP(G280,Correspondance!$A$3:$B$11,2,FALSE)</f>
        <v>PHONE</v>
      </c>
      <c r="E280" s="115" t="s">
        <v>772</v>
      </c>
      <c r="F280" s="116" t="s">
        <v>169</v>
      </c>
      <c r="G280" s="117" t="s">
        <v>255</v>
      </c>
      <c r="H280" s="118" t="s">
        <v>1331</v>
      </c>
      <c r="I280" s="118" t="s">
        <v>256</v>
      </c>
      <c r="J280" s="119" t="s">
        <v>57</v>
      </c>
      <c r="K280" s="120">
        <v>100</v>
      </c>
      <c r="L280" s="118" t="s">
        <v>787</v>
      </c>
      <c r="M280" s="118" t="s">
        <v>525</v>
      </c>
      <c r="N280" s="118" t="s">
        <v>46</v>
      </c>
      <c r="O280" s="118" t="s">
        <v>47</v>
      </c>
      <c r="P280" s="118" t="s">
        <v>539</v>
      </c>
      <c r="Q280" s="118" t="s">
        <v>49</v>
      </c>
      <c r="R280" s="118">
        <v>1</v>
      </c>
      <c r="S280" s="118">
        <v>1</v>
      </c>
      <c r="T280" s="118">
        <v>1</v>
      </c>
      <c r="U280" s="118">
        <v>1</v>
      </c>
      <c r="V280" s="118">
        <v>1</v>
      </c>
      <c r="W280" s="118">
        <v>1</v>
      </c>
      <c r="X280" s="118">
        <v>1</v>
      </c>
      <c r="Y280" s="118" t="s">
        <v>140</v>
      </c>
      <c r="Z280" s="118">
        <v>1</v>
      </c>
      <c r="AA280" s="118">
        <v>1</v>
      </c>
      <c r="AB280" s="118">
        <v>1</v>
      </c>
      <c r="AC280" s="118">
        <v>1</v>
      </c>
      <c r="AD280" s="118">
        <v>1</v>
      </c>
      <c r="AE280" s="118">
        <v>1</v>
      </c>
      <c r="AF280" s="118" t="s">
        <v>140</v>
      </c>
      <c r="AG280" s="118">
        <v>1</v>
      </c>
      <c r="AH280" s="118">
        <v>1</v>
      </c>
      <c r="AI280" s="118">
        <v>1</v>
      </c>
      <c r="AJ280" s="118">
        <v>1</v>
      </c>
      <c r="AK280" s="118">
        <v>1</v>
      </c>
      <c r="AL280" s="118">
        <v>1</v>
      </c>
      <c r="AM280" s="118">
        <v>1</v>
      </c>
      <c r="AN280" s="118">
        <v>1</v>
      </c>
      <c r="AO280" s="118" t="s">
        <v>1085</v>
      </c>
    </row>
    <row r="281" spans="1:41" hidden="1" x14ac:dyDescent="0.2">
      <c r="A281" s="13">
        <f t="shared" si="10"/>
        <v>4</v>
      </c>
      <c r="B281" s="13">
        <f t="shared" si="11"/>
        <v>1</v>
      </c>
      <c r="C281" s="13" t="str">
        <f>VLOOKUP(B281,Correspondance!$D$3:$E$14,2,FALSE)</f>
        <v>Janvier</v>
      </c>
      <c r="D281" s="15" t="str">
        <f>VLOOKUP(G281,Correspondance!$A$3:$B$11,2,FALSE)</f>
        <v>PHONE</v>
      </c>
      <c r="E281" s="115" t="s">
        <v>772</v>
      </c>
      <c r="F281" s="116" t="s">
        <v>169</v>
      </c>
      <c r="G281" s="117" t="s">
        <v>255</v>
      </c>
      <c r="H281" s="118" t="s">
        <v>1331</v>
      </c>
      <c r="I281" s="118" t="s">
        <v>256</v>
      </c>
      <c r="J281" s="119" t="s">
        <v>57</v>
      </c>
      <c r="K281" s="120">
        <v>100</v>
      </c>
      <c r="L281" s="118" t="s">
        <v>788</v>
      </c>
      <c r="M281" s="118" t="s">
        <v>789</v>
      </c>
      <c r="N281" s="118" t="s">
        <v>46</v>
      </c>
      <c r="O281" s="118" t="s">
        <v>47</v>
      </c>
      <c r="P281" s="118" t="s">
        <v>507</v>
      </c>
      <c r="Q281" s="118" t="s">
        <v>49</v>
      </c>
      <c r="R281" s="118">
        <v>1</v>
      </c>
      <c r="S281" s="118">
        <v>1</v>
      </c>
      <c r="T281" s="118">
        <v>1</v>
      </c>
      <c r="U281" s="118">
        <v>1</v>
      </c>
      <c r="V281" s="118">
        <v>1</v>
      </c>
      <c r="W281" s="118">
        <v>1</v>
      </c>
      <c r="X281" s="118">
        <v>1</v>
      </c>
      <c r="Y281" s="118" t="s">
        <v>140</v>
      </c>
      <c r="Z281" s="118">
        <v>1</v>
      </c>
      <c r="AA281" s="118">
        <v>1</v>
      </c>
      <c r="AB281" s="118">
        <v>1</v>
      </c>
      <c r="AC281" s="118">
        <v>1</v>
      </c>
      <c r="AD281" s="118">
        <v>1</v>
      </c>
      <c r="AE281" s="118">
        <v>1</v>
      </c>
      <c r="AF281" s="118" t="s">
        <v>140</v>
      </c>
      <c r="AG281" s="118">
        <v>1</v>
      </c>
      <c r="AH281" s="118">
        <v>1</v>
      </c>
      <c r="AI281" s="118">
        <v>1</v>
      </c>
      <c r="AJ281" s="118">
        <v>1</v>
      </c>
      <c r="AK281" s="118">
        <v>1</v>
      </c>
      <c r="AL281" s="118">
        <v>1</v>
      </c>
      <c r="AM281" s="118">
        <v>1</v>
      </c>
      <c r="AN281" s="118">
        <v>1</v>
      </c>
      <c r="AO281" s="118" t="s">
        <v>1085</v>
      </c>
    </row>
    <row r="282" spans="1:41" hidden="1" x14ac:dyDescent="0.2">
      <c r="A282" s="13">
        <f t="shared" si="10"/>
        <v>5</v>
      </c>
      <c r="B282" s="13">
        <f t="shared" si="11"/>
        <v>2</v>
      </c>
      <c r="C282" s="13" t="str">
        <f>VLOOKUP(B282,Correspondance!$D$3:$E$14,2,FALSE)</f>
        <v>Février</v>
      </c>
      <c r="D282" s="15" t="str">
        <f>VLOOKUP(G282,Correspondance!$A$3:$B$11,2,FALSE)</f>
        <v>PHONE</v>
      </c>
      <c r="E282" s="115" t="s">
        <v>1066</v>
      </c>
      <c r="F282" s="116" t="s">
        <v>169</v>
      </c>
      <c r="G282" s="117" t="s">
        <v>359</v>
      </c>
      <c r="H282" s="118" t="s">
        <v>519</v>
      </c>
      <c r="I282" s="118" t="s">
        <v>520</v>
      </c>
      <c r="J282" s="119" t="s">
        <v>261</v>
      </c>
      <c r="K282" s="120">
        <v>87</v>
      </c>
      <c r="L282" s="118" t="s">
        <v>1335</v>
      </c>
      <c r="M282" s="118" t="s">
        <v>174</v>
      </c>
      <c r="N282" s="118" t="s">
        <v>238</v>
      </c>
      <c r="O282" s="118" t="s">
        <v>175</v>
      </c>
      <c r="P282" s="118" t="s">
        <v>1336</v>
      </c>
      <c r="Q282" s="118" t="s">
        <v>49</v>
      </c>
      <c r="R282" s="118">
        <v>1</v>
      </c>
      <c r="S282" s="118">
        <v>1</v>
      </c>
      <c r="T282" s="118">
        <v>0</v>
      </c>
      <c r="U282" s="118">
        <v>1</v>
      </c>
      <c r="V282" s="118">
        <v>0</v>
      </c>
      <c r="W282" s="118">
        <v>1</v>
      </c>
      <c r="X282" s="118">
        <v>1</v>
      </c>
      <c r="Y282" s="118" t="s">
        <v>140</v>
      </c>
      <c r="Z282" s="118" t="s">
        <v>140</v>
      </c>
      <c r="AA282" s="118">
        <v>1</v>
      </c>
      <c r="AB282" s="118">
        <v>1</v>
      </c>
      <c r="AC282" s="118">
        <v>1</v>
      </c>
      <c r="AD282" s="118" t="s">
        <v>140</v>
      </c>
      <c r="AE282" s="118">
        <v>1</v>
      </c>
      <c r="AF282" s="118" t="s">
        <v>140</v>
      </c>
      <c r="AG282" s="118">
        <v>1</v>
      </c>
      <c r="AH282" s="118" t="s">
        <v>140</v>
      </c>
      <c r="AI282" s="118">
        <v>1</v>
      </c>
      <c r="AJ282" s="118">
        <v>1</v>
      </c>
      <c r="AK282" s="118" t="s">
        <v>140</v>
      </c>
      <c r="AL282" s="118" t="s">
        <v>140</v>
      </c>
      <c r="AM282" s="118" t="s">
        <v>140</v>
      </c>
      <c r="AN282" s="118">
        <v>1</v>
      </c>
      <c r="AO282" s="118" t="s">
        <v>1085</v>
      </c>
    </row>
    <row r="283" spans="1:41" x14ac:dyDescent="0.2">
      <c r="A283" s="13">
        <f t="shared" si="10"/>
        <v>5</v>
      </c>
      <c r="B283" s="13">
        <f t="shared" si="11"/>
        <v>2</v>
      </c>
      <c r="C283" s="13" t="str">
        <f>VLOOKUP(B283,Correspondance!$D$3:$E$14,2,FALSE)</f>
        <v>Février</v>
      </c>
      <c r="D283" s="15" t="str">
        <f>VLOOKUP(G283,Correspondance!$A$3:$B$11,2,FALSE)</f>
        <v>PHONE</v>
      </c>
      <c r="E283" s="115" t="s">
        <v>1066</v>
      </c>
      <c r="F283" s="116" t="s">
        <v>169</v>
      </c>
      <c r="G283" s="117" t="s">
        <v>359</v>
      </c>
      <c r="H283" s="118" t="s">
        <v>519</v>
      </c>
      <c r="I283" s="118" t="s">
        <v>520</v>
      </c>
      <c r="J283" s="119" t="s">
        <v>261</v>
      </c>
      <c r="K283" s="120">
        <v>90</v>
      </c>
      <c r="L283" s="118" t="s">
        <v>1337</v>
      </c>
      <c r="M283" s="118" t="s">
        <v>399</v>
      </c>
      <c r="N283" s="118" t="s">
        <v>238</v>
      </c>
      <c r="O283" s="118" t="s">
        <v>74</v>
      </c>
      <c r="P283" s="118" t="s">
        <v>512</v>
      </c>
      <c r="Q283" s="118" t="s">
        <v>49</v>
      </c>
      <c r="R283" s="118">
        <v>1</v>
      </c>
      <c r="S283" s="118">
        <v>1</v>
      </c>
      <c r="T283" s="118">
        <v>1</v>
      </c>
      <c r="U283" s="118">
        <v>1</v>
      </c>
      <c r="V283" s="118">
        <v>1</v>
      </c>
      <c r="W283" s="118">
        <v>1</v>
      </c>
      <c r="X283" s="118">
        <v>1</v>
      </c>
      <c r="Y283" s="118" t="s">
        <v>140</v>
      </c>
      <c r="Z283" s="118">
        <v>1</v>
      </c>
      <c r="AA283" s="118">
        <v>1</v>
      </c>
      <c r="AB283" s="118">
        <v>1</v>
      </c>
      <c r="AC283" s="118">
        <v>0</v>
      </c>
      <c r="AD283" s="118" t="s">
        <v>140</v>
      </c>
      <c r="AE283" s="118">
        <v>1</v>
      </c>
      <c r="AF283" s="118" t="s">
        <v>140</v>
      </c>
      <c r="AG283" s="118">
        <v>1</v>
      </c>
      <c r="AH283" s="118" t="s">
        <v>140</v>
      </c>
      <c r="AI283" s="118">
        <v>1</v>
      </c>
      <c r="AJ283" s="118">
        <v>1</v>
      </c>
      <c r="AK283" s="118">
        <v>1</v>
      </c>
      <c r="AL283" s="118" t="s">
        <v>140</v>
      </c>
      <c r="AM283" s="118" t="s">
        <v>140</v>
      </c>
      <c r="AN283" s="118">
        <v>1</v>
      </c>
      <c r="AO283" s="118" t="s">
        <v>1085</v>
      </c>
    </row>
    <row r="284" spans="1:41" x14ac:dyDescent="0.2">
      <c r="A284" s="13">
        <f t="shared" si="10"/>
        <v>5</v>
      </c>
      <c r="B284" s="13">
        <f t="shared" si="11"/>
        <v>2</v>
      </c>
      <c r="C284" s="13" t="str">
        <f>VLOOKUP(B284,Correspondance!$D$3:$E$14,2,FALSE)</f>
        <v>Février</v>
      </c>
      <c r="D284" s="15" t="str">
        <f>VLOOKUP(G284,Correspondance!$A$3:$B$11,2,FALSE)</f>
        <v>PHONE</v>
      </c>
      <c r="E284" s="115" t="s">
        <v>1066</v>
      </c>
      <c r="F284" s="116" t="s">
        <v>169</v>
      </c>
      <c r="G284" s="117" t="s">
        <v>359</v>
      </c>
      <c r="H284" s="118" t="s">
        <v>1334</v>
      </c>
      <c r="I284" s="118" t="s">
        <v>511</v>
      </c>
      <c r="J284" s="119" t="s">
        <v>261</v>
      </c>
      <c r="K284" s="120">
        <v>81</v>
      </c>
      <c r="L284" s="118" t="s">
        <v>1338</v>
      </c>
      <c r="M284" s="118" t="s">
        <v>1339</v>
      </c>
      <c r="N284" s="118" t="s">
        <v>238</v>
      </c>
      <c r="O284" s="118" t="s">
        <v>47</v>
      </c>
      <c r="P284" s="118" t="s">
        <v>328</v>
      </c>
      <c r="Q284" s="118" t="s">
        <v>49</v>
      </c>
      <c r="R284" s="118">
        <v>1</v>
      </c>
      <c r="S284" s="118">
        <v>1</v>
      </c>
      <c r="T284" s="118">
        <v>0</v>
      </c>
      <c r="U284" s="118">
        <v>1</v>
      </c>
      <c r="V284" s="118">
        <v>1</v>
      </c>
      <c r="W284" s="118">
        <v>1</v>
      </c>
      <c r="X284" s="118">
        <v>1</v>
      </c>
      <c r="Y284" s="118" t="s">
        <v>140</v>
      </c>
      <c r="Z284" s="118" t="s">
        <v>140</v>
      </c>
      <c r="AA284" s="118">
        <v>1</v>
      </c>
      <c r="AB284" s="118">
        <v>1</v>
      </c>
      <c r="AC284" s="118">
        <v>0</v>
      </c>
      <c r="AD284" s="118" t="s">
        <v>140</v>
      </c>
      <c r="AE284" s="118">
        <v>1</v>
      </c>
      <c r="AF284" s="118" t="s">
        <v>140</v>
      </c>
      <c r="AG284" s="118">
        <v>1</v>
      </c>
      <c r="AH284" s="118" t="s">
        <v>140</v>
      </c>
      <c r="AI284" s="118">
        <v>1</v>
      </c>
      <c r="AJ284" s="118">
        <v>1</v>
      </c>
      <c r="AK284" s="118" t="s">
        <v>140</v>
      </c>
      <c r="AL284" s="118" t="s">
        <v>140</v>
      </c>
      <c r="AM284" s="118" t="s">
        <v>140</v>
      </c>
      <c r="AN284" s="118">
        <v>1</v>
      </c>
      <c r="AO284" s="118" t="s">
        <v>1085</v>
      </c>
    </row>
    <row r="285" spans="1:41" hidden="1" x14ac:dyDescent="0.2">
      <c r="A285" s="13">
        <f t="shared" si="10"/>
        <v>5</v>
      </c>
      <c r="B285" s="13">
        <f t="shared" si="11"/>
        <v>2</v>
      </c>
      <c r="C285" s="13" t="str">
        <f>VLOOKUP(B285,Correspondance!$D$3:$E$14,2,FALSE)</f>
        <v>Février</v>
      </c>
      <c r="D285" s="15" t="str">
        <f>VLOOKUP(G285,Correspondance!$A$3:$B$11,2,FALSE)</f>
        <v>PHONE</v>
      </c>
      <c r="E285" s="115" t="s">
        <v>1066</v>
      </c>
      <c r="F285" s="116" t="s">
        <v>169</v>
      </c>
      <c r="G285" s="117" t="s">
        <v>359</v>
      </c>
      <c r="H285" s="118" t="s">
        <v>1334</v>
      </c>
      <c r="I285" s="118" t="s">
        <v>511</v>
      </c>
      <c r="J285" s="119" t="s">
        <v>261</v>
      </c>
      <c r="K285" s="120">
        <v>97</v>
      </c>
      <c r="L285" s="118" t="s">
        <v>1340</v>
      </c>
      <c r="M285" s="118" t="s">
        <v>245</v>
      </c>
      <c r="N285" s="118" t="s">
        <v>238</v>
      </c>
      <c r="O285" s="118" t="s">
        <v>74</v>
      </c>
      <c r="P285" s="118" t="s">
        <v>1341</v>
      </c>
      <c r="Q285" s="118" t="s">
        <v>49</v>
      </c>
      <c r="R285" s="118">
        <v>1</v>
      </c>
      <c r="S285" s="118">
        <v>1</v>
      </c>
      <c r="T285" s="118">
        <v>1</v>
      </c>
      <c r="U285" s="118">
        <v>1</v>
      </c>
      <c r="V285" s="118">
        <v>1</v>
      </c>
      <c r="W285" s="118">
        <v>1</v>
      </c>
      <c r="X285" s="118">
        <v>1</v>
      </c>
      <c r="Y285" s="118" t="s">
        <v>140</v>
      </c>
      <c r="Z285" s="118">
        <v>0</v>
      </c>
      <c r="AA285" s="118">
        <v>1</v>
      </c>
      <c r="AB285" s="118">
        <v>1</v>
      </c>
      <c r="AC285" s="118">
        <v>1</v>
      </c>
      <c r="AD285" s="118" t="s">
        <v>140</v>
      </c>
      <c r="AE285" s="118">
        <v>1</v>
      </c>
      <c r="AF285" s="118" t="s">
        <v>140</v>
      </c>
      <c r="AG285" s="118" t="s">
        <v>140</v>
      </c>
      <c r="AH285" s="118" t="s">
        <v>140</v>
      </c>
      <c r="AI285" s="118">
        <v>1</v>
      </c>
      <c r="AJ285" s="118">
        <v>1</v>
      </c>
      <c r="AK285" s="118">
        <v>1</v>
      </c>
      <c r="AL285" s="118" t="s">
        <v>140</v>
      </c>
      <c r="AM285" s="118" t="s">
        <v>140</v>
      </c>
      <c r="AN285" s="118">
        <v>1</v>
      </c>
      <c r="AO285" s="118" t="s">
        <v>1085</v>
      </c>
    </row>
    <row r="286" spans="1:41" x14ac:dyDescent="0.2">
      <c r="A286" s="13">
        <f t="shared" si="10"/>
        <v>5</v>
      </c>
      <c r="B286" s="13">
        <f t="shared" si="11"/>
        <v>2</v>
      </c>
      <c r="C286" s="13" t="str">
        <f>VLOOKUP(B286,Correspondance!$D$3:$E$14,2,FALSE)</f>
        <v>Février</v>
      </c>
      <c r="D286" s="15" t="str">
        <f>VLOOKUP(G286,Correspondance!$A$3:$B$11,2,FALSE)</f>
        <v>PHONE</v>
      </c>
      <c r="E286" s="115" t="s">
        <v>1066</v>
      </c>
      <c r="F286" s="116" t="s">
        <v>169</v>
      </c>
      <c r="G286" s="117" t="s">
        <v>277</v>
      </c>
      <c r="H286" s="118" t="s">
        <v>266</v>
      </c>
      <c r="I286" s="118" t="s">
        <v>267</v>
      </c>
      <c r="J286" s="119" t="s">
        <v>57</v>
      </c>
      <c r="K286" s="120">
        <v>72</v>
      </c>
      <c r="L286" s="118" t="s">
        <v>1342</v>
      </c>
      <c r="M286" s="118" t="s">
        <v>223</v>
      </c>
      <c r="N286" s="118" t="s">
        <v>114</v>
      </c>
      <c r="O286" s="118" t="s">
        <v>47</v>
      </c>
      <c r="P286" s="118" t="s">
        <v>1343</v>
      </c>
      <c r="Q286" s="118" t="s">
        <v>49</v>
      </c>
      <c r="R286" s="118">
        <v>0</v>
      </c>
      <c r="S286" s="118">
        <v>1</v>
      </c>
      <c r="T286" s="118">
        <v>1</v>
      </c>
      <c r="U286" s="118">
        <v>1</v>
      </c>
      <c r="V286" s="118">
        <v>1</v>
      </c>
      <c r="W286" s="118">
        <v>1</v>
      </c>
      <c r="X286" s="118">
        <v>1</v>
      </c>
      <c r="Y286" s="118" t="s">
        <v>140</v>
      </c>
      <c r="Z286" s="118">
        <v>1</v>
      </c>
      <c r="AA286" s="118">
        <v>1</v>
      </c>
      <c r="AB286" s="118">
        <v>1</v>
      </c>
      <c r="AC286" s="118">
        <v>0</v>
      </c>
      <c r="AD286" s="118">
        <v>1</v>
      </c>
      <c r="AE286" s="118">
        <v>1</v>
      </c>
      <c r="AF286" s="118">
        <v>0</v>
      </c>
      <c r="AG286" s="118">
        <v>1</v>
      </c>
      <c r="AH286" s="118">
        <v>1</v>
      </c>
      <c r="AI286" s="118">
        <v>1</v>
      </c>
      <c r="AJ286" s="118">
        <v>1</v>
      </c>
      <c r="AK286" s="118">
        <v>1</v>
      </c>
      <c r="AL286" s="118">
        <v>1</v>
      </c>
      <c r="AM286" s="118">
        <v>1</v>
      </c>
      <c r="AN286" s="118">
        <v>1</v>
      </c>
      <c r="AO286" s="118" t="s">
        <v>1104</v>
      </c>
    </row>
    <row r="287" spans="1:41" hidden="1" x14ac:dyDescent="0.2">
      <c r="A287" s="13">
        <f t="shared" si="10"/>
        <v>5</v>
      </c>
      <c r="B287" s="13">
        <f t="shared" si="11"/>
        <v>2</v>
      </c>
      <c r="C287" s="13" t="str">
        <f>VLOOKUP(B287,Correspondance!$D$3:$E$14,2,FALSE)</f>
        <v>Février</v>
      </c>
      <c r="D287" s="15" t="str">
        <f>VLOOKUP(G287,Correspondance!$A$3:$B$11,2,FALSE)</f>
        <v>PHONE</v>
      </c>
      <c r="E287" s="115" t="s">
        <v>1066</v>
      </c>
      <c r="F287" s="116" t="s">
        <v>169</v>
      </c>
      <c r="G287" s="117" t="s">
        <v>277</v>
      </c>
      <c r="H287" s="118" t="s">
        <v>266</v>
      </c>
      <c r="I287" s="118" t="s">
        <v>267</v>
      </c>
      <c r="J287" s="119" t="s">
        <v>57</v>
      </c>
      <c r="K287" s="120">
        <v>89</v>
      </c>
      <c r="L287" s="118" t="s">
        <v>1344</v>
      </c>
      <c r="M287" s="118" t="s">
        <v>223</v>
      </c>
      <c r="N287" s="118" t="s">
        <v>114</v>
      </c>
      <c r="O287" s="118" t="s">
        <v>47</v>
      </c>
      <c r="P287" s="118" t="s">
        <v>1345</v>
      </c>
      <c r="Q287" s="118" t="s">
        <v>49</v>
      </c>
      <c r="R287" s="118">
        <v>1</v>
      </c>
      <c r="S287" s="118">
        <v>1</v>
      </c>
      <c r="T287" s="118">
        <v>1</v>
      </c>
      <c r="U287" s="118">
        <v>1</v>
      </c>
      <c r="V287" s="118">
        <v>1</v>
      </c>
      <c r="W287" s="118">
        <v>1</v>
      </c>
      <c r="X287" s="118">
        <v>1</v>
      </c>
      <c r="Y287" s="118" t="s">
        <v>140</v>
      </c>
      <c r="Z287" s="118">
        <v>1</v>
      </c>
      <c r="AA287" s="118">
        <v>1</v>
      </c>
      <c r="AB287" s="118">
        <v>1</v>
      </c>
      <c r="AC287" s="118">
        <v>1</v>
      </c>
      <c r="AD287" s="118">
        <v>0</v>
      </c>
      <c r="AE287" s="118">
        <v>1</v>
      </c>
      <c r="AF287" s="118" t="s">
        <v>140</v>
      </c>
      <c r="AG287" s="118">
        <v>1</v>
      </c>
      <c r="AH287" s="118">
        <v>1</v>
      </c>
      <c r="AI287" s="118">
        <v>1</v>
      </c>
      <c r="AJ287" s="118">
        <v>1</v>
      </c>
      <c r="AK287" s="118">
        <v>1</v>
      </c>
      <c r="AL287" s="118">
        <v>1</v>
      </c>
      <c r="AM287" s="118">
        <v>1</v>
      </c>
      <c r="AN287" s="118">
        <v>1</v>
      </c>
      <c r="AO287" s="118" t="s">
        <v>1104</v>
      </c>
    </row>
    <row r="288" spans="1:41" hidden="1" x14ac:dyDescent="0.2">
      <c r="A288" s="13">
        <f t="shared" si="10"/>
        <v>5</v>
      </c>
      <c r="B288" s="13">
        <f t="shared" si="11"/>
        <v>2</v>
      </c>
      <c r="C288" s="13" t="str">
        <f>VLOOKUP(B288,Correspondance!$D$3:$E$14,2,FALSE)</f>
        <v>Février</v>
      </c>
      <c r="D288" s="15" t="str">
        <f>VLOOKUP(G288,Correspondance!$A$3:$B$11,2,FALSE)</f>
        <v>PHONE</v>
      </c>
      <c r="E288" s="115" t="s">
        <v>1066</v>
      </c>
      <c r="F288" s="116" t="s">
        <v>169</v>
      </c>
      <c r="G288" s="117" t="s">
        <v>277</v>
      </c>
      <c r="H288" s="118" t="s">
        <v>266</v>
      </c>
      <c r="I288" s="118" t="s">
        <v>267</v>
      </c>
      <c r="J288" s="119" t="s">
        <v>57</v>
      </c>
      <c r="K288" s="120">
        <v>100</v>
      </c>
      <c r="L288" s="118" t="s">
        <v>1346</v>
      </c>
      <c r="M288" s="118" t="s">
        <v>286</v>
      </c>
      <c r="N288" s="118" t="s">
        <v>114</v>
      </c>
      <c r="O288" s="118" t="s">
        <v>47</v>
      </c>
      <c r="P288" s="118" t="s">
        <v>899</v>
      </c>
      <c r="Q288" s="118" t="s">
        <v>49</v>
      </c>
      <c r="R288" s="118">
        <v>1</v>
      </c>
      <c r="S288" s="118">
        <v>1</v>
      </c>
      <c r="T288" s="118">
        <v>1</v>
      </c>
      <c r="U288" s="118">
        <v>1</v>
      </c>
      <c r="V288" s="118">
        <v>1</v>
      </c>
      <c r="W288" s="118">
        <v>1</v>
      </c>
      <c r="X288" s="118">
        <v>1</v>
      </c>
      <c r="Y288" s="118" t="s">
        <v>140</v>
      </c>
      <c r="Z288" s="118">
        <v>1</v>
      </c>
      <c r="AA288" s="118">
        <v>1</v>
      </c>
      <c r="AB288" s="118">
        <v>1</v>
      </c>
      <c r="AC288" s="118">
        <v>1</v>
      </c>
      <c r="AD288" s="118">
        <v>1</v>
      </c>
      <c r="AE288" s="118">
        <v>1</v>
      </c>
      <c r="AF288" s="118" t="s">
        <v>140</v>
      </c>
      <c r="AG288" s="118">
        <v>1</v>
      </c>
      <c r="AH288" s="118">
        <v>1</v>
      </c>
      <c r="AI288" s="118">
        <v>1</v>
      </c>
      <c r="AJ288" s="118">
        <v>1</v>
      </c>
      <c r="AK288" s="118">
        <v>1</v>
      </c>
      <c r="AL288" s="118">
        <v>1</v>
      </c>
      <c r="AM288" s="118">
        <v>1</v>
      </c>
      <c r="AN288" s="118">
        <v>1</v>
      </c>
      <c r="AO288" s="118" t="s">
        <v>1104</v>
      </c>
    </row>
    <row r="289" spans="1:41" hidden="1" x14ac:dyDescent="0.2">
      <c r="A289" s="13">
        <f t="shared" si="10"/>
        <v>5</v>
      </c>
      <c r="B289" s="13">
        <f t="shared" si="11"/>
        <v>2</v>
      </c>
      <c r="C289" s="13" t="str">
        <f>VLOOKUP(B289,Correspondance!$D$3:$E$14,2,FALSE)</f>
        <v>Février</v>
      </c>
      <c r="D289" s="15" t="str">
        <f>VLOOKUP(G289,Correspondance!$A$3:$B$11,2,FALSE)</f>
        <v>PHONE</v>
      </c>
      <c r="E289" s="115" t="s">
        <v>1066</v>
      </c>
      <c r="F289" s="116" t="s">
        <v>169</v>
      </c>
      <c r="G289" s="117" t="s">
        <v>277</v>
      </c>
      <c r="H289" s="118" t="s">
        <v>266</v>
      </c>
      <c r="I289" s="118" t="s">
        <v>267</v>
      </c>
      <c r="J289" s="119" t="s">
        <v>57</v>
      </c>
      <c r="K289" s="120">
        <v>100</v>
      </c>
      <c r="L289" s="118" t="s">
        <v>1347</v>
      </c>
      <c r="M289" s="118" t="s">
        <v>814</v>
      </c>
      <c r="N289" s="118" t="s">
        <v>114</v>
      </c>
      <c r="O289" s="118" t="s">
        <v>47</v>
      </c>
      <c r="P289" s="118" t="s">
        <v>1348</v>
      </c>
      <c r="Q289" s="118" t="s">
        <v>49</v>
      </c>
      <c r="R289" s="118">
        <v>1</v>
      </c>
      <c r="S289" s="118">
        <v>1</v>
      </c>
      <c r="T289" s="118">
        <v>1</v>
      </c>
      <c r="U289" s="118">
        <v>1</v>
      </c>
      <c r="V289" s="118">
        <v>1</v>
      </c>
      <c r="W289" s="118">
        <v>1</v>
      </c>
      <c r="X289" s="118">
        <v>1</v>
      </c>
      <c r="Y289" s="118" t="s">
        <v>140</v>
      </c>
      <c r="Z289" s="118">
        <v>1</v>
      </c>
      <c r="AA289" s="118">
        <v>1</v>
      </c>
      <c r="AB289" s="118">
        <v>1</v>
      </c>
      <c r="AC289" s="118">
        <v>1</v>
      </c>
      <c r="AD289" s="118">
        <v>1</v>
      </c>
      <c r="AE289" s="118">
        <v>1</v>
      </c>
      <c r="AF289" s="118" t="s">
        <v>140</v>
      </c>
      <c r="AG289" s="118">
        <v>1</v>
      </c>
      <c r="AH289" s="118">
        <v>1</v>
      </c>
      <c r="AI289" s="118">
        <v>1</v>
      </c>
      <c r="AJ289" s="118">
        <v>1</v>
      </c>
      <c r="AK289" s="118">
        <v>1</v>
      </c>
      <c r="AL289" s="118">
        <v>1</v>
      </c>
      <c r="AM289" s="118">
        <v>1</v>
      </c>
      <c r="AN289" s="118">
        <v>1</v>
      </c>
      <c r="AO289" s="118" t="s">
        <v>1104</v>
      </c>
    </row>
    <row r="290" spans="1:41" hidden="1" x14ac:dyDescent="0.2">
      <c r="A290" s="13">
        <f t="shared" si="10"/>
        <v>5</v>
      </c>
      <c r="B290" s="13">
        <f t="shared" si="11"/>
        <v>2</v>
      </c>
      <c r="C290" s="13" t="str">
        <f>VLOOKUP(B290,Correspondance!$D$3:$E$14,2,FALSE)</f>
        <v>Février</v>
      </c>
      <c r="D290" s="15" t="str">
        <f>VLOOKUP(G290,Correspondance!$A$3:$B$11,2,FALSE)</f>
        <v>PHONE</v>
      </c>
      <c r="E290" s="115" t="s">
        <v>1066</v>
      </c>
      <c r="F290" s="116" t="s">
        <v>169</v>
      </c>
      <c r="G290" s="117" t="s">
        <v>277</v>
      </c>
      <c r="H290" s="118" t="s">
        <v>266</v>
      </c>
      <c r="I290" s="118" t="s">
        <v>267</v>
      </c>
      <c r="J290" s="119" t="s">
        <v>57</v>
      </c>
      <c r="K290" s="120">
        <v>100</v>
      </c>
      <c r="L290" s="118" t="s">
        <v>1349</v>
      </c>
      <c r="M290" s="118" t="s">
        <v>174</v>
      </c>
      <c r="N290" s="118" t="s">
        <v>114</v>
      </c>
      <c r="O290" s="118" t="s">
        <v>47</v>
      </c>
      <c r="P290" s="118" t="s">
        <v>643</v>
      </c>
      <c r="Q290" s="118" t="s">
        <v>49</v>
      </c>
      <c r="R290" s="118">
        <v>1</v>
      </c>
      <c r="S290" s="118">
        <v>1</v>
      </c>
      <c r="T290" s="118">
        <v>1</v>
      </c>
      <c r="U290" s="118">
        <v>1</v>
      </c>
      <c r="V290" s="118">
        <v>1</v>
      </c>
      <c r="W290" s="118">
        <v>1</v>
      </c>
      <c r="X290" s="118">
        <v>1</v>
      </c>
      <c r="Y290" s="118" t="s">
        <v>140</v>
      </c>
      <c r="Z290" s="118">
        <v>1</v>
      </c>
      <c r="AA290" s="118">
        <v>1</v>
      </c>
      <c r="AB290" s="118">
        <v>1</v>
      </c>
      <c r="AC290" s="118">
        <v>1</v>
      </c>
      <c r="AD290" s="118">
        <v>1</v>
      </c>
      <c r="AE290" s="118">
        <v>1</v>
      </c>
      <c r="AF290" s="118" t="s">
        <v>140</v>
      </c>
      <c r="AG290" s="118">
        <v>1</v>
      </c>
      <c r="AH290" s="118">
        <v>1</v>
      </c>
      <c r="AI290" s="118">
        <v>1</v>
      </c>
      <c r="AJ290" s="118">
        <v>1</v>
      </c>
      <c r="AK290" s="118">
        <v>1</v>
      </c>
      <c r="AL290" s="118">
        <v>1</v>
      </c>
      <c r="AM290" s="118">
        <v>1</v>
      </c>
      <c r="AN290" s="118">
        <v>1</v>
      </c>
      <c r="AO290" s="118" t="s">
        <v>1104</v>
      </c>
    </row>
    <row r="291" spans="1:41" hidden="1" x14ac:dyDescent="0.2">
      <c r="A291" s="13">
        <f t="shared" si="10"/>
        <v>5</v>
      </c>
      <c r="B291" s="13">
        <f t="shared" si="11"/>
        <v>2</v>
      </c>
      <c r="C291" s="13" t="str">
        <f>VLOOKUP(B291,Correspondance!$D$3:$E$14,2,FALSE)</f>
        <v>Février</v>
      </c>
      <c r="D291" s="15" t="str">
        <f>VLOOKUP(G291,Correspondance!$A$3:$B$11,2,FALSE)</f>
        <v>PHONE</v>
      </c>
      <c r="E291" s="115" t="s">
        <v>1066</v>
      </c>
      <c r="F291" s="116" t="s">
        <v>169</v>
      </c>
      <c r="G291" s="117" t="s">
        <v>277</v>
      </c>
      <c r="H291" s="118" t="s">
        <v>278</v>
      </c>
      <c r="I291" s="118" t="s">
        <v>279</v>
      </c>
      <c r="J291" s="119" t="s">
        <v>57</v>
      </c>
      <c r="K291" s="120">
        <v>100</v>
      </c>
      <c r="L291" s="118" t="s">
        <v>1350</v>
      </c>
      <c r="M291" s="118" t="s">
        <v>174</v>
      </c>
      <c r="N291" s="118" t="s">
        <v>46</v>
      </c>
      <c r="O291" s="118" t="s">
        <v>47</v>
      </c>
      <c r="P291" s="118" t="s">
        <v>1351</v>
      </c>
      <c r="Q291" s="118" t="s">
        <v>49</v>
      </c>
      <c r="R291" s="118">
        <v>1</v>
      </c>
      <c r="S291" s="118">
        <v>1</v>
      </c>
      <c r="T291" s="118">
        <v>1</v>
      </c>
      <c r="U291" s="118">
        <v>1</v>
      </c>
      <c r="V291" s="118">
        <v>1</v>
      </c>
      <c r="W291" s="118">
        <v>1</v>
      </c>
      <c r="X291" s="118">
        <v>1</v>
      </c>
      <c r="Y291" s="118" t="s">
        <v>140</v>
      </c>
      <c r="Z291" s="118">
        <v>1</v>
      </c>
      <c r="AA291" s="118">
        <v>1</v>
      </c>
      <c r="AB291" s="118">
        <v>1</v>
      </c>
      <c r="AC291" s="118">
        <v>1</v>
      </c>
      <c r="AD291" s="118">
        <v>1</v>
      </c>
      <c r="AE291" s="118">
        <v>1</v>
      </c>
      <c r="AF291" s="118" t="s">
        <v>140</v>
      </c>
      <c r="AG291" s="118">
        <v>1</v>
      </c>
      <c r="AH291" s="118">
        <v>1</v>
      </c>
      <c r="AI291" s="118">
        <v>1</v>
      </c>
      <c r="AJ291" s="118">
        <v>1</v>
      </c>
      <c r="AK291" s="118">
        <v>1</v>
      </c>
      <c r="AL291" s="118">
        <v>1</v>
      </c>
      <c r="AM291" s="118">
        <v>1</v>
      </c>
      <c r="AN291" s="118">
        <v>1</v>
      </c>
      <c r="AO291" s="118" t="s">
        <v>1104</v>
      </c>
    </row>
    <row r="292" spans="1:41" hidden="1" x14ac:dyDescent="0.2">
      <c r="A292" s="13">
        <f t="shared" si="10"/>
        <v>5</v>
      </c>
      <c r="B292" s="13">
        <f t="shared" si="11"/>
        <v>2</v>
      </c>
      <c r="C292" s="13" t="str">
        <f>VLOOKUP(B292,Correspondance!$D$3:$E$14,2,FALSE)</f>
        <v>Février</v>
      </c>
      <c r="D292" s="15" t="str">
        <f>VLOOKUP(G292,Correspondance!$A$3:$B$11,2,FALSE)</f>
        <v>PHONE</v>
      </c>
      <c r="E292" s="115" t="s">
        <v>1066</v>
      </c>
      <c r="F292" s="116" t="s">
        <v>169</v>
      </c>
      <c r="G292" s="117" t="s">
        <v>277</v>
      </c>
      <c r="H292" s="118" t="s">
        <v>278</v>
      </c>
      <c r="I292" s="118" t="s">
        <v>279</v>
      </c>
      <c r="J292" s="119" t="s">
        <v>57</v>
      </c>
      <c r="K292" s="120">
        <v>100</v>
      </c>
      <c r="L292" s="118" t="s">
        <v>1352</v>
      </c>
      <c r="M292" s="118" t="s">
        <v>368</v>
      </c>
      <c r="N292" s="118" t="s">
        <v>46</v>
      </c>
      <c r="O292" s="118" t="s">
        <v>47</v>
      </c>
      <c r="P292" s="118" t="s">
        <v>1343</v>
      </c>
      <c r="Q292" s="118" t="s">
        <v>49</v>
      </c>
      <c r="R292" s="118">
        <v>1</v>
      </c>
      <c r="S292" s="118">
        <v>1</v>
      </c>
      <c r="T292" s="118">
        <v>1</v>
      </c>
      <c r="U292" s="118">
        <v>1</v>
      </c>
      <c r="V292" s="118">
        <v>1</v>
      </c>
      <c r="W292" s="118">
        <v>1</v>
      </c>
      <c r="X292" s="118">
        <v>1</v>
      </c>
      <c r="Y292" s="118" t="s">
        <v>140</v>
      </c>
      <c r="Z292" s="118">
        <v>1</v>
      </c>
      <c r="AA292" s="118">
        <v>1</v>
      </c>
      <c r="AB292" s="118">
        <v>1</v>
      </c>
      <c r="AC292" s="118">
        <v>1</v>
      </c>
      <c r="AD292" s="118">
        <v>1</v>
      </c>
      <c r="AE292" s="118">
        <v>1</v>
      </c>
      <c r="AF292" s="118" t="s">
        <v>140</v>
      </c>
      <c r="AG292" s="118">
        <v>1</v>
      </c>
      <c r="AH292" s="118">
        <v>1</v>
      </c>
      <c r="AI292" s="118">
        <v>1</v>
      </c>
      <c r="AJ292" s="118">
        <v>1</v>
      </c>
      <c r="AK292" s="118">
        <v>1</v>
      </c>
      <c r="AL292" s="118">
        <v>1</v>
      </c>
      <c r="AM292" s="118">
        <v>1</v>
      </c>
      <c r="AN292" s="118">
        <v>1</v>
      </c>
      <c r="AO292" s="118" t="s">
        <v>1104</v>
      </c>
    </row>
    <row r="293" spans="1:41" hidden="1" x14ac:dyDescent="0.2">
      <c r="A293" s="13">
        <f t="shared" si="10"/>
        <v>5</v>
      </c>
      <c r="B293" s="13">
        <f t="shared" si="11"/>
        <v>2</v>
      </c>
      <c r="C293" s="13" t="str">
        <f>VLOOKUP(B293,Correspondance!$D$3:$E$14,2,FALSE)</f>
        <v>Février</v>
      </c>
      <c r="D293" s="15" t="str">
        <f>VLOOKUP(G293,Correspondance!$A$3:$B$11,2,FALSE)</f>
        <v>PHONE</v>
      </c>
      <c r="E293" s="115" t="s">
        <v>1076</v>
      </c>
      <c r="F293" s="116" t="s">
        <v>169</v>
      </c>
      <c r="G293" s="117" t="s">
        <v>277</v>
      </c>
      <c r="H293" s="118" t="s">
        <v>278</v>
      </c>
      <c r="I293" s="118" t="s">
        <v>279</v>
      </c>
      <c r="J293" s="119" t="s">
        <v>261</v>
      </c>
      <c r="K293" s="120">
        <v>89</v>
      </c>
      <c r="L293" s="118" t="s">
        <v>1353</v>
      </c>
      <c r="M293" s="118" t="s">
        <v>174</v>
      </c>
      <c r="N293" s="118" t="s">
        <v>238</v>
      </c>
      <c r="O293" s="118" t="s">
        <v>47</v>
      </c>
      <c r="P293" s="118" t="s">
        <v>508</v>
      </c>
      <c r="Q293" s="118" t="s">
        <v>49</v>
      </c>
      <c r="R293" s="118">
        <v>1</v>
      </c>
      <c r="S293" s="118">
        <v>1</v>
      </c>
      <c r="T293" s="118">
        <v>1</v>
      </c>
      <c r="U293" s="118">
        <v>1</v>
      </c>
      <c r="V293" s="118">
        <v>1</v>
      </c>
      <c r="W293" s="118">
        <v>1</v>
      </c>
      <c r="X293" s="118">
        <v>1</v>
      </c>
      <c r="Y293" s="118" t="s">
        <v>140</v>
      </c>
      <c r="Z293" s="118" t="s">
        <v>140</v>
      </c>
      <c r="AA293" s="118">
        <v>1</v>
      </c>
      <c r="AB293" s="118">
        <v>1</v>
      </c>
      <c r="AC293" s="118">
        <v>1</v>
      </c>
      <c r="AD293" s="118">
        <v>0</v>
      </c>
      <c r="AE293" s="118">
        <v>1</v>
      </c>
      <c r="AF293" s="118" t="s">
        <v>140</v>
      </c>
      <c r="AG293" s="118">
        <v>1</v>
      </c>
      <c r="AH293" s="118">
        <v>1</v>
      </c>
      <c r="AI293" s="118">
        <v>1</v>
      </c>
      <c r="AJ293" s="118">
        <v>1</v>
      </c>
      <c r="AK293" s="118">
        <v>1</v>
      </c>
      <c r="AL293" s="118" t="s">
        <v>140</v>
      </c>
      <c r="AM293" s="118" t="s">
        <v>140</v>
      </c>
      <c r="AN293" s="118">
        <v>1</v>
      </c>
      <c r="AO293" s="118" t="s">
        <v>1104</v>
      </c>
    </row>
    <row r="294" spans="1:41" hidden="1" x14ac:dyDescent="0.2">
      <c r="A294" s="13">
        <f t="shared" si="10"/>
        <v>6</v>
      </c>
      <c r="B294" s="13">
        <f t="shared" si="11"/>
        <v>2</v>
      </c>
      <c r="C294" s="13" t="str">
        <f>VLOOKUP(B294,Correspondance!$D$3:$E$14,2,FALSE)</f>
        <v>Février</v>
      </c>
      <c r="D294" s="15" t="str">
        <f>VLOOKUP(G294,Correspondance!$A$3:$B$11,2,FALSE)</f>
        <v>PHONE</v>
      </c>
      <c r="E294" s="115" t="s">
        <v>1081</v>
      </c>
      <c r="F294" s="116" t="s">
        <v>169</v>
      </c>
      <c r="G294" s="117" t="s">
        <v>277</v>
      </c>
      <c r="H294" s="118" t="s">
        <v>356</v>
      </c>
      <c r="I294" s="118" t="s">
        <v>369</v>
      </c>
      <c r="J294" s="119" t="s">
        <v>57</v>
      </c>
      <c r="K294" s="120">
        <v>98</v>
      </c>
      <c r="L294" s="118" t="s">
        <v>1354</v>
      </c>
      <c r="M294" s="118" t="s">
        <v>174</v>
      </c>
      <c r="N294" s="118" t="s">
        <v>46</v>
      </c>
      <c r="O294" s="118" t="s">
        <v>74</v>
      </c>
      <c r="P294" s="118" t="s">
        <v>1166</v>
      </c>
      <c r="Q294" s="118" t="s">
        <v>49</v>
      </c>
      <c r="R294" s="118">
        <v>1</v>
      </c>
      <c r="S294" s="118">
        <v>1</v>
      </c>
      <c r="T294" s="118">
        <v>1</v>
      </c>
      <c r="U294" s="118">
        <v>1</v>
      </c>
      <c r="V294" s="118">
        <v>1</v>
      </c>
      <c r="W294" s="118">
        <v>1</v>
      </c>
      <c r="X294" s="118">
        <v>1</v>
      </c>
      <c r="Y294" s="118" t="s">
        <v>140</v>
      </c>
      <c r="Z294" s="118">
        <v>1</v>
      </c>
      <c r="AA294" s="118">
        <v>1</v>
      </c>
      <c r="AB294" s="118">
        <v>1</v>
      </c>
      <c r="AC294" s="118">
        <v>1</v>
      </c>
      <c r="AD294" s="118">
        <v>1</v>
      </c>
      <c r="AE294" s="118">
        <v>1</v>
      </c>
      <c r="AF294" s="118" t="s">
        <v>140</v>
      </c>
      <c r="AG294" s="118">
        <v>1</v>
      </c>
      <c r="AH294" s="118">
        <v>0</v>
      </c>
      <c r="AI294" s="118">
        <v>1</v>
      </c>
      <c r="AJ294" s="118">
        <v>1</v>
      </c>
      <c r="AK294" s="118" t="s">
        <v>140</v>
      </c>
      <c r="AL294" s="118" t="s">
        <v>140</v>
      </c>
      <c r="AM294" s="118" t="s">
        <v>140</v>
      </c>
      <c r="AN294" s="118" t="s">
        <v>140</v>
      </c>
      <c r="AO294" s="118" t="s">
        <v>1104</v>
      </c>
    </row>
    <row r="295" spans="1:41" hidden="1" x14ac:dyDescent="0.2">
      <c r="A295" s="13">
        <f t="shared" si="10"/>
        <v>6</v>
      </c>
      <c r="B295" s="13">
        <f t="shared" si="11"/>
        <v>2</v>
      </c>
      <c r="C295" s="13" t="str">
        <f>VLOOKUP(B295,Correspondance!$D$3:$E$14,2,FALSE)</f>
        <v>Février</v>
      </c>
      <c r="D295" s="15" t="str">
        <f>VLOOKUP(G295,Correspondance!$A$3:$B$11,2,FALSE)</f>
        <v>PHONE</v>
      </c>
      <c r="E295" s="115" t="s">
        <v>1081</v>
      </c>
      <c r="F295" s="116" t="s">
        <v>169</v>
      </c>
      <c r="G295" s="117" t="s">
        <v>277</v>
      </c>
      <c r="H295" s="118" t="s">
        <v>356</v>
      </c>
      <c r="I295" s="118" t="s">
        <v>369</v>
      </c>
      <c r="J295" s="119" t="s">
        <v>57</v>
      </c>
      <c r="K295" s="120">
        <v>100</v>
      </c>
      <c r="L295" s="118" t="s">
        <v>1355</v>
      </c>
      <c r="M295" s="118" t="s">
        <v>174</v>
      </c>
      <c r="N295" s="118" t="s">
        <v>46</v>
      </c>
      <c r="O295" s="118" t="s">
        <v>74</v>
      </c>
      <c r="P295" s="118" t="s">
        <v>1187</v>
      </c>
      <c r="Q295" s="118" t="s">
        <v>49</v>
      </c>
      <c r="R295" s="118">
        <v>1</v>
      </c>
      <c r="S295" s="118">
        <v>1</v>
      </c>
      <c r="T295" s="118">
        <v>1</v>
      </c>
      <c r="U295" s="118">
        <v>1</v>
      </c>
      <c r="V295" s="118">
        <v>1</v>
      </c>
      <c r="W295" s="118">
        <v>1</v>
      </c>
      <c r="X295" s="118">
        <v>1</v>
      </c>
      <c r="Y295" s="118" t="s">
        <v>140</v>
      </c>
      <c r="Z295" s="118">
        <v>1</v>
      </c>
      <c r="AA295" s="118">
        <v>1</v>
      </c>
      <c r="AB295" s="118">
        <v>1</v>
      </c>
      <c r="AC295" s="118">
        <v>1</v>
      </c>
      <c r="AD295" s="118">
        <v>1</v>
      </c>
      <c r="AE295" s="118">
        <v>1</v>
      </c>
      <c r="AF295" s="118" t="s">
        <v>140</v>
      </c>
      <c r="AG295" s="118">
        <v>1</v>
      </c>
      <c r="AH295" s="118">
        <v>1</v>
      </c>
      <c r="AI295" s="118">
        <v>1</v>
      </c>
      <c r="AJ295" s="118">
        <v>1</v>
      </c>
      <c r="AK295" s="118">
        <v>1</v>
      </c>
      <c r="AL295" s="118">
        <v>1</v>
      </c>
      <c r="AM295" s="118">
        <v>1</v>
      </c>
      <c r="AN295" s="118">
        <v>1</v>
      </c>
      <c r="AO295" s="118" t="s">
        <v>1104</v>
      </c>
    </row>
    <row r="296" spans="1:41" hidden="1" x14ac:dyDescent="0.2">
      <c r="A296" s="13">
        <f t="shared" si="10"/>
        <v>6</v>
      </c>
      <c r="B296" s="13">
        <f t="shared" si="11"/>
        <v>2</v>
      </c>
      <c r="C296" s="13" t="str">
        <f>VLOOKUP(B296,Correspondance!$D$3:$E$14,2,FALSE)</f>
        <v>Février</v>
      </c>
      <c r="D296" s="15" t="str">
        <f>VLOOKUP(G296,Correspondance!$A$3:$B$11,2,FALSE)</f>
        <v>PHONE</v>
      </c>
      <c r="E296" s="115" t="s">
        <v>1081</v>
      </c>
      <c r="F296" s="116" t="s">
        <v>169</v>
      </c>
      <c r="G296" s="117" t="s">
        <v>277</v>
      </c>
      <c r="H296" s="118" t="s">
        <v>356</v>
      </c>
      <c r="I296" s="118" t="s">
        <v>369</v>
      </c>
      <c r="J296" s="119" t="s">
        <v>57</v>
      </c>
      <c r="K296" s="120">
        <v>100</v>
      </c>
      <c r="L296" s="118" t="s">
        <v>1356</v>
      </c>
      <c r="M296" s="118" t="s">
        <v>215</v>
      </c>
      <c r="N296" s="118" t="s">
        <v>46</v>
      </c>
      <c r="O296" s="118" t="s">
        <v>47</v>
      </c>
      <c r="P296" s="118" t="s">
        <v>1357</v>
      </c>
      <c r="Q296" s="118" t="s">
        <v>49</v>
      </c>
      <c r="R296" s="118">
        <v>1</v>
      </c>
      <c r="S296" s="118">
        <v>1</v>
      </c>
      <c r="T296" s="118">
        <v>1</v>
      </c>
      <c r="U296" s="118">
        <v>1</v>
      </c>
      <c r="V296" s="118">
        <v>1</v>
      </c>
      <c r="W296" s="118">
        <v>1</v>
      </c>
      <c r="X296" s="118">
        <v>1</v>
      </c>
      <c r="Y296" s="118" t="s">
        <v>140</v>
      </c>
      <c r="Z296" s="118">
        <v>1</v>
      </c>
      <c r="AA296" s="118">
        <v>1</v>
      </c>
      <c r="AB296" s="118">
        <v>1</v>
      </c>
      <c r="AC296" s="118">
        <v>1</v>
      </c>
      <c r="AD296" s="118">
        <v>1</v>
      </c>
      <c r="AE296" s="118">
        <v>1</v>
      </c>
      <c r="AF296" s="118" t="s">
        <v>140</v>
      </c>
      <c r="AG296" s="118">
        <v>1</v>
      </c>
      <c r="AH296" s="118">
        <v>1</v>
      </c>
      <c r="AI296" s="118">
        <v>1</v>
      </c>
      <c r="AJ296" s="118">
        <v>1</v>
      </c>
      <c r="AK296" s="118">
        <v>1</v>
      </c>
      <c r="AL296" s="118">
        <v>1</v>
      </c>
      <c r="AM296" s="118">
        <v>1</v>
      </c>
      <c r="AN296" s="118">
        <v>1</v>
      </c>
      <c r="AO296" s="118" t="s">
        <v>1104</v>
      </c>
    </row>
    <row r="297" spans="1:41" ht="25.5" hidden="1" x14ac:dyDescent="0.2">
      <c r="A297" s="13">
        <f t="shared" si="10"/>
        <v>6</v>
      </c>
      <c r="B297" s="13">
        <f t="shared" si="11"/>
        <v>2</v>
      </c>
      <c r="C297" s="13" t="str">
        <f>VLOOKUP(B297,Correspondance!$D$3:$E$14,2,FALSE)</f>
        <v>Février</v>
      </c>
      <c r="D297" s="15" t="str">
        <f>VLOOKUP(G297,Correspondance!$A$3:$B$11,2,FALSE)</f>
        <v>PHONE</v>
      </c>
      <c r="E297" s="115" t="s">
        <v>1081</v>
      </c>
      <c r="F297" s="116" t="s">
        <v>169</v>
      </c>
      <c r="G297" s="117" t="s">
        <v>277</v>
      </c>
      <c r="H297" s="118" t="s">
        <v>1332</v>
      </c>
      <c r="I297" s="118" t="s">
        <v>260</v>
      </c>
      <c r="J297" s="119" t="s">
        <v>57</v>
      </c>
      <c r="K297" s="120">
        <v>98</v>
      </c>
      <c r="L297" s="118" t="s">
        <v>1358</v>
      </c>
      <c r="M297" s="118" t="s">
        <v>174</v>
      </c>
      <c r="N297" s="118" t="s">
        <v>46</v>
      </c>
      <c r="O297" s="118" t="s">
        <v>47</v>
      </c>
      <c r="P297" s="118" t="s">
        <v>1359</v>
      </c>
      <c r="Q297" s="118" t="s">
        <v>49</v>
      </c>
      <c r="R297" s="118">
        <v>1</v>
      </c>
      <c r="S297" s="118">
        <v>1</v>
      </c>
      <c r="T297" s="118">
        <v>1</v>
      </c>
      <c r="U297" s="118">
        <v>1</v>
      </c>
      <c r="V297" s="118">
        <v>1</v>
      </c>
      <c r="W297" s="118">
        <v>1</v>
      </c>
      <c r="X297" s="118">
        <v>1</v>
      </c>
      <c r="Y297" s="118" t="s">
        <v>140</v>
      </c>
      <c r="Z297" s="118">
        <v>1</v>
      </c>
      <c r="AA297" s="118">
        <v>1</v>
      </c>
      <c r="AB297" s="118">
        <v>1</v>
      </c>
      <c r="AC297" s="118">
        <v>1</v>
      </c>
      <c r="AD297" s="118">
        <v>1</v>
      </c>
      <c r="AE297" s="118">
        <v>1</v>
      </c>
      <c r="AF297" s="118" t="s">
        <v>140</v>
      </c>
      <c r="AG297" s="118">
        <v>1</v>
      </c>
      <c r="AH297" s="118">
        <v>0</v>
      </c>
      <c r="AI297" s="118">
        <v>1</v>
      </c>
      <c r="AJ297" s="118">
        <v>1</v>
      </c>
      <c r="AK297" s="118">
        <v>1</v>
      </c>
      <c r="AL297" s="118">
        <v>1</v>
      </c>
      <c r="AM297" s="118">
        <v>1</v>
      </c>
      <c r="AN297" s="118">
        <v>1</v>
      </c>
      <c r="AO297" s="118" t="s">
        <v>1104</v>
      </c>
    </row>
    <row r="298" spans="1:41" ht="25.5" hidden="1" x14ac:dyDescent="0.2">
      <c r="A298" s="13">
        <f t="shared" si="10"/>
        <v>6</v>
      </c>
      <c r="B298" s="13">
        <f t="shared" si="11"/>
        <v>2</v>
      </c>
      <c r="C298" s="13" t="str">
        <f>VLOOKUP(B298,Correspondance!$D$3:$E$14,2,FALSE)</f>
        <v>Février</v>
      </c>
      <c r="D298" s="15" t="str">
        <f>VLOOKUP(G298,Correspondance!$A$3:$B$11,2,FALSE)</f>
        <v>PHONE</v>
      </c>
      <c r="E298" s="115" t="s">
        <v>1081</v>
      </c>
      <c r="F298" s="116" t="s">
        <v>169</v>
      </c>
      <c r="G298" s="117" t="s">
        <v>277</v>
      </c>
      <c r="H298" s="118" t="s">
        <v>1332</v>
      </c>
      <c r="I298" s="118" t="s">
        <v>260</v>
      </c>
      <c r="J298" s="119" t="s">
        <v>57</v>
      </c>
      <c r="K298" s="120">
        <v>100</v>
      </c>
      <c r="L298" s="118" t="s">
        <v>1360</v>
      </c>
      <c r="M298" s="118" t="s">
        <v>215</v>
      </c>
      <c r="N298" s="118" t="s">
        <v>46</v>
      </c>
      <c r="O298" s="118" t="s">
        <v>74</v>
      </c>
      <c r="P298" s="118" t="s">
        <v>503</v>
      </c>
      <c r="Q298" s="118" t="s">
        <v>49</v>
      </c>
      <c r="R298" s="118">
        <v>1</v>
      </c>
      <c r="S298" s="118">
        <v>1</v>
      </c>
      <c r="T298" s="118">
        <v>1</v>
      </c>
      <c r="U298" s="118">
        <v>1</v>
      </c>
      <c r="V298" s="118">
        <v>1</v>
      </c>
      <c r="W298" s="118">
        <v>1</v>
      </c>
      <c r="X298" s="118">
        <v>1</v>
      </c>
      <c r="Y298" s="118" t="s">
        <v>140</v>
      </c>
      <c r="Z298" s="118">
        <v>1</v>
      </c>
      <c r="AA298" s="118">
        <v>1</v>
      </c>
      <c r="AB298" s="118">
        <v>1</v>
      </c>
      <c r="AC298" s="118">
        <v>1</v>
      </c>
      <c r="AD298" s="118">
        <v>1</v>
      </c>
      <c r="AE298" s="118">
        <v>1</v>
      </c>
      <c r="AF298" s="118" t="s">
        <v>140</v>
      </c>
      <c r="AG298" s="118">
        <v>1</v>
      </c>
      <c r="AH298" s="118">
        <v>1</v>
      </c>
      <c r="AI298" s="118">
        <v>1</v>
      </c>
      <c r="AJ298" s="118">
        <v>1</v>
      </c>
      <c r="AK298" s="118">
        <v>1</v>
      </c>
      <c r="AL298" s="118">
        <v>1</v>
      </c>
      <c r="AM298" s="118">
        <v>1</v>
      </c>
      <c r="AN298" s="118">
        <v>1</v>
      </c>
      <c r="AO298" s="118" t="s">
        <v>1104</v>
      </c>
    </row>
    <row r="299" spans="1:41" x14ac:dyDescent="0.2">
      <c r="A299" s="13">
        <f t="shared" si="10"/>
        <v>6</v>
      </c>
      <c r="B299" s="13">
        <f t="shared" si="11"/>
        <v>2</v>
      </c>
      <c r="C299" s="13" t="str">
        <f>VLOOKUP(B299,Correspondance!$D$3:$E$14,2,FALSE)</f>
        <v>Février</v>
      </c>
      <c r="D299" s="15" t="str">
        <f>VLOOKUP(G299,Correspondance!$A$3:$B$11,2,FALSE)</f>
        <v>PHONE</v>
      </c>
      <c r="E299" s="115" t="s">
        <v>1081</v>
      </c>
      <c r="F299" s="116" t="s">
        <v>169</v>
      </c>
      <c r="G299" s="117" t="s">
        <v>277</v>
      </c>
      <c r="H299" s="118" t="s">
        <v>278</v>
      </c>
      <c r="I299" s="118" t="s">
        <v>279</v>
      </c>
      <c r="J299" s="119" t="s">
        <v>57</v>
      </c>
      <c r="K299" s="120">
        <v>90</v>
      </c>
      <c r="L299" s="118" t="s">
        <v>1361</v>
      </c>
      <c r="M299" s="118" t="s">
        <v>174</v>
      </c>
      <c r="N299" s="118" t="s">
        <v>46</v>
      </c>
      <c r="O299" s="118" t="s">
        <v>47</v>
      </c>
      <c r="P299" s="118" t="s">
        <v>1362</v>
      </c>
      <c r="Q299" s="118" t="s">
        <v>49</v>
      </c>
      <c r="R299" s="118">
        <v>1</v>
      </c>
      <c r="S299" s="118">
        <v>1</v>
      </c>
      <c r="T299" s="118">
        <v>1</v>
      </c>
      <c r="U299" s="118">
        <v>1</v>
      </c>
      <c r="V299" s="118">
        <v>1</v>
      </c>
      <c r="W299" s="118">
        <v>1</v>
      </c>
      <c r="X299" s="118">
        <v>1</v>
      </c>
      <c r="Y299" s="118" t="s">
        <v>140</v>
      </c>
      <c r="Z299" s="118">
        <v>1</v>
      </c>
      <c r="AA299" s="118">
        <v>1</v>
      </c>
      <c r="AB299" s="118">
        <v>1</v>
      </c>
      <c r="AC299" s="118">
        <v>0</v>
      </c>
      <c r="AD299" s="118">
        <v>1</v>
      </c>
      <c r="AE299" s="118">
        <v>1</v>
      </c>
      <c r="AF299" s="118" t="s">
        <v>140</v>
      </c>
      <c r="AG299" s="118">
        <v>1</v>
      </c>
      <c r="AH299" s="118">
        <v>1</v>
      </c>
      <c r="AI299" s="118">
        <v>1</v>
      </c>
      <c r="AJ299" s="118">
        <v>1</v>
      </c>
      <c r="AK299" s="118">
        <v>1</v>
      </c>
      <c r="AL299" s="118">
        <v>1</v>
      </c>
      <c r="AM299" s="118">
        <v>1</v>
      </c>
      <c r="AN299" s="118">
        <v>1</v>
      </c>
      <c r="AO299" s="118" t="s">
        <v>1104</v>
      </c>
    </row>
    <row r="300" spans="1:41" hidden="1" x14ac:dyDescent="0.2">
      <c r="A300" s="13">
        <f t="shared" si="10"/>
        <v>6</v>
      </c>
      <c r="B300" s="13">
        <f t="shared" si="11"/>
        <v>2</v>
      </c>
      <c r="C300" s="13" t="str">
        <f>VLOOKUP(B300,Correspondance!$D$3:$E$14,2,FALSE)</f>
        <v>Février</v>
      </c>
      <c r="D300" s="15" t="str">
        <f>VLOOKUP(G300,Correspondance!$A$3:$B$11,2,FALSE)</f>
        <v>PHONE</v>
      </c>
      <c r="E300" s="115" t="s">
        <v>1096</v>
      </c>
      <c r="F300" s="116" t="s">
        <v>169</v>
      </c>
      <c r="G300" s="117" t="s">
        <v>277</v>
      </c>
      <c r="H300" s="118" t="s">
        <v>272</v>
      </c>
      <c r="I300" s="118" t="s">
        <v>273</v>
      </c>
      <c r="J300" s="119" t="s">
        <v>57</v>
      </c>
      <c r="K300" s="120">
        <v>100</v>
      </c>
      <c r="L300" s="118" t="s">
        <v>1360</v>
      </c>
      <c r="M300" s="118" t="s">
        <v>174</v>
      </c>
      <c r="N300" s="118" t="s">
        <v>46</v>
      </c>
      <c r="O300" s="118" t="s">
        <v>74</v>
      </c>
      <c r="P300" s="118" t="s">
        <v>1363</v>
      </c>
      <c r="Q300" s="118" t="s">
        <v>49</v>
      </c>
      <c r="R300" s="118">
        <v>1</v>
      </c>
      <c r="S300" s="118">
        <v>1</v>
      </c>
      <c r="T300" s="118">
        <v>1</v>
      </c>
      <c r="U300" s="118">
        <v>1</v>
      </c>
      <c r="V300" s="118">
        <v>1</v>
      </c>
      <c r="W300" s="118">
        <v>1</v>
      </c>
      <c r="X300" s="118">
        <v>1</v>
      </c>
      <c r="Y300" s="118" t="s">
        <v>140</v>
      </c>
      <c r="Z300" s="118">
        <v>1</v>
      </c>
      <c r="AA300" s="118">
        <v>1</v>
      </c>
      <c r="AB300" s="118">
        <v>1</v>
      </c>
      <c r="AC300" s="118">
        <v>1</v>
      </c>
      <c r="AD300" s="118">
        <v>1</v>
      </c>
      <c r="AE300" s="118">
        <v>1</v>
      </c>
      <c r="AF300" s="118" t="s">
        <v>140</v>
      </c>
      <c r="AG300" s="118">
        <v>1</v>
      </c>
      <c r="AH300" s="118">
        <v>1</v>
      </c>
      <c r="AI300" s="118">
        <v>1</v>
      </c>
      <c r="AJ300" s="118">
        <v>1</v>
      </c>
      <c r="AK300" s="118">
        <v>1</v>
      </c>
      <c r="AL300" s="118">
        <v>1</v>
      </c>
      <c r="AM300" s="118">
        <v>1</v>
      </c>
      <c r="AN300" s="118">
        <v>1</v>
      </c>
      <c r="AO300" s="118" t="s">
        <v>1085</v>
      </c>
    </row>
    <row r="301" spans="1:41" hidden="1" x14ac:dyDescent="0.2">
      <c r="A301" s="13">
        <f t="shared" si="10"/>
        <v>7</v>
      </c>
      <c r="B301" s="13">
        <f t="shared" si="11"/>
        <v>2</v>
      </c>
      <c r="C301" s="13" t="str">
        <f>VLOOKUP(B301,Correspondance!$D$3:$E$14,2,FALSE)</f>
        <v>Février</v>
      </c>
      <c r="D301" s="15" t="str">
        <f>VLOOKUP(G301,Correspondance!$A$3:$B$11,2,FALSE)</f>
        <v>PHONE</v>
      </c>
      <c r="E301" s="115" t="s">
        <v>1113</v>
      </c>
      <c r="F301" s="116" t="s">
        <v>169</v>
      </c>
      <c r="G301" s="117" t="s">
        <v>359</v>
      </c>
      <c r="H301" s="118" t="s">
        <v>517</v>
      </c>
      <c r="I301" s="118" t="s">
        <v>518</v>
      </c>
      <c r="J301" s="119" t="s">
        <v>57</v>
      </c>
      <c r="K301" s="120">
        <v>89</v>
      </c>
      <c r="L301" s="118" t="s">
        <v>1364</v>
      </c>
      <c r="M301" s="118" t="s">
        <v>174</v>
      </c>
      <c r="N301" s="118" t="s">
        <v>46</v>
      </c>
      <c r="O301" s="118" t="s">
        <v>47</v>
      </c>
      <c r="P301" s="118" t="s">
        <v>1365</v>
      </c>
      <c r="Q301" s="118" t="s">
        <v>49</v>
      </c>
      <c r="R301" s="118">
        <v>1</v>
      </c>
      <c r="S301" s="118">
        <v>1</v>
      </c>
      <c r="T301" s="118">
        <v>1</v>
      </c>
      <c r="U301" s="118">
        <v>1</v>
      </c>
      <c r="V301" s="118">
        <v>1</v>
      </c>
      <c r="W301" s="118">
        <v>0</v>
      </c>
      <c r="X301" s="118">
        <v>1</v>
      </c>
      <c r="Y301" s="118" t="s">
        <v>140</v>
      </c>
      <c r="Z301" s="118">
        <v>1</v>
      </c>
      <c r="AA301" s="118">
        <v>1</v>
      </c>
      <c r="AB301" s="118">
        <v>1</v>
      </c>
      <c r="AC301" s="118">
        <v>1</v>
      </c>
      <c r="AD301" s="118">
        <v>1</v>
      </c>
      <c r="AE301" s="118">
        <v>1</v>
      </c>
      <c r="AF301" s="118" t="s">
        <v>140</v>
      </c>
      <c r="AG301" s="118">
        <v>1</v>
      </c>
      <c r="AH301" s="118">
        <v>1</v>
      </c>
      <c r="AI301" s="118">
        <v>1</v>
      </c>
      <c r="AJ301" s="118">
        <v>1</v>
      </c>
      <c r="AK301" s="118">
        <v>1</v>
      </c>
      <c r="AL301" s="118">
        <v>1</v>
      </c>
      <c r="AM301" s="118">
        <v>1</v>
      </c>
      <c r="AN301" s="118">
        <v>1</v>
      </c>
      <c r="AO301" s="118" t="s">
        <v>1175</v>
      </c>
    </row>
    <row r="302" spans="1:41" hidden="1" x14ac:dyDescent="0.2">
      <c r="A302" s="13">
        <f t="shared" si="10"/>
        <v>7</v>
      </c>
      <c r="B302" s="13">
        <f t="shared" si="11"/>
        <v>2</v>
      </c>
      <c r="C302" s="13" t="str">
        <f>VLOOKUP(B302,Correspondance!$D$3:$E$14,2,FALSE)</f>
        <v>Février</v>
      </c>
      <c r="D302" s="15" t="str">
        <f>VLOOKUP(G302,Correspondance!$A$3:$B$11,2,FALSE)</f>
        <v>PHONE</v>
      </c>
      <c r="E302" s="115" t="s">
        <v>1113</v>
      </c>
      <c r="F302" s="116" t="s">
        <v>169</v>
      </c>
      <c r="G302" s="117" t="s">
        <v>277</v>
      </c>
      <c r="H302" s="118" t="s">
        <v>356</v>
      </c>
      <c r="I302" s="118" t="s">
        <v>369</v>
      </c>
      <c r="J302" s="119" t="s">
        <v>57</v>
      </c>
      <c r="K302" s="120">
        <v>100</v>
      </c>
      <c r="L302" s="118" t="s">
        <v>1366</v>
      </c>
      <c r="M302" s="118" t="s">
        <v>245</v>
      </c>
      <c r="N302" s="118" t="s">
        <v>46</v>
      </c>
      <c r="O302" s="118" t="s">
        <v>47</v>
      </c>
      <c r="P302" s="118" t="s">
        <v>645</v>
      </c>
      <c r="Q302" s="118" t="s">
        <v>49</v>
      </c>
      <c r="R302" s="118">
        <v>1</v>
      </c>
      <c r="S302" s="118">
        <v>1</v>
      </c>
      <c r="T302" s="118">
        <v>1</v>
      </c>
      <c r="U302" s="118">
        <v>1</v>
      </c>
      <c r="V302" s="118">
        <v>1</v>
      </c>
      <c r="W302" s="118">
        <v>1</v>
      </c>
      <c r="X302" s="118">
        <v>1</v>
      </c>
      <c r="Y302" s="118" t="s">
        <v>140</v>
      </c>
      <c r="Z302" s="118">
        <v>1</v>
      </c>
      <c r="AA302" s="118">
        <v>1</v>
      </c>
      <c r="AB302" s="118">
        <v>1</v>
      </c>
      <c r="AC302" s="118">
        <v>1</v>
      </c>
      <c r="AD302" s="118">
        <v>1</v>
      </c>
      <c r="AE302" s="118">
        <v>1</v>
      </c>
      <c r="AF302" s="118" t="s">
        <v>140</v>
      </c>
      <c r="AG302" s="118">
        <v>1</v>
      </c>
      <c r="AH302" s="118">
        <v>1</v>
      </c>
      <c r="AI302" s="118">
        <v>1</v>
      </c>
      <c r="AJ302" s="118">
        <v>1</v>
      </c>
      <c r="AK302" s="118">
        <v>1</v>
      </c>
      <c r="AL302" s="118">
        <v>1</v>
      </c>
      <c r="AM302" s="118">
        <v>1</v>
      </c>
      <c r="AN302" s="118">
        <v>1</v>
      </c>
      <c r="AO302" s="118" t="s">
        <v>1175</v>
      </c>
    </row>
    <row r="303" spans="1:41" hidden="1" x14ac:dyDescent="0.2">
      <c r="A303" s="13">
        <f t="shared" si="10"/>
        <v>7</v>
      </c>
      <c r="B303" s="13">
        <f t="shared" si="11"/>
        <v>2</v>
      </c>
      <c r="C303" s="13" t="str">
        <f>VLOOKUP(B303,Correspondance!$D$3:$E$14,2,FALSE)</f>
        <v>Février</v>
      </c>
      <c r="D303" s="15" t="str">
        <f>VLOOKUP(G303,Correspondance!$A$3:$B$11,2,FALSE)</f>
        <v>PHONE</v>
      </c>
      <c r="E303" s="115" t="s">
        <v>1113</v>
      </c>
      <c r="F303" s="116" t="s">
        <v>169</v>
      </c>
      <c r="G303" s="117" t="s">
        <v>277</v>
      </c>
      <c r="H303" s="118" t="s">
        <v>356</v>
      </c>
      <c r="I303" s="118" t="s">
        <v>369</v>
      </c>
      <c r="J303" s="119" t="s">
        <v>57</v>
      </c>
      <c r="K303" s="120">
        <v>100</v>
      </c>
      <c r="L303" s="118" t="s">
        <v>1367</v>
      </c>
      <c r="M303" s="118" t="s">
        <v>368</v>
      </c>
      <c r="N303" s="118" t="s">
        <v>46</v>
      </c>
      <c r="O303" s="118" t="s">
        <v>47</v>
      </c>
      <c r="P303" s="118" t="s">
        <v>782</v>
      </c>
      <c r="Q303" s="118" t="s">
        <v>49</v>
      </c>
      <c r="R303" s="118">
        <v>1</v>
      </c>
      <c r="S303" s="118">
        <v>1</v>
      </c>
      <c r="T303" s="118">
        <v>1</v>
      </c>
      <c r="U303" s="118">
        <v>1</v>
      </c>
      <c r="V303" s="118">
        <v>1</v>
      </c>
      <c r="W303" s="118">
        <v>1</v>
      </c>
      <c r="X303" s="118">
        <v>1</v>
      </c>
      <c r="Y303" s="118" t="s">
        <v>140</v>
      </c>
      <c r="Z303" s="118">
        <v>1</v>
      </c>
      <c r="AA303" s="118">
        <v>1</v>
      </c>
      <c r="AB303" s="118">
        <v>1</v>
      </c>
      <c r="AC303" s="118">
        <v>1</v>
      </c>
      <c r="AD303" s="118">
        <v>1</v>
      </c>
      <c r="AE303" s="118">
        <v>1</v>
      </c>
      <c r="AF303" s="118" t="s">
        <v>140</v>
      </c>
      <c r="AG303" s="118">
        <v>1</v>
      </c>
      <c r="AH303" s="118">
        <v>1</v>
      </c>
      <c r="AI303" s="118">
        <v>1</v>
      </c>
      <c r="AJ303" s="118">
        <v>1</v>
      </c>
      <c r="AK303" s="118">
        <v>1</v>
      </c>
      <c r="AL303" s="118">
        <v>1</v>
      </c>
      <c r="AM303" s="118">
        <v>1</v>
      </c>
      <c r="AN303" s="118">
        <v>1</v>
      </c>
      <c r="AO303" s="118" t="s">
        <v>1175</v>
      </c>
    </row>
    <row r="304" spans="1:41" ht="25.5" hidden="1" x14ac:dyDescent="0.2">
      <c r="A304" s="13">
        <f t="shared" si="10"/>
        <v>7</v>
      </c>
      <c r="B304" s="13">
        <f t="shared" si="11"/>
        <v>2</v>
      </c>
      <c r="C304" s="13" t="str">
        <f>VLOOKUP(B304,Correspondance!$D$3:$E$14,2,FALSE)</f>
        <v>Février</v>
      </c>
      <c r="D304" s="15" t="str">
        <f>VLOOKUP(G304,Correspondance!$A$3:$B$11,2,FALSE)</f>
        <v>PHONE</v>
      </c>
      <c r="E304" s="115" t="s">
        <v>1113</v>
      </c>
      <c r="F304" s="116" t="s">
        <v>169</v>
      </c>
      <c r="G304" s="117" t="s">
        <v>277</v>
      </c>
      <c r="H304" s="118" t="s">
        <v>1332</v>
      </c>
      <c r="I304" s="118" t="s">
        <v>260</v>
      </c>
      <c r="J304" s="119" t="s">
        <v>57</v>
      </c>
      <c r="K304" s="120">
        <v>98</v>
      </c>
      <c r="L304" s="118" t="s">
        <v>1368</v>
      </c>
      <c r="M304" s="118" t="s">
        <v>509</v>
      </c>
      <c r="N304" s="118" t="s">
        <v>46</v>
      </c>
      <c r="O304" s="118" t="s">
        <v>47</v>
      </c>
      <c r="P304" s="118" t="s">
        <v>507</v>
      </c>
      <c r="Q304" s="118" t="s">
        <v>49</v>
      </c>
      <c r="R304" s="118">
        <v>1</v>
      </c>
      <c r="S304" s="118">
        <v>1</v>
      </c>
      <c r="T304" s="118">
        <v>1</v>
      </c>
      <c r="U304" s="118">
        <v>1</v>
      </c>
      <c r="V304" s="118">
        <v>1</v>
      </c>
      <c r="W304" s="118">
        <v>1</v>
      </c>
      <c r="X304" s="118">
        <v>1</v>
      </c>
      <c r="Y304" s="118" t="s">
        <v>140</v>
      </c>
      <c r="Z304" s="118">
        <v>1</v>
      </c>
      <c r="AA304" s="118">
        <v>1</v>
      </c>
      <c r="AB304" s="118">
        <v>1</v>
      </c>
      <c r="AC304" s="118">
        <v>1</v>
      </c>
      <c r="AD304" s="118">
        <v>1</v>
      </c>
      <c r="AE304" s="118">
        <v>1</v>
      </c>
      <c r="AF304" s="118" t="s">
        <v>140</v>
      </c>
      <c r="AG304" s="118">
        <v>1</v>
      </c>
      <c r="AH304" s="118">
        <v>0</v>
      </c>
      <c r="AI304" s="118">
        <v>1</v>
      </c>
      <c r="AJ304" s="118">
        <v>1</v>
      </c>
      <c r="AK304" s="118">
        <v>1</v>
      </c>
      <c r="AL304" s="118">
        <v>1</v>
      </c>
      <c r="AM304" s="118">
        <v>1</v>
      </c>
      <c r="AN304" s="118">
        <v>1</v>
      </c>
      <c r="AO304" s="118" t="s">
        <v>1079</v>
      </c>
    </row>
    <row r="305" spans="1:41" ht="25.5" hidden="1" x14ac:dyDescent="0.2">
      <c r="A305" s="13">
        <f t="shared" si="10"/>
        <v>7</v>
      </c>
      <c r="B305" s="13">
        <f t="shared" si="11"/>
        <v>2</v>
      </c>
      <c r="C305" s="13" t="str">
        <f>VLOOKUP(B305,Correspondance!$D$3:$E$14,2,FALSE)</f>
        <v>Février</v>
      </c>
      <c r="D305" s="15" t="str">
        <f>VLOOKUP(G305,Correspondance!$A$3:$B$11,2,FALSE)</f>
        <v>PHONE</v>
      </c>
      <c r="E305" s="115" t="s">
        <v>1113</v>
      </c>
      <c r="F305" s="116" t="s">
        <v>169</v>
      </c>
      <c r="G305" s="117" t="s">
        <v>277</v>
      </c>
      <c r="H305" s="118" t="s">
        <v>1332</v>
      </c>
      <c r="I305" s="118" t="s">
        <v>260</v>
      </c>
      <c r="J305" s="119" t="s">
        <v>57</v>
      </c>
      <c r="K305" s="120">
        <v>100</v>
      </c>
      <c r="L305" s="118" t="s">
        <v>1369</v>
      </c>
      <c r="M305" s="118" t="s">
        <v>174</v>
      </c>
      <c r="N305" s="118" t="s">
        <v>46</v>
      </c>
      <c r="O305" s="118" t="s">
        <v>47</v>
      </c>
      <c r="P305" s="118" t="s">
        <v>345</v>
      </c>
      <c r="Q305" s="118" t="s">
        <v>49</v>
      </c>
      <c r="R305" s="118">
        <v>1</v>
      </c>
      <c r="S305" s="118">
        <v>1</v>
      </c>
      <c r="T305" s="118">
        <v>1</v>
      </c>
      <c r="U305" s="118">
        <v>1</v>
      </c>
      <c r="V305" s="118">
        <v>1</v>
      </c>
      <c r="W305" s="118">
        <v>1</v>
      </c>
      <c r="X305" s="118">
        <v>1</v>
      </c>
      <c r="Y305" s="118" t="s">
        <v>140</v>
      </c>
      <c r="Z305" s="118">
        <v>1</v>
      </c>
      <c r="AA305" s="118">
        <v>1</v>
      </c>
      <c r="AB305" s="118">
        <v>1</v>
      </c>
      <c r="AC305" s="118">
        <v>1</v>
      </c>
      <c r="AD305" s="118">
        <v>1</v>
      </c>
      <c r="AE305" s="118">
        <v>1</v>
      </c>
      <c r="AF305" s="118" t="s">
        <v>140</v>
      </c>
      <c r="AG305" s="118">
        <v>1</v>
      </c>
      <c r="AH305" s="118">
        <v>1</v>
      </c>
      <c r="AI305" s="118">
        <v>1</v>
      </c>
      <c r="AJ305" s="118">
        <v>1</v>
      </c>
      <c r="AK305" s="118">
        <v>1</v>
      </c>
      <c r="AL305" s="118">
        <v>1</v>
      </c>
      <c r="AM305" s="118">
        <v>1</v>
      </c>
      <c r="AN305" s="118">
        <v>1</v>
      </c>
      <c r="AO305" s="118" t="s">
        <v>1079</v>
      </c>
    </row>
    <row r="306" spans="1:41" x14ac:dyDescent="0.2">
      <c r="A306" s="13">
        <f t="shared" si="10"/>
        <v>7</v>
      </c>
      <c r="B306" s="13">
        <f t="shared" si="11"/>
        <v>2</v>
      </c>
      <c r="C306" s="13" t="str">
        <f>VLOOKUP(B306,Correspondance!$D$3:$E$14,2,FALSE)</f>
        <v>Février</v>
      </c>
      <c r="D306" s="15" t="str">
        <f>VLOOKUP(G306,Correspondance!$A$3:$B$11,2,FALSE)</f>
        <v>PHONE</v>
      </c>
      <c r="E306" s="115" t="s">
        <v>1113</v>
      </c>
      <c r="F306" s="116" t="s">
        <v>169</v>
      </c>
      <c r="G306" s="117" t="s">
        <v>277</v>
      </c>
      <c r="H306" s="118" t="s">
        <v>360</v>
      </c>
      <c r="I306" s="118" t="s">
        <v>372</v>
      </c>
      <c r="J306" s="119" t="s">
        <v>57</v>
      </c>
      <c r="K306" s="120">
        <v>68.656716417910445</v>
      </c>
      <c r="L306" s="118" t="s">
        <v>1370</v>
      </c>
      <c r="M306" s="118" t="s">
        <v>174</v>
      </c>
      <c r="N306" s="118" t="s">
        <v>46</v>
      </c>
      <c r="O306" s="118" t="s">
        <v>74</v>
      </c>
      <c r="P306" s="118" t="s">
        <v>361</v>
      </c>
      <c r="Q306" s="118" t="s">
        <v>49</v>
      </c>
      <c r="R306" s="118">
        <v>1</v>
      </c>
      <c r="S306" s="118" t="s">
        <v>140</v>
      </c>
      <c r="T306" s="118" t="s">
        <v>140</v>
      </c>
      <c r="U306" s="118">
        <v>1</v>
      </c>
      <c r="V306" s="118">
        <v>1</v>
      </c>
      <c r="W306" s="118">
        <v>1</v>
      </c>
      <c r="X306" s="118">
        <v>1</v>
      </c>
      <c r="Y306" s="118" t="s">
        <v>140</v>
      </c>
      <c r="Z306" s="118">
        <v>1</v>
      </c>
      <c r="AA306" s="118">
        <v>1</v>
      </c>
      <c r="AB306" s="118">
        <v>1</v>
      </c>
      <c r="AC306" s="118">
        <v>0</v>
      </c>
      <c r="AD306" s="118">
        <v>1</v>
      </c>
      <c r="AE306" s="118" t="s">
        <v>140</v>
      </c>
      <c r="AF306" s="118" t="s">
        <v>140</v>
      </c>
      <c r="AG306" s="118" t="s">
        <v>140</v>
      </c>
      <c r="AH306" s="118">
        <v>0</v>
      </c>
      <c r="AI306" s="118" t="s">
        <v>140</v>
      </c>
      <c r="AJ306" s="118" t="s">
        <v>140</v>
      </c>
      <c r="AK306" s="118" t="s">
        <v>140</v>
      </c>
      <c r="AL306" s="118" t="s">
        <v>140</v>
      </c>
      <c r="AM306" s="118" t="s">
        <v>140</v>
      </c>
      <c r="AN306" s="118" t="s">
        <v>140</v>
      </c>
      <c r="AO306" s="118" t="s">
        <v>1071</v>
      </c>
    </row>
    <row r="307" spans="1:41" hidden="1" x14ac:dyDescent="0.2">
      <c r="A307" s="13">
        <f t="shared" si="10"/>
        <v>7</v>
      </c>
      <c r="B307" s="13">
        <f t="shared" si="11"/>
        <v>2</v>
      </c>
      <c r="C307" s="13" t="str">
        <f>VLOOKUP(B307,Correspondance!$D$3:$E$14,2,FALSE)</f>
        <v>Février</v>
      </c>
      <c r="D307" s="15" t="str">
        <f>VLOOKUP(G307,Correspondance!$A$3:$B$11,2,FALSE)</f>
        <v>PHONE</v>
      </c>
      <c r="E307" s="115" t="s">
        <v>1113</v>
      </c>
      <c r="F307" s="116" t="s">
        <v>169</v>
      </c>
      <c r="G307" s="117" t="s">
        <v>277</v>
      </c>
      <c r="H307" s="118" t="s">
        <v>360</v>
      </c>
      <c r="I307" s="118" t="s">
        <v>372</v>
      </c>
      <c r="J307" s="119" t="s">
        <v>57</v>
      </c>
      <c r="K307" s="120">
        <v>95.448275862068968</v>
      </c>
      <c r="L307" s="118" t="s">
        <v>1371</v>
      </c>
      <c r="M307" s="118" t="s">
        <v>365</v>
      </c>
      <c r="N307" s="118" t="s">
        <v>46</v>
      </c>
      <c r="O307" s="118" t="s">
        <v>47</v>
      </c>
      <c r="P307" s="118" t="s">
        <v>524</v>
      </c>
      <c r="Q307" s="118" t="s">
        <v>49</v>
      </c>
      <c r="R307" s="118">
        <v>1</v>
      </c>
      <c r="S307" s="118">
        <v>1</v>
      </c>
      <c r="T307" s="118">
        <v>1</v>
      </c>
      <c r="U307" s="118">
        <v>1</v>
      </c>
      <c r="V307" s="118">
        <v>1</v>
      </c>
      <c r="W307" s="118">
        <v>1</v>
      </c>
      <c r="X307" s="118">
        <v>1</v>
      </c>
      <c r="Y307" s="118" t="s">
        <v>140</v>
      </c>
      <c r="Z307" s="118">
        <v>1</v>
      </c>
      <c r="AA307" s="118">
        <v>1</v>
      </c>
      <c r="AB307" s="118">
        <v>1</v>
      </c>
      <c r="AC307" s="118">
        <v>1</v>
      </c>
      <c r="AD307" s="118">
        <v>1</v>
      </c>
      <c r="AE307" s="118">
        <v>1</v>
      </c>
      <c r="AF307" s="118" t="s">
        <v>140</v>
      </c>
      <c r="AG307" s="118" t="s">
        <v>140</v>
      </c>
      <c r="AH307" s="118" t="s">
        <v>140</v>
      </c>
      <c r="AI307" s="118">
        <v>0</v>
      </c>
      <c r="AJ307" s="118">
        <v>1</v>
      </c>
      <c r="AK307" s="118">
        <v>1</v>
      </c>
      <c r="AL307" s="118">
        <v>1</v>
      </c>
      <c r="AM307" s="118">
        <v>1</v>
      </c>
      <c r="AN307" s="118">
        <v>1</v>
      </c>
      <c r="AO307" s="118" t="s">
        <v>1071</v>
      </c>
    </row>
    <row r="308" spans="1:41" hidden="1" x14ac:dyDescent="0.2">
      <c r="A308" s="13">
        <f t="shared" si="10"/>
        <v>7</v>
      </c>
      <c r="B308" s="13">
        <f t="shared" si="11"/>
        <v>2</v>
      </c>
      <c r="C308" s="13" t="str">
        <f>VLOOKUP(B308,Correspondance!$D$3:$E$14,2,FALSE)</f>
        <v>Février</v>
      </c>
      <c r="D308" s="15" t="str">
        <f>VLOOKUP(G308,Correspondance!$A$3:$B$11,2,FALSE)</f>
        <v>PHONE</v>
      </c>
      <c r="E308" s="115" t="s">
        <v>1113</v>
      </c>
      <c r="F308" s="116" t="s">
        <v>169</v>
      </c>
      <c r="G308" s="117" t="s">
        <v>277</v>
      </c>
      <c r="H308" s="118" t="s">
        <v>278</v>
      </c>
      <c r="I308" s="118" t="s">
        <v>279</v>
      </c>
      <c r="J308" s="119" t="s">
        <v>57</v>
      </c>
      <c r="K308" s="120">
        <v>96</v>
      </c>
      <c r="L308" s="118" t="s">
        <v>1372</v>
      </c>
      <c r="M308" s="118" t="s">
        <v>174</v>
      </c>
      <c r="N308" s="118" t="s">
        <v>46</v>
      </c>
      <c r="O308" s="118" t="s">
        <v>47</v>
      </c>
      <c r="P308" s="118" t="s">
        <v>77</v>
      </c>
      <c r="Q308" s="118" t="s">
        <v>49</v>
      </c>
      <c r="R308" s="118">
        <v>1</v>
      </c>
      <c r="S308" s="118">
        <v>1</v>
      </c>
      <c r="T308" s="118">
        <v>1</v>
      </c>
      <c r="U308" s="118">
        <v>1</v>
      </c>
      <c r="V308" s="118">
        <v>1</v>
      </c>
      <c r="W308" s="118">
        <v>1</v>
      </c>
      <c r="X308" s="118">
        <v>1</v>
      </c>
      <c r="Y308" s="118" t="s">
        <v>140</v>
      </c>
      <c r="Z308" s="118">
        <v>1</v>
      </c>
      <c r="AA308" s="118">
        <v>1</v>
      </c>
      <c r="AB308" s="118">
        <v>1</v>
      </c>
      <c r="AC308" s="118">
        <v>1</v>
      </c>
      <c r="AD308" s="118">
        <v>1</v>
      </c>
      <c r="AE308" s="118">
        <v>1</v>
      </c>
      <c r="AF308" s="118" t="s">
        <v>140</v>
      </c>
      <c r="AG308" s="118">
        <v>1</v>
      </c>
      <c r="AH308" s="118">
        <v>1</v>
      </c>
      <c r="AI308" s="118">
        <v>0</v>
      </c>
      <c r="AJ308" s="118">
        <v>1</v>
      </c>
      <c r="AK308" s="118">
        <v>1</v>
      </c>
      <c r="AL308" s="118">
        <v>1</v>
      </c>
      <c r="AM308" s="118">
        <v>1</v>
      </c>
      <c r="AN308" s="118">
        <v>1</v>
      </c>
      <c r="AO308" s="118" t="s">
        <v>1071</v>
      </c>
    </row>
    <row r="309" spans="1:41" hidden="1" x14ac:dyDescent="0.2">
      <c r="A309" s="13">
        <f t="shared" si="10"/>
        <v>7</v>
      </c>
      <c r="B309" s="13">
        <f t="shared" si="11"/>
        <v>2</v>
      </c>
      <c r="C309" s="13" t="str">
        <f>VLOOKUP(B309,Correspondance!$D$3:$E$14,2,FALSE)</f>
        <v>Février</v>
      </c>
      <c r="D309" s="15" t="str">
        <f>VLOOKUP(G309,Correspondance!$A$3:$B$11,2,FALSE)</f>
        <v>PHONE</v>
      </c>
      <c r="E309" s="115" t="s">
        <v>1113</v>
      </c>
      <c r="F309" s="116" t="s">
        <v>169</v>
      </c>
      <c r="G309" s="117" t="s">
        <v>277</v>
      </c>
      <c r="H309" s="118" t="s">
        <v>272</v>
      </c>
      <c r="I309" s="118" t="s">
        <v>273</v>
      </c>
      <c r="J309" s="119" t="s">
        <v>57</v>
      </c>
      <c r="K309" s="120">
        <v>100</v>
      </c>
      <c r="L309" s="118" t="s">
        <v>1373</v>
      </c>
      <c r="M309" s="118" t="s">
        <v>174</v>
      </c>
      <c r="N309" s="118" t="s">
        <v>46</v>
      </c>
      <c r="O309" s="118" t="s">
        <v>74</v>
      </c>
      <c r="P309" s="118" t="s">
        <v>782</v>
      </c>
      <c r="Q309" s="118" t="s">
        <v>49</v>
      </c>
      <c r="R309" s="118">
        <v>1</v>
      </c>
      <c r="S309" s="118">
        <v>1</v>
      </c>
      <c r="T309" s="118">
        <v>1</v>
      </c>
      <c r="U309" s="118">
        <v>1</v>
      </c>
      <c r="V309" s="118">
        <v>1</v>
      </c>
      <c r="W309" s="118">
        <v>1</v>
      </c>
      <c r="X309" s="118">
        <v>1</v>
      </c>
      <c r="Y309" s="118" t="s">
        <v>140</v>
      </c>
      <c r="Z309" s="118">
        <v>1</v>
      </c>
      <c r="AA309" s="118">
        <v>1</v>
      </c>
      <c r="AB309" s="118">
        <v>1</v>
      </c>
      <c r="AC309" s="118">
        <v>1</v>
      </c>
      <c r="AD309" s="118">
        <v>1</v>
      </c>
      <c r="AE309" s="118">
        <v>1</v>
      </c>
      <c r="AF309" s="118" t="s">
        <v>140</v>
      </c>
      <c r="AG309" s="118">
        <v>1</v>
      </c>
      <c r="AH309" s="118">
        <v>1</v>
      </c>
      <c r="AI309" s="118">
        <v>1</v>
      </c>
      <c r="AJ309" s="118">
        <v>1</v>
      </c>
      <c r="AK309" s="118">
        <v>1</v>
      </c>
      <c r="AL309" s="118">
        <v>1</v>
      </c>
      <c r="AM309" s="118">
        <v>1</v>
      </c>
      <c r="AN309" s="118">
        <v>1</v>
      </c>
      <c r="AO309" s="118" t="s">
        <v>1071</v>
      </c>
    </row>
    <row r="310" spans="1:41" hidden="1" x14ac:dyDescent="0.2">
      <c r="A310" s="13">
        <f t="shared" si="10"/>
        <v>7</v>
      </c>
      <c r="B310" s="13">
        <f t="shared" si="11"/>
        <v>2</v>
      </c>
      <c r="C310" s="13" t="str">
        <f>VLOOKUP(B310,Correspondance!$D$3:$E$14,2,FALSE)</f>
        <v>Février</v>
      </c>
      <c r="D310" s="15" t="str">
        <f>VLOOKUP(G310,Correspondance!$A$3:$B$11,2,FALSE)</f>
        <v>PHONE</v>
      </c>
      <c r="E310" s="115" t="s">
        <v>1113</v>
      </c>
      <c r="F310" s="116" t="s">
        <v>169</v>
      </c>
      <c r="G310" s="117" t="s">
        <v>277</v>
      </c>
      <c r="H310" s="118" t="s">
        <v>1331</v>
      </c>
      <c r="I310" s="118" t="s">
        <v>256</v>
      </c>
      <c r="J310" s="119" t="s">
        <v>57</v>
      </c>
      <c r="K310" s="120">
        <v>100</v>
      </c>
      <c r="L310" s="118" t="s">
        <v>1374</v>
      </c>
      <c r="M310" s="118" t="s">
        <v>174</v>
      </c>
      <c r="N310" s="118" t="s">
        <v>46</v>
      </c>
      <c r="O310" s="118" t="s">
        <v>74</v>
      </c>
      <c r="P310" s="118" t="s">
        <v>840</v>
      </c>
      <c r="Q310" s="118" t="s">
        <v>49</v>
      </c>
      <c r="R310" s="118">
        <v>1</v>
      </c>
      <c r="S310" s="118">
        <v>1</v>
      </c>
      <c r="T310" s="118">
        <v>1</v>
      </c>
      <c r="U310" s="118">
        <v>1</v>
      </c>
      <c r="V310" s="118">
        <v>1</v>
      </c>
      <c r="W310" s="118">
        <v>1</v>
      </c>
      <c r="X310" s="118">
        <v>1</v>
      </c>
      <c r="Y310" s="118" t="s">
        <v>140</v>
      </c>
      <c r="Z310" s="118">
        <v>1</v>
      </c>
      <c r="AA310" s="118">
        <v>1</v>
      </c>
      <c r="AB310" s="118">
        <v>1</v>
      </c>
      <c r="AC310" s="118">
        <v>1</v>
      </c>
      <c r="AD310" s="118">
        <v>1</v>
      </c>
      <c r="AE310" s="118">
        <v>1</v>
      </c>
      <c r="AF310" s="118" t="s">
        <v>140</v>
      </c>
      <c r="AG310" s="118">
        <v>1</v>
      </c>
      <c r="AH310" s="118">
        <v>1</v>
      </c>
      <c r="AI310" s="118">
        <v>1</v>
      </c>
      <c r="AJ310" s="118">
        <v>1</v>
      </c>
      <c r="AK310" s="118">
        <v>1</v>
      </c>
      <c r="AL310" s="118">
        <v>1</v>
      </c>
      <c r="AM310" s="118">
        <v>1</v>
      </c>
      <c r="AN310" s="118">
        <v>1</v>
      </c>
      <c r="AO310" s="118" t="s">
        <v>1071</v>
      </c>
    </row>
    <row r="311" spans="1:41" hidden="1" x14ac:dyDescent="0.2">
      <c r="A311" s="13">
        <f t="shared" si="10"/>
        <v>7</v>
      </c>
      <c r="B311" s="13">
        <f t="shared" si="11"/>
        <v>2</v>
      </c>
      <c r="C311" s="13" t="str">
        <f>VLOOKUP(B311,Correspondance!$D$3:$E$14,2,FALSE)</f>
        <v>Février</v>
      </c>
      <c r="D311" s="15" t="str">
        <f>VLOOKUP(G311,Correspondance!$A$3:$B$11,2,FALSE)</f>
        <v>PHONE</v>
      </c>
      <c r="E311" s="115" t="s">
        <v>1236</v>
      </c>
      <c r="F311" s="116" t="s">
        <v>169</v>
      </c>
      <c r="G311" s="117" t="s">
        <v>277</v>
      </c>
      <c r="H311" s="118" t="s">
        <v>356</v>
      </c>
      <c r="I311" s="118" t="s">
        <v>369</v>
      </c>
      <c r="J311" s="119" t="s">
        <v>57</v>
      </c>
      <c r="K311" s="120">
        <v>100</v>
      </c>
      <c r="L311" s="118" t="s">
        <v>1375</v>
      </c>
      <c r="M311" s="118" t="s">
        <v>174</v>
      </c>
      <c r="N311" s="118" t="s">
        <v>114</v>
      </c>
      <c r="O311" s="118" t="s">
        <v>74</v>
      </c>
      <c r="P311" s="118" t="s">
        <v>1376</v>
      </c>
      <c r="Q311" s="118" t="s">
        <v>49</v>
      </c>
      <c r="R311" s="118">
        <v>1</v>
      </c>
      <c r="S311" s="118">
        <v>1</v>
      </c>
      <c r="T311" s="118">
        <v>1</v>
      </c>
      <c r="U311" s="118">
        <v>1</v>
      </c>
      <c r="V311" s="118">
        <v>1</v>
      </c>
      <c r="W311" s="118">
        <v>1</v>
      </c>
      <c r="X311" s="118">
        <v>1</v>
      </c>
      <c r="Y311" s="118" t="s">
        <v>140</v>
      </c>
      <c r="Z311" s="118">
        <v>1</v>
      </c>
      <c r="AA311" s="118">
        <v>1</v>
      </c>
      <c r="AB311" s="118">
        <v>1</v>
      </c>
      <c r="AC311" s="118">
        <v>1</v>
      </c>
      <c r="AD311" s="118">
        <v>1</v>
      </c>
      <c r="AE311" s="118">
        <v>1</v>
      </c>
      <c r="AF311" s="118" t="s">
        <v>140</v>
      </c>
      <c r="AG311" s="118">
        <v>1</v>
      </c>
      <c r="AH311" s="118">
        <v>1</v>
      </c>
      <c r="AI311" s="118">
        <v>1</v>
      </c>
      <c r="AJ311" s="118">
        <v>1</v>
      </c>
      <c r="AK311" s="118">
        <v>1</v>
      </c>
      <c r="AL311" s="118">
        <v>1</v>
      </c>
      <c r="AM311" s="118">
        <v>1</v>
      </c>
      <c r="AN311" s="118">
        <v>1</v>
      </c>
      <c r="AO311" s="118" t="s">
        <v>1175</v>
      </c>
    </row>
    <row r="312" spans="1:41" ht="25.5" hidden="1" x14ac:dyDescent="0.2">
      <c r="A312" s="13">
        <f t="shared" si="10"/>
        <v>7</v>
      </c>
      <c r="B312" s="13">
        <f t="shared" si="11"/>
        <v>2</v>
      </c>
      <c r="C312" s="13" t="str">
        <f>VLOOKUP(B312,Correspondance!$D$3:$E$14,2,FALSE)</f>
        <v>Février</v>
      </c>
      <c r="D312" s="15" t="str">
        <f>VLOOKUP(G312,Correspondance!$A$3:$B$11,2,FALSE)</f>
        <v>PHONE</v>
      </c>
      <c r="E312" s="115" t="s">
        <v>1236</v>
      </c>
      <c r="F312" s="116" t="s">
        <v>169</v>
      </c>
      <c r="G312" s="117" t="s">
        <v>277</v>
      </c>
      <c r="H312" s="118" t="s">
        <v>1332</v>
      </c>
      <c r="I312" s="118" t="s">
        <v>260</v>
      </c>
      <c r="J312" s="119" t="s">
        <v>57</v>
      </c>
      <c r="K312" s="120">
        <v>92</v>
      </c>
      <c r="L312" s="118" t="s">
        <v>1377</v>
      </c>
      <c r="M312" s="118" t="s">
        <v>174</v>
      </c>
      <c r="N312" s="118" t="s">
        <v>114</v>
      </c>
      <c r="O312" s="118" t="s">
        <v>74</v>
      </c>
      <c r="P312" s="118" t="s">
        <v>275</v>
      </c>
      <c r="Q312" s="118" t="s">
        <v>49</v>
      </c>
      <c r="R312" s="118">
        <v>1</v>
      </c>
      <c r="S312" s="118">
        <v>1</v>
      </c>
      <c r="T312" s="118">
        <v>1</v>
      </c>
      <c r="U312" s="118">
        <v>1</v>
      </c>
      <c r="V312" s="118">
        <v>1</v>
      </c>
      <c r="W312" s="118">
        <v>0</v>
      </c>
      <c r="X312" s="118">
        <v>1</v>
      </c>
      <c r="Y312" s="118" t="s">
        <v>140</v>
      </c>
      <c r="Z312" s="118">
        <v>1</v>
      </c>
      <c r="AA312" s="118">
        <v>1</v>
      </c>
      <c r="AB312" s="118">
        <v>1</v>
      </c>
      <c r="AC312" s="118">
        <v>1</v>
      </c>
      <c r="AD312" s="118">
        <v>1</v>
      </c>
      <c r="AE312" s="118">
        <v>1</v>
      </c>
      <c r="AF312" s="118">
        <v>1</v>
      </c>
      <c r="AG312" s="118">
        <v>1</v>
      </c>
      <c r="AH312" s="118">
        <v>1</v>
      </c>
      <c r="AI312" s="118">
        <v>1</v>
      </c>
      <c r="AJ312" s="118">
        <v>1</v>
      </c>
      <c r="AK312" s="118">
        <v>1</v>
      </c>
      <c r="AL312" s="118">
        <v>1</v>
      </c>
      <c r="AM312" s="118">
        <v>1</v>
      </c>
      <c r="AN312" s="118">
        <v>1</v>
      </c>
      <c r="AO312" s="118" t="s">
        <v>1079</v>
      </c>
    </row>
    <row r="313" spans="1:41" ht="25.5" hidden="1" x14ac:dyDescent="0.2">
      <c r="A313" s="13">
        <f t="shared" si="10"/>
        <v>7</v>
      </c>
      <c r="B313" s="13">
        <f t="shared" si="11"/>
        <v>2</v>
      </c>
      <c r="C313" s="13" t="str">
        <f>VLOOKUP(B313,Correspondance!$D$3:$E$14,2,FALSE)</f>
        <v>Février</v>
      </c>
      <c r="D313" s="15" t="str">
        <f>VLOOKUP(G313,Correspondance!$A$3:$B$11,2,FALSE)</f>
        <v>PHONE</v>
      </c>
      <c r="E313" s="115" t="s">
        <v>1236</v>
      </c>
      <c r="F313" s="116" t="s">
        <v>169</v>
      </c>
      <c r="G313" s="117" t="s">
        <v>277</v>
      </c>
      <c r="H313" s="118" t="s">
        <v>1332</v>
      </c>
      <c r="I313" s="118" t="s">
        <v>260</v>
      </c>
      <c r="J313" s="119" t="s">
        <v>57</v>
      </c>
      <c r="K313" s="120">
        <v>100</v>
      </c>
      <c r="L313" s="118" t="s">
        <v>1378</v>
      </c>
      <c r="M313" s="118" t="s">
        <v>174</v>
      </c>
      <c r="N313" s="118" t="s">
        <v>114</v>
      </c>
      <c r="O313" s="118" t="s">
        <v>74</v>
      </c>
      <c r="P313" s="118" t="s">
        <v>843</v>
      </c>
      <c r="Q313" s="118" t="s">
        <v>49</v>
      </c>
      <c r="R313" s="118">
        <v>1</v>
      </c>
      <c r="S313" s="118">
        <v>1</v>
      </c>
      <c r="T313" s="118">
        <v>1</v>
      </c>
      <c r="U313" s="118">
        <v>1</v>
      </c>
      <c r="V313" s="118">
        <v>1</v>
      </c>
      <c r="W313" s="118">
        <v>1</v>
      </c>
      <c r="X313" s="118">
        <v>1</v>
      </c>
      <c r="Y313" s="118" t="s">
        <v>140</v>
      </c>
      <c r="Z313" s="118">
        <v>1</v>
      </c>
      <c r="AA313" s="118">
        <v>1</v>
      </c>
      <c r="AB313" s="118">
        <v>1</v>
      </c>
      <c r="AC313" s="118">
        <v>1</v>
      </c>
      <c r="AD313" s="118">
        <v>1</v>
      </c>
      <c r="AE313" s="118">
        <v>1</v>
      </c>
      <c r="AF313" s="118" t="s">
        <v>140</v>
      </c>
      <c r="AG313" s="118">
        <v>1</v>
      </c>
      <c r="AH313" s="118">
        <v>1</v>
      </c>
      <c r="AI313" s="118">
        <v>1</v>
      </c>
      <c r="AJ313" s="118">
        <v>1</v>
      </c>
      <c r="AK313" s="118">
        <v>1</v>
      </c>
      <c r="AL313" s="118">
        <v>1</v>
      </c>
      <c r="AM313" s="118">
        <v>1</v>
      </c>
      <c r="AN313" s="118">
        <v>1</v>
      </c>
      <c r="AO313" s="118" t="s">
        <v>1079</v>
      </c>
    </row>
    <row r="314" spans="1:41" hidden="1" x14ac:dyDescent="0.2">
      <c r="A314" s="13">
        <f t="shared" si="10"/>
        <v>7</v>
      </c>
      <c r="B314" s="13">
        <f t="shared" si="11"/>
        <v>2</v>
      </c>
      <c r="C314" s="13" t="str">
        <f>VLOOKUP(B314,Correspondance!$D$3:$E$14,2,FALSE)</f>
        <v>Février</v>
      </c>
      <c r="D314" s="15" t="str">
        <f>VLOOKUP(G314,Correspondance!$A$3:$B$11,2,FALSE)</f>
        <v>PHONE</v>
      </c>
      <c r="E314" s="115" t="s">
        <v>1236</v>
      </c>
      <c r="F314" s="116" t="s">
        <v>169</v>
      </c>
      <c r="G314" s="117" t="s">
        <v>277</v>
      </c>
      <c r="H314" s="118" t="s">
        <v>360</v>
      </c>
      <c r="I314" s="118" t="s">
        <v>372</v>
      </c>
      <c r="J314" s="119" t="s">
        <v>57</v>
      </c>
      <c r="K314" s="120">
        <v>100</v>
      </c>
      <c r="L314" s="118" t="s">
        <v>1379</v>
      </c>
      <c r="M314" s="118" t="s">
        <v>174</v>
      </c>
      <c r="N314" s="118" t="s">
        <v>114</v>
      </c>
      <c r="O314" s="118" t="s">
        <v>74</v>
      </c>
      <c r="P314" s="118" t="s">
        <v>782</v>
      </c>
      <c r="Q314" s="118" t="s">
        <v>49</v>
      </c>
      <c r="R314" s="118">
        <v>1</v>
      </c>
      <c r="S314" s="118">
        <v>1</v>
      </c>
      <c r="T314" s="118">
        <v>1</v>
      </c>
      <c r="U314" s="118">
        <v>1</v>
      </c>
      <c r="V314" s="118">
        <v>1</v>
      </c>
      <c r="W314" s="118">
        <v>1</v>
      </c>
      <c r="X314" s="118">
        <v>1</v>
      </c>
      <c r="Y314" s="118" t="s">
        <v>140</v>
      </c>
      <c r="Z314" s="118">
        <v>1</v>
      </c>
      <c r="AA314" s="118">
        <v>1</v>
      </c>
      <c r="AB314" s="118">
        <v>1</v>
      </c>
      <c r="AC314" s="118">
        <v>1</v>
      </c>
      <c r="AD314" s="118">
        <v>1</v>
      </c>
      <c r="AE314" s="118">
        <v>1</v>
      </c>
      <c r="AF314" s="118" t="s">
        <v>140</v>
      </c>
      <c r="AG314" s="118">
        <v>1</v>
      </c>
      <c r="AH314" s="118">
        <v>1</v>
      </c>
      <c r="AI314" s="118">
        <v>1</v>
      </c>
      <c r="AJ314" s="118">
        <v>1</v>
      </c>
      <c r="AK314" s="118">
        <v>1</v>
      </c>
      <c r="AL314" s="118">
        <v>1</v>
      </c>
      <c r="AM314" s="118">
        <v>1</v>
      </c>
      <c r="AN314" s="118">
        <v>1</v>
      </c>
      <c r="AO314" s="118" t="s">
        <v>1071</v>
      </c>
    </row>
    <row r="315" spans="1:41" hidden="1" x14ac:dyDescent="0.2">
      <c r="A315" s="13">
        <f t="shared" ref="A315:A377" si="12">WEEKNUM(E315)</f>
        <v>7</v>
      </c>
      <c r="B315" s="13">
        <f t="shared" ref="B315:B378" si="13">MONTH(E315)</f>
        <v>2</v>
      </c>
      <c r="C315" s="13" t="str">
        <f>VLOOKUP(B315,Correspondance!$D$3:$E$14,2,FALSE)</f>
        <v>Février</v>
      </c>
      <c r="D315" s="15" t="str">
        <f>VLOOKUP(G315,Correspondance!$A$3:$B$11,2,FALSE)</f>
        <v>PHONE</v>
      </c>
      <c r="E315" s="115" t="s">
        <v>1236</v>
      </c>
      <c r="F315" s="116" t="s">
        <v>169</v>
      </c>
      <c r="G315" s="117" t="s">
        <v>277</v>
      </c>
      <c r="H315" s="118" t="s">
        <v>360</v>
      </c>
      <c r="I315" s="118" t="s">
        <v>372</v>
      </c>
      <c r="J315" s="119" t="s">
        <v>57</v>
      </c>
      <c r="K315" s="120">
        <v>100</v>
      </c>
      <c r="L315" s="118" t="s">
        <v>1380</v>
      </c>
      <c r="M315" s="118" t="s">
        <v>174</v>
      </c>
      <c r="N315" s="118" t="s">
        <v>114</v>
      </c>
      <c r="O315" s="118" t="s">
        <v>175</v>
      </c>
      <c r="P315" s="118" t="s">
        <v>1381</v>
      </c>
      <c r="Q315" s="118" t="s">
        <v>49</v>
      </c>
      <c r="R315" s="118">
        <v>1</v>
      </c>
      <c r="S315" s="118">
        <v>1</v>
      </c>
      <c r="T315" s="118">
        <v>1</v>
      </c>
      <c r="U315" s="118">
        <v>1</v>
      </c>
      <c r="V315" s="118">
        <v>1</v>
      </c>
      <c r="W315" s="118">
        <v>1</v>
      </c>
      <c r="X315" s="118">
        <v>1</v>
      </c>
      <c r="Y315" s="118" t="s">
        <v>140</v>
      </c>
      <c r="Z315" s="118">
        <v>1</v>
      </c>
      <c r="AA315" s="118">
        <v>1</v>
      </c>
      <c r="AB315" s="118">
        <v>1</v>
      </c>
      <c r="AC315" s="118">
        <v>1</v>
      </c>
      <c r="AD315" s="118">
        <v>1</v>
      </c>
      <c r="AE315" s="118">
        <v>1</v>
      </c>
      <c r="AF315" s="118">
        <v>1</v>
      </c>
      <c r="AG315" s="118">
        <v>1</v>
      </c>
      <c r="AH315" s="118">
        <v>1</v>
      </c>
      <c r="AI315" s="118">
        <v>1</v>
      </c>
      <c r="AJ315" s="118">
        <v>1</v>
      </c>
      <c r="AK315" s="118">
        <v>1</v>
      </c>
      <c r="AL315" s="118">
        <v>1</v>
      </c>
      <c r="AM315" s="118">
        <v>1</v>
      </c>
      <c r="AN315" s="118">
        <v>1</v>
      </c>
      <c r="AO315" s="118" t="s">
        <v>1071</v>
      </c>
    </row>
    <row r="316" spans="1:41" hidden="1" x14ac:dyDescent="0.2">
      <c r="A316" s="13">
        <f t="shared" si="12"/>
        <v>7</v>
      </c>
      <c r="B316" s="13">
        <f t="shared" si="13"/>
        <v>2</v>
      </c>
      <c r="C316" s="13" t="str">
        <f>VLOOKUP(B316,Correspondance!$D$3:$E$14,2,FALSE)</f>
        <v>Février</v>
      </c>
      <c r="D316" s="15" t="str">
        <f>VLOOKUP(G316,Correspondance!$A$3:$B$11,2,FALSE)</f>
        <v>PHONE</v>
      </c>
      <c r="E316" s="115" t="s">
        <v>1236</v>
      </c>
      <c r="F316" s="116" t="s">
        <v>169</v>
      </c>
      <c r="G316" s="117" t="s">
        <v>277</v>
      </c>
      <c r="H316" s="118" t="s">
        <v>266</v>
      </c>
      <c r="I316" s="118" t="s">
        <v>267</v>
      </c>
      <c r="J316" s="119" t="s">
        <v>57</v>
      </c>
      <c r="K316" s="120">
        <v>89</v>
      </c>
      <c r="L316" s="118" t="s">
        <v>1382</v>
      </c>
      <c r="M316" s="118" t="s">
        <v>365</v>
      </c>
      <c r="N316" s="118" t="s">
        <v>114</v>
      </c>
      <c r="O316" s="118" t="s">
        <v>74</v>
      </c>
      <c r="P316" s="118" t="s">
        <v>77</v>
      </c>
      <c r="Q316" s="118" t="s">
        <v>49</v>
      </c>
      <c r="R316" s="118">
        <v>1</v>
      </c>
      <c r="S316" s="118">
        <v>1</v>
      </c>
      <c r="T316" s="118">
        <v>1</v>
      </c>
      <c r="U316" s="118">
        <v>1</v>
      </c>
      <c r="V316" s="118">
        <v>1</v>
      </c>
      <c r="W316" s="118">
        <v>0</v>
      </c>
      <c r="X316" s="118">
        <v>1</v>
      </c>
      <c r="Y316" s="118" t="s">
        <v>140</v>
      </c>
      <c r="Z316" s="118">
        <v>1</v>
      </c>
      <c r="AA316" s="118">
        <v>1</v>
      </c>
      <c r="AB316" s="118">
        <v>1</v>
      </c>
      <c r="AC316" s="118">
        <v>1</v>
      </c>
      <c r="AD316" s="118">
        <v>1</v>
      </c>
      <c r="AE316" s="118">
        <v>1</v>
      </c>
      <c r="AF316" s="118" t="s">
        <v>140</v>
      </c>
      <c r="AG316" s="118">
        <v>1</v>
      </c>
      <c r="AH316" s="118">
        <v>1</v>
      </c>
      <c r="AI316" s="118">
        <v>1</v>
      </c>
      <c r="AJ316" s="118">
        <v>1</v>
      </c>
      <c r="AK316" s="118">
        <v>1</v>
      </c>
      <c r="AL316" s="118">
        <v>1</v>
      </c>
      <c r="AM316" s="118">
        <v>1</v>
      </c>
      <c r="AN316" s="118">
        <v>1</v>
      </c>
      <c r="AO316" s="118" t="s">
        <v>1071</v>
      </c>
    </row>
    <row r="317" spans="1:41" hidden="1" x14ac:dyDescent="0.2">
      <c r="A317" s="13">
        <f t="shared" si="12"/>
        <v>7</v>
      </c>
      <c r="B317" s="13">
        <f t="shared" si="13"/>
        <v>2</v>
      </c>
      <c r="C317" s="13" t="str">
        <f>VLOOKUP(B317,Correspondance!$D$3:$E$14,2,FALSE)</f>
        <v>Février</v>
      </c>
      <c r="D317" s="15" t="str">
        <f>VLOOKUP(G317,Correspondance!$A$3:$B$11,2,FALSE)</f>
        <v>PHONE</v>
      </c>
      <c r="E317" s="115" t="s">
        <v>1236</v>
      </c>
      <c r="F317" s="116" t="s">
        <v>169</v>
      </c>
      <c r="G317" s="117" t="s">
        <v>277</v>
      </c>
      <c r="H317" s="118" t="s">
        <v>278</v>
      </c>
      <c r="I317" s="118" t="s">
        <v>279</v>
      </c>
      <c r="J317" s="119" t="s">
        <v>57</v>
      </c>
      <c r="K317" s="120">
        <v>94</v>
      </c>
      <c r="L317" s="118" t="s">
        <v>1383</v>
      </c>
      <c r="M317" s="118" t="s">
        <v>365</v>
      </c>
      <c r="N317" s="118" t="s">
        <v>114</v>
      </c>
      <c r="O317" s="118" t="s">
        <v>74</v>
      </c>
      <c r="P317" s="118" t="s">
        <v>1384</v>
      </c>
      <c r="Q317" s="118" t="s">
        <v>49</v>
      </c>
      <c r="R317" s="118">
        <v>1</v>
      </c>
      <c r="S317" s="118">
        <v>1</v>
      </c>
      <c r="T317" s="118">
        <v>1</v>
      </c>
      <c r="U317" s="118">
        <v>1</v>
      </c>
      <c r="V317" s="118">
        <v>1</v>
      </c>
      <c r="W317" s="118">
        <v>1</v>
      </c>
      <c r="X317" s="118">
        <v>1</v>
      </c>
      <c r="Y317" s="118" t="s">
        <v>140</v>
      </c>
      <c r="Z317" s="118">
        <v>1</v>
      </c>
      <c r="AA317" s="118">
        <v>1</v>
      </c>
      <c r="AB317" s="118">
        <v>1</v>
      </c>
      <c r="AC317" s="118">
        <v>1</v>
      </c>
      <c r="AD317" s="118">
        <v>1</v>
      </c>
      <c r="AE317" s="118">
        <v>1</v>
      </c>
      <c r="AF317" s="118" t="s">
        <v>140</v>
      </c>
      <c r="AG317" s="118">
        <v>1</v>
      </c>
      <c r="AH317" s="118">
        <v>1</v>
      </c>
      <c r="AI317" s="118">
        <v>0</v>
      </c>
      <c r="AJ317" s="118">
        <v>1</v>
      </c>
      <c r="AK317" s="118">
        <v>1</v>
      </c>
      <c r="AL317" s="118">
        <v>0</v>
      </c>
      <c r="AM317" s="118">
        <v>1</v>
      </c>
      <c r="AN317" s="118">
        <v>1</v>
      </c>
      <c r="AO317" s="118" t="s">
        <v>1071</v>
      </c>
    </row>
    <row r="318" spans="1:41" hidden="1" x14ac:dyDescent="0.2">
      <c r="A318" s="13">
        <f t="shared" si="12"/>
        <v>7</v>
      </c>
      <c r="B318" s="13">
        <f t="shared" si="13"/>
        <v>2</v>
      </c>
      <c r="C318" s="13" t="str">
        <f>VLOOKUP(B318,Correspondance!$D$3:$E$14,2,FALSE)</f>
        <v>Février</v>
      </c>
      <c r="D318" s="15" t="str">
        <f>VLOOKUP(G318,Correspondance!$A$3:$B$11,2,FALSE)</f>
        <v>PHONE</v>
      </c>
      <c r="E318" s="115" t="s">
        <v>1236</v>
      </c>
      <c r="F318" s="116" t="s">
        <v>169</v>
      </c>
      <c r="G318" s="117" t="s">
        <v>277</v>
      </c>
      <c r="H318" s="118" t="s">
        <v>278</v>
      </c>
      <c r="I318" s="118" t="s">
        <v>279</v>
      </c>
      <c r="J318" s="119" t="s">
        <v>57</v>
      </c>
      <c r="K318" s="120">
        <v>100</v>
      </c>
      <c r="L318" s="118" t="s">
        <v>1385</v>
      </c>
      <c r="M318" s="118" t="s">
        <v>552</v>
      </c>
      <c r="N318" s="118" t="s">
        <v>114</v>
      </c>
      <c r="O318" s="118" t="s">
        <v>74</v>
      </c>
      <c r="P318" s="118" t="s">
        <v>1162</v>
      </c>
      <c r="Q318" s="118" t="s">
        <v>49</v>
      </c>
      <c r="R318" s="118">
        <v>1</v>
      </c>
      <c r="S318" s="118">
        <v>1</v>
      </c>
      <c r="T318" s="118">
        <v>1</v>
      </c>
      <c r="U318" s="118">
        <v>1</v>
      </c>
      <c r="V318" s="118">
        <v>1</v>
      </c>
      <c r="W318" s="118">
        <v>1</v>
      </c>
      <c r="X318" s="118">
        <v>1</v>
      </c>
      <c r="Y318" s="118" t="s">
        <v>140</v>
      </c>
      <c r="Z318" s="118">
        <v>1</v>
      </c>
      <c r="AA318" s="118">
        <v>1</v>
      </c>
      <c r="AB318" s="118">
        <v>1</v>
      </c>
      <c r="AC318" s="118">
        <v>1</v>
      </c>
      <c r="AD318" s="118">
        <v>1</v>
      </c>
      <c r="AE318" s="118">
        <v>1</v>
      </c>
      <c r="AF318" s="118" t="s">
        <v>140</v>
      </c>
      <c r="AG318" s="118">
        <v>1</v>
      </c>
      <c r="AH318" s="118">
        <v>1</v>
      </c>
      <c r="AI318" s="118">
        <v>1</v>
      </c>
      <c r="AJ318" s="118">
        <v>1</v>
      </c>
      <c r="AK318" s="118">
        <v>1</v>
      </c>
      <c r="AL318" s="118">
        <v>1</v>
      </c>
      <c r="AM318" s="118">
        <v>1</v>
      </c>
      <c r="AN318" s="118">
        <v>1</v>
      </c>
      <c r="AO318" s="118" t="s">
        <v>1071</v>
      </c>
    </row>
    <row r="319" spans="1:41" hidden="1" x14ac:dyDescent="0.2">
      <c r="A319" s="13">
        <f t="shared" si="12"/>
        <v>7</v>
      </c>
      <c r="B319" s="13">
        <f t="shared" si="13"/>
        <v>2</v>
      </c>
      <c r="C319" s="13" t="str">
        <f>VLOOKUP(B319,Correspondance!$D$3:$E$14,2,FALSE)</f>
        <v>Février</v>
      </c>
      <c r="D319" s="15" t="str">
        <f>VLOOKUP(G319,Correspondance!$A$3:$B$11,2,FALSE)</f>
        <v>PHONE</v>
      </c>
      <c r="E319" s="115" t="s">
        <v>1236</v>
      </c>
      <c r="F319" s="116" t="s">
        <v>169</v>
      </c>
      <c r="G319" s="117" t="s">
        <v>277</v>
      </c>
      <c r="H319" s="118" t="s">
        <v>1331</v>
      </c>
      <c r="I319" s="118" t="s">
        <v>256</v>
      </c>
      <c r="J319" s="119" t="s">
        <v>57</v>
      </c>
      <c r="K319" s="120">
        <v>100</v>
      </c>
      <c r="L319" s="118" t="s">
        <v>1386</v>
      </c>
      <c r="M319" s="118" t="s">
        <v>223</v>
      </c>
      <c r="N319" s="118" t="s">
        <v>114</v>
      </c>
      <c r="O319" s="118" t="s">
        <v>74</v>
      </c>
      <c r="P319" s="118" t="s">
        <v>275</v>
      </c>
      <c r="Q319" s="118" t="s">
        <v>49</v>
      </c>
      <c r="R319" s="118">
        <v>1</v>
      </c>
      <c r="S319" s="118">
        <v>1</v>
      </c>
      <c r="T319" s="118">
        <v>1</v>
      </c>
      <c r="U319" s="118">
        <v>1</v>
      </c>
      <c r="V319" s="118">
        <v>1</v>
      </c>
      <c r="W319" s="118">
        <v>1</v>
      </c>
      <c r="X319" s="118">
        <v>1</v>
      </c>
      <c r="Y319" s="118" t="s">
        <v>140</v>
      </c>
      <c r="Z319" s="118">
        <v>1</v>
      </c>
      <c r="AA319" s="118">
        <v>0</v>
      </c>
      <c r="AB319" s="118">
        <v>1</v>
      </c>
      <c r="AC319" s="118">
        <v>1</v>
      </c>
      <c r="AD319" s="118">
        <v>1</v>
      </c>
      <c r="AE319" s="118">
        <v>1</v>
      </c>
      <c r="AF319" s="118" t="s">
        <v>140</v>
      </c>
      <c r="AG319" s="118">
        <v>1</v>
      </c>
      <c r="AH319" s="118">
        <v>1</v>
      </c>
      <c r="AI319" s="118">
        <v>1</v>
      </c>
      <c r="AJ319" s="118">
        <v>1</v>
      </c>
      <c r="AK319" s="118">
        <v>1</v>
      </c>
      <c r="AL319" s="118">
        <v>1</v>
      </c>
      <c r="AM319" s="118">
        <v>1</v>
      </c>
      <c r="AN319" s="118">
        <v>1</v>
      </c>
      <c r="AO319" s="118" t="s">
        <v>1071</v>
      </c>
    </row>
    <row r="320" spans="1:41" ht="25.5" hidden="1" x14ac:dyDescent="0.2">
      <c r="A320" s="13">
        <f t="shared" si="12"/>
        <v>7</v>
      </c>
      <c r="B320" s="13">
        <f t="shared" si="13"/>
        <v>2</v>
      </c>
      <c r="C320" s="13" t="str">
        <f>VLOOKUP(B320,Correspondance!$D$3:$E$14,2,FALSE)</f>
        <v>Février</v>
      </c>
      <c r="D320" s="15" t="str">
        <f>VLOOKUP(G320,Correspondance!$A$3:$B$11,2,FALSE)</f>
        <v>PHONE</v>
      </c>
      <c r="E320" s="115" t="s">
        <v>1236</v>
      </c>
      <c r="F320" s="116" t="s">
        <v>169</v>
      </c>
      <c r="G320" s="117" t="s">
        <v>277</v>
      </c>
      <c r="H320" s="118" t="s">
        <v>522</v>
      </c>
      <c r="I320" s="118" t="s">
        <v>523</v>
      </c>
      <c r="J320" s="119" t="s">
        <v>57</v>
      </c>
      <c r="K320" s="120">
        <v>89</v>
      </c>
      <c r="L320" s="118" t="s">
        <v>1387</v>
      </c>
      <c r="M320" s="118" t="s">
        <v>1257</v>
      </c>
      <c r="N320" s="118" t="s">
        <v>114</v>
      </c>
      <c r="O320" s="118" t="s">
        <v>175</v>
      </c>
      <c r="P320" s="118" t="s">
        <v>504</v>
      </c>
      <c r="Q320" s="118" t="s">
        <v>49</v>
      </c>
      <c r="R320" s="118">
        <v>1</v>
      </c>
      <c r="S320" s="118">
        <v>1</v>
      </c>
      <c r="T320" s="118">
        <v>0</v>
      </c>
      <c r="U320" s="118">
        <v>1</v>
      </c>
      <c r="V320" s="118">
        <v>1</v>
      </c>
      <c r="W320" s="118">
        <v>1</v>
      </c>
      <c r="X320" s="118">
        <v>1</v>
      </c>
      <c r="Y320" s="118" t="s">
        <v>140</v>
      </c>
      <c r="Z320" s="118">
        <v>1</v>
      </c>
      <c r="AA320" s="118">
        <v>1</v>
      </c>
      <c r="AB320" s="118">
        <v>1</v>
      </c>
      <c r="AC320" s="118">
        <v>1</v>
      </c>
      <c r="AD320" s="118">
        <v>1</v>
      </c>
      <c r="AE320" s="118">
        <v>1</v>
      </c>
      <c r="AF320" s="118" t="s">
        <v>140</v>
      </c>
      <c r="AG320" s="118">
        <v>1</v>
      </c>
      <c r="AH320" s="118">
        <v>1</v>
      </c>
      <c r="AI320" s="118">
        <v>1</v>
      </c>
      <c r="AJ320" s="118">
        <v>1</v>
      </c>
      <c r="AK320" s="118">
        <v>1</v>
      </c>
      <c r="AL320" s="118">
        <v>0</v>
      </c>
      <c r="AM320" s="118">
        <v>1</v>
      </c>
      <c r="AN320" s="118">
        <v>1</v>
      </c>
      <c r="AO320" s="118" t="s">
        <v>1071</v>
      </c>
    </row>
    <row r="321" spans="1:41" ht="25.5" hidden="1" x14ac:dyDescent="0.2">
      <c r="A321" s="13">
        <f t="shared" si="12"/>
        <v>7</v>
      </c>
      <c r="B321" s="13">
        <f t="shared" si="13"/>
        <v>2</v>
      </c>
      <c r="C321" s="13" t="str">
        <f>VLOOKUP(B321,Correspondance!$D$3:$E$14,2,FALSE)</f>
        <v>Février</v>
      </c>
      <c r="D321" s="15" t="str">
        <f>VLOOKUP(G321,Correspondance!$A$3:$B$11,2,FALSE)</f>
        <v>PHONE</v>
      </c>
      <c r="E321" s="115" t="s">
        <v>1236</v>
      </c>
      <c r="F321" s="116" t="s">
        <v>169</v>
      </c>
      <c r="G321" s="117" t="s">
        <v>277</v>
      </c>
      <c r="H321" s="118" t="s">
        <v>522</v>
      </c>
      <c r="I321" s="118" t="s">
        <v>523</v>
      </c>
      <c r="J321" s="119" t="s">
        <v>57</v>
      </c>
      <c r="K321" s="120">
        <v>98</v>
      </c>
      <c r="L321" s="118" t="s">
        <v>1388</v>
      </c>
      <c r="M321" s="118" t="s">
        <v>174</v>
      </c>
      <c r="N321" s="118" t="s">
        <v>114</v>
      </c>
      <c r="O321" s="118" t="s">
        <v>175</v>
      </c>
      <c r="P321" s="118" t="s">
        <v>1381</v>
      </c>
      <c r="Q321" s="118" t="s">
        <v>49</v>
      </c>
      <c r="R321" s="118">
        <v>1</v>
      </c>
      <c r="S321" s="118">
        <v>1</v>
      </c>
      <c r="T321" s="118">
        <v>1</v>
      </c>
      <c r="U321" s="118">
        <v>1</v>
      </c>
      <c r="V321" s="118">
        <v>1</v>
      </c>
      <c r="W321" s="118">
        <v>1</v>
      </c>
      <c r="X321" s="118">
        <v>1</v>
      </c>
      <c r="Y321" s="118" t="s">
        <v>140</v>
      </c>
      <c r="Z321" s="118">
        <v>1</v>
      </c>
      <c r="AA321" s="118">
        <v>1</v>
      </c>
      <c r="AB321" s="118">
        <v>1</v>
      </c>
      <c r="AC321" s="118">
        <v>1</v>
      </c>
      <c r="AD321" s="118">
        <v>1</v>
      </c>
      <c r="AE321" s="118">
        <v>1</v>
      </c>
      <c r="AF321" s="118" t="s">
        <v>140</v>
      </c>
      <c r="AG321" s="118">
        <v>1</v>
      </c>
      <c r="AH321" s="118">
        <v>0</v>
      </c>
      <c r="AI321" s="118">
        <v>1</v>
      </c>
      <c r="AJ321" s="118">
        <v>1</v>
      </c>
      <c r="AK321" s="118">
        <v>1</v>
      </c>
      <c r="AL321" s="118">
        <v>1</v>
      </c>
      <c r="AM321" s="118">
        <v>1</v>
      </c>
      <c r="AN321" s="118">
        <v>1</v>
      </c>
      <c r="AO321" s="118" t="s">
        <v>1071</v>
      </c>
    </row>
    <row r="322" spans="1:41" ht="25.5" hidden="1" x14ac:dyDescent="0.2">
      <c r="A322" s="13">
        <f t="shared" si="12"/>
        <v>7</v>
      </c>
      <c r="B322" s="13">
        <f t="shared" si="13"/>
        <v>2</v>
      </c>
      <c r="C322" s="13" t="str">
        <f>VLOOKUP(B322,Correspondance!$D$3:$E$14,2,FALSE)</f>
        <v>Février</v>
      </c>
      <c r="D322" s="15" t="str">
        <f>VLOOKUP(G322,Correspondance!$A$3:$B$11,2,FALSE)</f>
        <v>PHONE</v>
      </c>
      <c r="E322" s="115" t="s">
        <v>1236</v>
      </c>
      <c r="F322" s="116" t="s">
        <v>169</v>
      </c>
      <c r="G322" s="117" t="s">
        <v>277</v>
      </c>
      <c r="H322" s="118" t="s">
        <v>522</v>
      </c>
      <c r="I322" s="118" t="s">
        <v>523</v>
      </c>
      <c r="J322" s="119" t="s">
        <v>57</v>
      </c>
      <c r="K322" s="120">
        <v>100</v>
      </c>
      <c r="L322" s="118" t="s">
        <v>1389</v>
      </c>
      <c r="M322" s="118" t="s">
        <v>368</v>
      </c>
      <c r="N322" s="118" t="s">
        <v>114</v>
      </c>
      <c r="O322" s="118" t="s">
        <v>175</v>
      </c>
      <c r="P322" s="118" t="s">
        <v>1390</v>
      </c>
      <c r="Q322" s="118" t="s">
        <v>49</v>
      </c>
      <c r="R322" s="118">
        <v>1</v>
      </c>
      <c r="S322" s="118">
        <v>1</v>
      </c>
      <c r="T322" s="118">
        <v>1</v>
      </c>
      <c r="U322" s="118">
        <v>1</v>
      </c>
      <c r="V322" s="118">
        <v>1</v>
      </c>
      <c r="W322" s="118">
        <v>1</v>
      </c>
      <c r="X322" s="118">
        <v>1</v>
      </c>
      <c r="Y322" s="118" t="s">
        <v>140</v>
      </c>
      <c r="Z322" s="118">
        <v>1</v>
      </c>
      <c r="AA322" s="118">
        <v>1</v>
      </c>
      <c r="AB322" s="118">
        <v>1</v>
      </c>
      <c r="AC322" s="118">
        <v>1</v>
      </c>
      <c r="AD322" s="118">
        <v>1</v>
      </c>
      <c r="AE322" s="118">
        <v>1</v>
      </c>
      <c r="AF322" s="118" t="s">
        <v>140</v>
      </c>
      <c r="AG322" s="118">
        <v>1</v>
      </c>
      <c r="AH322" s="118">
        <v>1</v>
      </c>
      <c r="AI322" s="118">
        <v>1</v>
      </c>
      <c r="AJ322" s="118">
        <v>1</v>
      </c>
      <c r="AK322" s="118">
        <v>1</v>
      </c>
      <c r="AL322" s="118">
        <v>1</v>
      </c>
      <c r="AM322" s="118">
        <v>1</v>
      </c>
      <c r="AN322" s="118">
        <v>1</v>
      </c>
      <c r="AO322" s="118" t="s">
        <v>1071</v>
      </c>
    </row>
    <row r="323" spans="1:41" x14ac:dyDescent="0.2">
      <c r="A323" s="13">
        <f t="shared" si="12"/>
        <v>9</v>
      </c>
      <c r="B323" s="13">
        <f t="shared" si="13"/>
        <v>3</v>
      </c>
      <c r="C323" s="13" t="str">
        <f>VLOOKUP(B323,Correspondance!$D$3:$E$14,2,FALSE)</f>
        <v>Mars</v>
      </c>
      <c r="D323" s="15" t="str">
        <f>VLOOKUP(G323,Correspondance!$A$3:$B$11,2,FALSE)</f>
        <v>PHONE</v>
      </c>
      <c r="E323" s="115" t="s">
        <v>792</v>
      </c>
      <c r="F323" s="116" t="s">
        <v>169</v>
      </c>
      <c r="G323" s="117" t="s">
        <v>277</v>
      </c>
      <c r="H323" s="118" t="s">
        <v>356</v>
      </c>
      <c r="I323" s="118" t="s">
        <v>369</v>
      </c>
      <c r="J323" s="119" t="s">
        <v>57</v>
      </c>
      <c r="K323" s="120">
        <v>90</v>
      </c>
      <c r="L323" s="118" t="s">
        <v>799</v>
      </c>
      <c r="M323" s="118" t="s">
        <v>399</v>
      </c>
      <c r="N323" s="118" t="s">
        <v>46</v>
      </c>
      <c r="O323" s="118" t="s">
        <v>74</v>
      </c>
      <c r="P323" s="118" t="s">
        <v>800</v>
      </c>
      <c r="Q323" s="118" t="s">
        <v>49</v>
      </c>
      <c r="R323" s="118">
        <v>1</v>
      </c>
      <c r="S323" s="118">
        <v>1</v>
      </c>
      <c r="T323" s="118">
        <v>1</v>
      </c>
      <c r="U323" s="118">
        <v>1</v>
      </c>
      <c r="V323" s="118">
        <v>1</v>
      </c>
      <c r="W323" s="118">
        <v>1</v>
      </c>
      <c r="X323" s="118">
        <v>1</v>
      </c>
      <c r="Y323" s="118" t="s">
        <v>140</v>
      </c>
      <c r="Z323" s="118">
        <v>1</v>
      </c>
      <c r="AA323" s="118">
        <v>1</v>
      </c>
      <c r="AB323" s="118">
        <v>1</v>
      </c>
      <c r="AC323" s="118">
        <v>0</v>
      </c>
      <c r="AD323" s="118">
        <v>1</v>
      </c>
      <c r="AE323" s="118">
        <v>1</v>
      </c>
      <c r="AF323" s="118" t="s">
        <v>140</v>
      </c>
      <c r="AG323" s="118">
        <v>1</v>
      </c>
      <c r="AH323" s="118">
        <v>1</v>
      </c>
      <c r="AI323" s="118">
        <v>1</v>
      </c>
      <c r="AJ323" s="118">
        <v>1</v>
      </c>
      <c r="AK323" s="118">
        <v>1</v>
      </c>
      <c r="AL323" s="118">
        <v>1</v>
      </c>
      <c r="AM323" s="118">
        <v>1</v>
      </c>
      <c r="AN323" s="118">
        <v>1</v>
      </c>
      <c r="AO323" s="118" t="s">
        <v>793</v>
      </c>
    </row>
    <row r="324" spans="1:41" hidden="1" x14ac:dyDescent="0.2">
      <c r="A324" s="13">
        <f t="shared" si="12"/>
        <v>9</v>
      </c>
      <c r="B324" s="13">
        <f t="shared" si="13"/>
        <v>3</v>
      </c>
      <c r="C324" s="13" t="str">
        <f>VLOOKUP(B324,Correspondance!$D$3:$E$14,2,FALSE)</f>
        <v>Mars</v>
      </c>
      <c r="D324" s="15" t="str">
        <f>VLOOKUP(G324,Correspondance!$A$3:$B$11,2,FALSE)</f>
        <v>PHONE</v>
      </c>
      <c r="E324" s="115" t="s">
        <v>792</v>
      </c>
      <c r="F324" s="116" t="s">
        <v>169</v>
      </c>
      <c r="G324" s="117" t="s">
        <v>277</v>
      </c>
      <c r="H324" s="118" t="s">
        <v>356</v>
      </c>
      <c r="I324" s="118" t="s">
        <v>369</v>
      </c>
      <c r="J324" s="119" t="s">
        <v>57</v>
      </c>
      <c r="K324" s="120">
        <v>100</v>
      </c>
      <c r="L324" s="118" t="s">
        <v>801</v>
      </c>
      <c r="M324" s="118" t="s">
        <v>368</v>
      </c>
      <c r="N324" s="118" t="s">
        <v>46</v>
      </c>
      <c r="O324" s="118" t="s">
        <v>47</v>
      </c>
      <c r="P324" s="118" t="s">
        <v>782</v>
      </c>
      <c r="Q324" s="118" t="s">
        <v>49</v>
      </c>
      <c r="R324" s="118">
        <v>1</v>
      </c>
      <c r="S324" s="118">
        <v>1</v>
      </c>
      <c r="T324" s="118">
        <v>1</v>
      </c>
      <c r="U324" s="118">
        <v>1</v>
      </c>
      <c r="V324" s="118">
        <v>1</v>
      </c>
      <c r="W324" s="118">
        <v>1</v>
      </c>
      <c r="X324" s="118">
        <v>1</v>
      </c>
      <c r="Y324" s="118" t="s">
        <v>140</v>
      </c>
      <c r="Z324" s="118">
        <v>1</v>
      </c>
      <c r="AA324" s="118">
        <v>1</v>
      </c>
      <c r="AB324" s="118">
        <v>1</v>
      </c>
      <c r="AC324" s="118">
        <v>1</v>
      </c>
      <c r="AD324" s="118">
        <v>1</v>
      </c>
      <c r="AE324" s="118">
        <v>1</v>
      </c>
      <c r="AF324" s="118" t="s">
        <v>140</v>
      </c>
      <c r="AG324" s="118">
        <v>1</v>
      </c>
      <c r="AH324" s="118">
        <v>1</v>
      </c>
      <c r="AI324" s="118">
        <v>1</v>
      </c>
      <c r="AJ324" s="118">
        <v>1</v>
      </c>
      <c r="AK324" s="118">
        <v>1</v>
      </c>
      <c r="AL324" s="118">
        <v>1</v>
      </c>
      <c r="AM324" s="118">
        <v>1</v>
      </c>
      <c r="AN324" s="118">
        <v>1</v>
      </c>
      <c r="AO324" s="118" t="s">
        <v>793</v>
      </c>
    </row>
    <row r="325" spans="1:41" hidden="1" x14ac:dyDescent="0.2">
      <c r="A325" s="13">
        <f t="shared" si="12"/>
        <v>9</v>
      </c>
      <c r="B325" s="13">
        <f t="shared" si="13"/>
        <v>3</v>
      </c>
      <c r="C325" s="13" t="str">
        <f>VLOOKUP(B325,Correspondance!$D$3:$E$14,2,FALSE)</f>
        <v>Mars</v>
      </c>
      <c r="D325" s="15" t="str">
        <f>VLOOKUP(G325,Correspondance!$A$3:$B$11,2,FALSE)</f>
        <v>PHONE</v>
      </c>
      <c r="E325" s="115" t="s">
        <v>792</v>
      </c>
      <c r="F325" s="116" t="s">
        <v>169</v>
      </c>
      <c r="G325" s="117" t="s">
        <v>277</v>
      </c>
      <c r="H325" s="118" t="s">
        <v>356</v>
      </c>
      <c r="I325" s="118" t="s">
        <v>369</v>
      </c>
      <c r="J325" s="119" t="s">
        <v>57</v>
      </c>
      <c r="K325" s="120">
        <v>100</v>
      </c>
      <c r="L325" s="118" t="s">
        <v>802</v>
      </c>
      <c r="M325" s="118" t="s">
        <v>365</v>
      </c>
      <c r="N325" s="118" t="s">
        <v>46</v>
      </c>
      <c r="O325" s="118" t="s">
        <v>47</v>
      </c>
      <c r="P325" s="118" t="s">
        <v>77</v>
      </c>
      <c r="Q325" s="118" t="s">
        <v>49</v>
      </c>
      <c r="R325" s="118">
        <v>1</v>
      </c>
      <c r="S325" s="118">
        <v>1</v>
      </c>
      <c r="T325" s="118">
        <v>1</v>
      </c>
      <c r="U325" s="118">
        <v>1</v>
      </c>
      <c r="V325" s="118">
        <v>1</v>
      </c>
      <c r="W325" s="118">
        <v>1</v>
      </c>
      <c r="X325" s="118">
        <v>1</v>
      </c>
      <c r="Y325" s="118" t="s">
        <v>140</v>
      </c>
      <c r="Z325" s="118">
        <v>1</v>
      </c>
      <c r="AA325" s="118">
        <v>1</v>
      </c>
      <c r="AB325" s="118">
        <v>1</v>
      </c>
      <c r="AC325" s="118">
        <v>1</v>
      </c>
      <c r="AD325" s="118">
        <v>1</v>
      </c>
      <c r="AE325" s="118">
        <v>1</v>
      </c>
      <c r="AF325" s="118" t="s">
        <v>140</v>
      </c>
      <c r="AG325" s="118">
        <v>1</v>
      </c>
      <c r="AH325" s="118">
        <v>1</v>
      </c>
      <c r="AI325" s="118">
        <v>1</v>
      </c>
      <c r="AJ325" s="118">
        <v>1</v>
      </c>
      <c r="AK325" s="118">
        <v>1</v>
      </c>
      <c r="AL325" s="118">
        <v>1</v>
      </c>
      <c r="AM325" s="118">
        <v>1</v>
      </c>
      <c r="AN325" s="118">
        <v>1</v>
      </c>
      <c r="AO325" s="118" t="s">
        <v>793</v>
      </c>
    </row>
    <row r="326" spans="1:41" x14ac:dyDescent="0.2">
      <c r="A326" s="13">
        <f t="shared" si="12"/>
        <v>9</v>
      </c>
      <c r="B326" s="13">
        <f t="shared" si="13"/>
        <v>3</v>
      </c>
      <c r="C326" s="13" t="str">
        <f>VLOOKUP(B326,Correspondance!$D$3:$E$14,2,FALSE)</f>
        <v>Mars</v>
      </c>
      <c r="D326" s="15" t="str">
        <f>VLOOKUP(G326,Correspondance!$A$3:$B$11,2,FALSE)</f>
        <v>PHONE</v>
      </c>
      <c r="E326" s="115" t="s">
        <v>792</v>
      </c>
      <c r="F326" s="116" t="s">
        <v>169</v>
      </c>
      <c r="G326" s="117" t="s">
        <v>277</v>
      </c>
      <c r="H326" s="118" t="s">
        <v>360</v>
      </c>
      <c r="I326" s="118" t="s">
        <v>372</v>
      </c>
      <c r="J326" s="119" t="s">
        <v>57</v>
      </c>
      <c r="K326" s="120">
        <v>86</v>
      </c>
      <c r="L326" s="118" t="s">
        <v>803</v>
      </c>
      <c r="M326" s="118" t="s">
        <v>190</v>
      </c>
      <c r="N326" s="118" t="s">
        <v>46</v>
      </c>
      <c r="O326" s="118" t="s">
        <v>175</v>
      </c>
      <c r="P326" s="118" t="s">
        <v>804</v>
      </c>
      <c r="Q326" s="118" t="s">
        <v>49</v>
      </c>
      <c r="R326" s="118">
        <v>1</v>
      </c>
      <c r="S326" s="118">
        <v>1</v>
      </c>
      <c r="T326" s="118">
        <v>1</v>
      </c>
      <c r="U326" s="118">
        <v>1</v>
      </c>
      <c r="V326" s="118">
        <v>1</v>
      </c>
      <c r="W326" s="118">
        <v>1</v>
      </c>
      <c r="X326" s="118">
        <v>1</v>
      </c>
      <c r="Y326" s="118" t="s">
        <v>140</v>
      </c>
      <c r="Z326" s="118">
        <v>1</v>
      </c>
      <c r="AA326" s="118">
        <v>1</v>
      </c>
      <c r="AB326" s="118">
        <v>1</v>
      </c>
      <c r="AC326" s="118">
        <v>0</v>
      </c>
      <c r="AD326" s="118">
        <v>1</v>
      </c>
      <c r="AE326" s="118">
        <v>1</v>
      </c>
      <c r="AF326" s="118" t="s">
        <v>140</v>
      </c>
      <c r="AG326" s="118">
        <v>1</v>
      </c>
      <c r="AH326" s="118">
        <v>1</v>
      </c>
      <c r="AI326" s="118">
        <v>0</v>
      </c>
      <c r="AJ326" s="118">
        <v>1</v>
      </c>
      <c r="AK326" s="118">
        <v>1</v>
      </c>
      <c r="AL326" s="118">
        <v>1</v>
      </c>
      <c r="AM326" s="118">
        <v>1</v>
      </c>
      <c r="AN326" s="118">
        <v>1</v>
      </c>
      <c r="AO326" s="118" t="s">
        <v>793</v>
      </c>
    </row>
    <row r="327" spans="1:41" hidden="1" x14ac:dyDescent="0.2">
      <c r="A327" s="13">
        <f t="shared" si="12"/>
        <v>9</v>
      </c>
      <c r="B327" s="13">
        <f t="shared" si="13"/>
        <v>3</v>
      </c>
      <c r="C327" s="13" t="str">
        <f>VLOOKUP(B327,Correspondance!$D$3:$E$14,2,FALSE)</f>
        <v>Mars</v>
      </c>
      <c r="D327" s="15" t="str">
        <f>VLOOKUP(G327,Correspondance!$A$3:$B$11,2,FALSE)</f>
        <v>PHONE</v>
      </c>
      <c r="E327" s="115" t="s">
        <v>792</v>
      </c>
      <c r="F327" s="116" t="s">
        <v>169</v>
      </c>
      <c r="G327" s="117" t="s">
        <v>277</v>
      </c>
      <c r="H327" s="118" t="s">
        <v>360</v>
      </c>
      <c r="I327" s="118" t="s">
        <v>372</v>
      </c>
      <c r="J327" s="119" t="s">
        <v>57</v>
      </c>
      <c r="K327" s="120">
        <v>100</v>
      </c>
      <c r="L327" s="118" t="s">
        <v>805</v>
      </c>
      <c r="M327" s="118" t="s">
        <v>190</v>
      </c>
      <c r="N327" s="118" t="s">
        <v>46</v>
      </c>
      <c r="O327" s="118" t="s">
        <v>175</v>
      </c>
      <c r="P327" s="118" t="s">
        <v>504</v>
      </c>
      <c r="Q327" s="118" t="s">
        <v>49</v>
      </c>
      <c r="R327" s="118">
        <v>1</v>
      </c>
      <c r="S327" s="118" t="s">
        <v>140</v>
      </c>
      <c r="T327" s="118">
        <v>1</v>
      </c>
      <c r="U327" s="118">
        <v>1</v>
      </c>
      <c r="V327" s="118">
        <v>1</v>
      </c>
      <c r="W327" s="118">
        <v>1</v>
      </c>
      <c r="X327" s="118">
        <v>1</v>
      </c>
      <c r="Y327" s="118" t="s">
        <v>140</v>
      </c>
      <c r="Z327" s="118">
        <v>1</v>
      </c>
      <c r="AA327" s="118">
        <v>1</v>
      </c>
      <c r="AB327" s="118">
        <v>1</v>
      </c>
      <c r="AC327" s="118">
        <v>1</v>
      </c>
      <c r="AD327" s="118">
        <v>1</v>
      </c>
      <c r="AE327" s="118" t="s">
        <v>140</v>
      </c>
      <c r="AF327" s="118" t="s">
        <v>140</v>
      </c>
      <c r="AG327" s="118" t="s">
        <v>140</v>
      </c>
      <c r="AH327" s="118" t="s">
        <v>140</v>
      </c>
      <c r="AI327" s="118" t="s">
        <v>140</v>
      </c>
      <c r="AJ327" s="118" t="s">
        <v>140</v>
      </c>
      <c r="AK327" s="118" t="s">
        <v>140</v>
      </c>
      <c r="AL327" s="118" t="s">
        <v>140</v>
      </c>
      <c r="AM327" s="118" t="s">
        <v>140</v>
      </c>
      <c r="AN327" s="118" t="s">
        <v>140</v>
      </c>
      <c r="AO327" s="118" t="s">
        <v>793</v>
      </c>
    </row>
    <row r="328" spans="1:41" hidden="1" x14ac:dyDescent="0.2">
      <c r="A328" s="13">
        <f t="shared" si="12"/>
        <v>9</v>
      </c>
      <c r="B328" s="13">
        <f t="shared" si="13"/>
        <v>3</v>
      </c>
      <c r="C328" s="13" t="str">
        <f>VLOOKUP(B328,Correspondance!$D$3:$E$14,2,FALSE)</f>
        <v>Mars</v>
      </c>
      <c r="D328" s="15" t="str">
        <f>VLOOKUP(G328,Correspondance!$A$3:$B$11,2,FALSE)</f>
        <v>PHONE</v>
      </c>
      <c r="E328" s="115" t="s">
        <v>792</v>
      </c>
      <c r="F328" s="116" t="s">
        <v>169</v>
      </c>
      <c r="G328" s="117" t="s">
        <v>277</v>
      </c>
      <c r="H328" s="118" t="s">
        <v>360</v>
      </c>
      <c r="I328" s="118" t="s">
        <v>372</v>
      </c>
      <c r="J328" s="119" t="s">
        <v>57</v>
      </c>
      <c r="K328" s="120">
        <v>100</v>
      </c>
      <c r="L328" s="118" t="s">
        <v>806</v>
      </c>
      <c r="M328" s="118" t="s">
        <v>550</v>
      </c>
      <c r="N328" s="118" t="s">
        <v>46</v>
      </c>
      <c r="O328" s="118" t="s">
        <v>47</v>
      </c>
      <c r="P328" s="118" t="s">
        <v>807</v>
      </c>
      <c r="Q328" s="118" t="s">
        <v>49</v>
      </c>
      <c r="R328" s="118">
        <v>1</v>
      </c>
      <c r="S328" s="118">
        <v>1</v>
      </c>
      <c r="T328" s="118">
        <v>1</v>
      </c>
      <c r="U328" s="118">
        <v>1</v>
      </c>
      <c r="V328" s="118">
        <v>1</v>
      </c>
      <c r="W328" s="118">
        <v>1</v>
      </c>
      <c r="X328" s="118">
        <v>1</v>
      </c>
      <c r="Y328" s="118" t="s">
        <v>140</v>
      </c>
      <c r="Z328" s="118">
        <v>1</v>
      </c>
      <c r="AA328" s="118">
        <v>1</v>
      </c>
      <c r="AB328" s="118">
        <v>1</v>
      </c>
      <c r="AC328" s="118">
        <v>1</v>
      </c>
      <c r="AD328" s="118">
        <v>1</v>
      </c>
      <c r="AE328" s="118">
        <v>1</v>
      </c>
      <c r="AF328" s="118" t="s">
        <v>140</v>
      </c>
      <c r="AG328" s="118">
        <v>1</v>
      </c>
      <c r="AH328" s="118">
        <v>1</v>
      </c>
      <c r="AI328" s="118">
        <v>1</v>
      </c>
      <c r="AJ328" s="118">
        <v>1</v>
      </c>
      <c r="AK328" s="118">
        <v>1</v>
      </c>
      <c r="AL328" s="118">
        <v>1</v>
      </c>
      <c r="AM328" s="118">
        <v>1</v>
      </c>
      <c r="AN328" s="118">
        <v>1</v>
      </c>
      <c r="AO328" s="118" t="s">
        <v>793</v>
      </c>
    </row>
    <row r="329" spans="1:41" hidden="1" x14ac:dyDescent="0.2">
      <c r="A329" s="13">
        <f t="shared" si="12"/>
        <v>9</v>
      </c>
      <c r="B329" s="13">
        <f t="shared" si="13"/>
        <v>3</v>
      </c>
      <c r="C329" s="13" t="str">
        <f>VLOOKUP(B329,Correspondance!$D$3:$E$14,2,FALSE)</f>
        <v>Mars</v>
      </c>
      <c r="D329" s="15" t="str">
        <f>VLOOKUP(G329,Correspondance!$A$3:$B$11,2,FALSE)</f>
        <v>PHONE</v>
      </c>
      <c r="E329" s="115" t="s">
        <v>792</v>
      </c>
      <c r="F329" s="116" t="s">
        <v>169</v>
      </c>
      <c r="G329" s="117" t="s">
        <v>277</v>
      </c>
      <c r="H329" s="118" t="s">
        <v>266</v>
      </c>
      <c r="I329" s="118" t="s">
        <v>267</v>
      </c>
      <c r="J329" s="119" t="s">
        <v>57</v>
      </c>
      <c r="K329" s="120">
        <v>100</v>
      </c>
      <c r="L329" s="118" t="s">
        <v>808</v>
      </c>
      <c r="M329" s="118" t="s">
        <v>174</v>
      </c>
      <c r="N329" s="118" t="s">
        <v>46</v>
      </c>
      <c r="O329" s="118" t="s">
        <v>74</v>
      </c>
      <c r="P329" s="118" t="s">
        <v>539</v>
      </c>
      <c r="Q329" s="118" t="s">
        <v>49</v>
      </c>
      <c r="R329" s="118">
        <v>1</v>
      </c>
      <c r="S329" s="118">
        <v>1</v>
      </c>
      <c r="T329" s="118">
        <v>1</v>
      </c>
      <c r="U329" s="118">
        <v>1</v>
      </c>
      <c r="V329" s="118">
        <v>1</v>
      </c>
      <c r="W329" s="118">
        <v>1</v>
      </c>
      <c r="X329" s="118">
        <v>1</v>
      </c>
      <c r="Y329" s="118" t="s">
        <v>140</v>
      </c>
      <c r="Z329" s="118">
        <v>1</v>
      </c>
      <c r="AA329" s="118">
        <v>1</v>
      </c>
      <c r="AB329" s="118">
        <v>1</v>
      </c>
      <c r="AC329" s="118">
        <v>1</v>
      </c>
      <c r="AD329" s="118">
        <v>1</v>
      </c>
      <c r="AE329" s="118">
        <v>1</v>
      </c>
      <c r="AF329" s="118" t="s">
        <v>140</v>
      </c>
      <c r="AG329" s="118">
        <v>1</v>
      </c>
      <c r="AH329" s="118">
        <v>1</v>
      </c>
      <c r="AI329" s="118">
        <v>1</v>
      </c>
      <c r="AJ329" s="118">
        <v>1</v>
      </c>
      <c r="AK329" s="118">
        <v>1</v>
      </c>
      <c r="AL329" s="118">
        <v>1</v>
      </c>
      <c r="AM329" s="118">
        <v>1</v>
      </c>
      <c r="AN329" s="118">
        <v>1</v>
      </c>
      <c r="AO329" s="118" t="s">
        <v>793</v>
      </c>
    </row>
    <row r="330" spans="1:41" hidden="1" x14ac:dyDescent="0.2">
      <c r="A330" s="13">
        <f t="shared" si="12"/>
        <v>9</v>
      </c>
      <c r="B330" s="13">
        <f t="shared" si="13"/>
        <v>3</v>
      </c>
      <c r="C330" s="13" t="str">
        <f>VLOOKUP(B330,Correspondance!$D$3:$E$14,2,FALSE)</f>
        <v>Mars</v>
      </c>
      <c r="D330" s="15" t="str">
        <f>VLOOKUP(G330,Correspondance!$A$3:$B$11,2,FALSE)</f>
        <v>PHONE</v>
      </c>
      <c r="E330" s="115" t="s">
        <v>792</v>
      </c>
      <c r="F330" s="116" t="s">
        <v>169</v>
      </c>
      <c r="G330" s="117" t="s">
        <v>277</v>
      </c>
      <c r="H330" s="118" t="s">
        <v>266</v>
      </c>
      <c r="I330" s="118" t="s">
        <v>267</v>
      </c>
      <c r="J330" s="119" t="s">
        <v>57</v>
      </c>
      <c r="K330" s="120">
        <v>100</v>
      </c>
      <c r="L330" s="118" t="s">
        <v>809</v>
      </c>
      <c r="M330" s="118" t="s">
        <v>223</v>
      </c>
      <c r="N330" s="118" t="s">
        <v>46</v>
      </c>
      <c r="O330" s="118" t="s">
        <v>74</v>
      </c>
      <c r="P330" s="118" t="s">
        <v>1391</v>
      </c>
      <c r="Q330" s="118" t="s">
        <v>49</v>
      </c>
      <c r="R330" s="118">
        <v>1</v>
      </c>
      <c r="S330" s="118">
        <v>1</v>
      </c>
      <c r="T330" s="118">
        <v>1</v>
      </c>
      <c r="U330" s="118">
        <v>1</v>
      </c>
      <c r="V330" s="118">
        <v>1</v>
      </c>
      <c r="W330" s="118">
        <v>1</v>
      </c>
      <c r="X330" s="118">
        <v>1</v>
      </c>
      <c r="Y330" s="118" t="s">
        <v>140</v>
      </c>
      <c r="Z330" s="118">
        <v>1</v>
      </c>
      <c r="AA330" s="118">
        <v>1</v>
      </c>
      <c r="AB330" s="118">
        <v>1</v>
      </c>
      <c r="AC330" s="118">
        <v>1</v>
      </c>
      <c r="AD330" s="118">
        <v>1</v>
      </c>
      <c r="AE330" s="118">
        <v>1</v>
      </c>
      <c r="AF330" s="118" t="s">
        <v>140</v>
      </c>
      <c r="AG330" s="118">
        <v>1</v>
      </c>
      <c r="AH330" s="118">
        <v>1</v>
      </c>
      <c r="AI330" s="118">
        <v>1</v>
      </c>
      <c r="AJ330" s="118">
        <v>1</v>
      </c>
      <c r="AK330" s="118">
        <v>1</v>
      </c>
      <c r="AL330" s="118">
        <v>1</v>
      </c>
      <c r="AM330" s="118">
        <v>1</v>
      </c>
      <c r="AN330" s="118">
        <v>1</v>
      </c>
      <c r="AO330" s="118" t="s">
        <v>793</v>
      </c>
    </row>
    <row r="331" spans="1:41" x14ac:dyDescent="0.2">
      <c r="A331" s="13">
        <f t="shared" si="12"/>
        <v>9</v>
      </c>
      <c r="B331" s="13">
        <f t="shared" si="13"/>
        <v>3</v>
      </c>
      <c r="C331" s="13" t="str">
        <f>VLOOKUP(B331,Correspondance!$D$3:$E$14,2,FALSE)</f>
        <v>Mars</v>
      </c>
      <c r="D331" s="15" t="str">
        <f>VLOOKUP(G331,Correspondance!$A$3:$B$11,2,FALSE)</f>
        <v>PHONE</v>
      </c>
      <c r="E331" s="115" t="s">
        <v>792</v>
      </c>
      <c r="F331" s="116" t="s">
        <v>169</v>
      </c>
      <c r="G331" s="117" t="s">
        <v>277</v>
      </c>
      <c r="H331" s="118" t="s">
        <v>278</v>
      </c>
      <c r="I331" s="118" t="s">
        <v>279</v>
      </c>
      <c r="J331" s="119" t="s">
        <v>57</v>
      </c>
      <c r="K331" s="120">
        <v>81</v>
      </c>
      <c r="L331" s="118" t="s">
        <v>810</v>
      </c>
      <c r="M331" s="118" t="s">
        <v>174</v>
      </c>
      <c r="N331" s="118" t="s">
        <v>46</v>
      </c>
      <c r="O331" s="118" t="s">
        <v>175</v>
      </c>
      <c r="P331" s="118" t="s">
        <v>543</v>
      </c>
      <c r="Q331" s="118" t="s">
        <v>49</v>
      </c>
      <c r="R331" s="118">
        <v>1</v>
      </c>
      <c r="S331" s="118">
        <v>1</v>
      </c>
      <c r="T331" s="118">
        <v>0</v>
      </c>
      <c r="U331" s="118">
        <v>1</v>
      </c>
      <c r="V331" s="118">
        <v>1</v>
      </c>
      <c r="W331" s="118">
        <v>1</v>
      </c>
      <c r="X331" s="118">
        <v>1</v>
      </c>
      <c r="Y331" s="118" t="s">
        <v>140</v>
      </c>
      <c r="Z331" s="118">
        <v>1</v>
      </c>
      <c r="AA331" s="118">
        <v>1</v>
      </c>
      <c r="AB331" s="118">
        <v>1</v>
      </c>
      <c r="AC331" s="118">
        <v>0</v>
      </c>
      <c r="AD331" s="118">
        <v>1</v>
      </c>
      <c r="AE331" s="118">
        <v>1</v>
      </c>
      <c r="AF331" s="118" t="s">
        <v>140</v>
      </c>
      <c r="AG331" s="118">
        <v>1</v>
      </c>
      <c r="AH331" s="118">
        <v>1</v>
      </c>
      <c r="AI331" s="118">
        <v>1</v>
      </c>
      <c r="AJ331" s="118">
        <v>1</v>
      </c>
      <c r="AK331" s="118">
        <v>1</v>
      </c>
      <c r="AL331" s="118">
        <v>1</v>
      </c>
      <c r="AM331" s="118">
        <v>1</v>
      </c>
      <c r="AN331" s="118">
        <v>1</v>
      </c>
      <c r="AO331" s="118" t="s">
        <v>874</v>
      </c>
    </row>
    <row r="332" spans="1:41" hidden="1" x14ac:dyDescent="0.2">
      <c r="A332" s="13">
        <f t="shared" si="12"/>
        <v>9</v>
      </c>
      <c r="B332" s="13">
        <f t="shared" si="13"/>
        <v>3</v>
      </c>
      <c r="C332" s="13" t="str">
        <f>VLOOKUP(B332,Correspondance!$D$3:$E$14,2,FALSE)</f>
        <v>Mars</v>
      </c>
      <c r="D332" s="15" t="str">
        <f>VLOOKUP(G332,Correspondance!$A$3:$B$11,2,FALSE)</f>
        <v>PHONE</v>
      </c>
      <c r="E332" s="115" t="s">
        <v>792</v>
      </c>
      <c r="F332" s="116" t="s">
        <v>169</v>
      </c>
      <c r="G332" s="117" t="s">
        <v>277</v>
      </c>
      <c r="H332" s="118" t="s">
        <v>278</v>
      </c>
      <c r="I332" s="118" t="s">
        <v>279</v>
      </c>
      <c r="J332" s="119" t="s">
        <v>57</v>
      </c>
      <c r="K332" s="120">
        <v>100</v>
      </c>
      <c r="L332" s="118" t="s">
        <v>811</v>
      </c>
      <c r="M332" s="118" t="s">
        <v>401</v>
      </c>
      <c r="N332" s="118" t="s">
        <v>46</v>
      </c>
      <c r="O332" s="118" t="s">
        <v>47</v>
      </c>
      <c r="P332" s="118" t="s">
        <v>548</v>
      </c>
      <c r="Q332" s="118" t="s">
        <v>49</v>
      </c>
      <c r="R332" s="118">
        <v>1</v>
      </c>
      <c r="S332" s="118">
        <v>1</v>
      </c>
      <c r="T332" s="118">
        <v>1</v>
      </c>
      <c r="U332" s="118">
        <v>1</v>
      </c>
      <c r="V332" s="118">
        <v>1</v>
      </c>
      <c r="W332" s="118">
        <v>1</v>
      </c>
      <c r="X332" s="118">
        <v>1</v>
      </c>
      <c r="Y332" s="118" t="s">
        <v>140</v>
      </c>
      <c r="Z332" s="118">
        <v>1</v>
      </c>
      <c r="AA332" s="118">
        <v>1</v>
      </c>
      <c r="AB332" s="118">
        <v>1</v>
      </c>
      <c r="AC332" s="118">
        <v>1</v>
      </c>
      <c r="AD332" s="118">
        <v>1</v>
      </c>
      <c r="AE332" s="118">
        <v>1</v>
      </c>
      <c r="AF332" s="118" t="s">
        <v>140</v>
      </c>
      <c r="AG332" s="118">
        <v>1</v>
      </c>
      <c r="AH332" s="118">
        <v>1</v>
      </c>
      <c r="AI332" s="118">
        <v>1</v>
      </c>
      <c r="AJ332" s="118">
        <v>1</v>
      </c>
      <c r="AK332" s="118">
        <v>1</v>
      </c>
      <c r="AL332" s="118">
        <v>1</v>
      </c>
      <c r="AM332" s="118">
        <v>1</v>
      </c>
      <c r="AN332" s="118">
        <v>1</v>
      </c>
      <c r="AO332" s="118" t="s">
        <v>874</v>
      </c>
    </row>
    <row r="333" spans="1:41" hidden="1" x14ac:dyDescent="0.2">
      <c r="A333" s="13">
        <f t="shared" si="12"/>
        <v>10</v>
      </c>
      <c r="B333" s="13">
        <f t="shared" si="13"/>
        <v>3</v>
      </c>
      <c r="C333" s="13" t="str">
        <f>VLOOKUP(B333,Correspondance!$D$3:$E$14,2,FALSE)</f>
        <v>Mars</v>
      </c>
      <c r="D333" s="15" t="str">
        <f>VLOOKUP(G333,Correspondance!$A$3:$B$11,2,FALSE)</f>
        <v>PHONE</v>
      </c>
      <c r="E333" s="115" t="s">
        <v>793</v>
      </c>
      <c r="F333" s="116" t="s">
        <v>169</v>
      </c>
      <c r="G333" s="117" t="s">
        <v>277</v>
      </c>
      <c r="H333" s="118" t="s">
        <v>356</v>
      </c>
      <c r="I333" s="118" t="s">
        <v>369</v>
      </c>
      <c r="J333" s="119" t="s">
        <v>57</v>
      </c>
      <c r="K333" s="120">
        <v>88</v>
      </c>
      <c r="L333" s="118" t="s">
        <v>812</v>
      </c>
      <c r="M333" s="118" t="s">
        <v>215</v>
      </c>
      <c r="N333" s="118" t="s">
        <v>114</v>
      </c>
      <c r="O333" s="118" t="s">
        <v>47</v>
      </c>
      <c r="P333" s="118" t="s">
        <v>77</v>
      </c>
      <c r="Q333" s="118" t="s">
        <v>49</v>
      </c>
      <c r="R333" s="118">
        <v>1</v>
      </c>
      <c r="S333" s="118">
        <v>1</v>
      </c>
      <c r="T333" s="118">
        <v>0</v>
      </c>
      <c r="U333" s="118">
        <v>1</v>
      </c>
      <c r="V333" s="118">
        <v>1</v>
      </c>
      <c r="W333" s="118">
        <v>1</v>
      </c>
      <c r="X333" s="118">
        <v>1</v>
      </c>
      <c r="Y333" s="118" t="s">
        <v>140</v>
      </c>
      <c r="Z333" s="118">
        <v>1</v>
      </c>
      <c r="AA333" s="118">
        <v>1</v>
      </c>
      <c r="AB333" s="118">
        <v>1</v>
      </c>
      <c r="AC333" s="118">
        <v>1</v>
      </c>
      <c r="AD333" s="118">
        <v>1</v>
      </c>
      <c r="AE333" s="118">
        <v>1</v>
      </c>
      <c r="AF333" s="118" t="s">
        <v>140</v>
      </c>
      <c r="AG333" s="118">
        <v>1</v>
      </c>
      <c r="AH333" s="118">
        <v>1</v>
      </c>
      <c r="AI333" s="118">
        <v>1</v>
      </c>
      <c r="AJ333" s="118">
        <v>1</v>
      </c>
      <c r="AK333" s="118">
        <v>1</v>
      </c>
      <c r="AL333" s="118">
        <v>1</v>
      </c>
      <c r="AM333" s="118">
        <v>0</v>
      </c>
      <c r="AN333" s="118">
        <v>1</v>
      </c>
      <c r="AO333" s="118" t="s">
        <v>874</v>
      </c>
    </row>
    <row r="334" spans="1:41" hidden="1" x14ac:dyDescent="0.2">
      <c r="A334" s="13">
        <f t="shared" si="12"/>
        <v>10</v>
      </c>
      <c r="B334" s="13">
        <f t="shared" si="13"/>
        <v>3</v>
      </c>
      <c r="C334" s="13" t="str">
        <f>VLOOKUP(B334,Correspondance!$D$3:$E$14,2,FALSE)</f>
        <v>Mars</v>
      </c>
      <c r="D334" s="15" t="str">
        <f>VLOOKUP(G334,Correspondance!$A$3:$B$11,2,FALSE)</f>
        <v>PHONE</v>
      </c>
      <c r="E334" s="115" t="s">
        <v>793</v>
      </c>
      <c r="F334" s="116" t="s">
        <v>169</v>
      </c>
      <c r="G334" s="117" t="s">
        <v>277</v>
      </c>
      <c r="H334" s="118" t="s">
        <v>356</v>
      </c>
      <c r="I334" s="118" t="s">
        <v>369</v>
      </c>
      <c r="J334" s="119" t="s">
        <v>57</v>
      </c>
      <c r="K334" s="120">
        <v>100</v>
      </c>
      <c r="L334" s="118" t="s">
        <v>813</v>
      </c>
      <c r="M334" s="118" t="s">
        <v>814</v>
      </c>
      <c r="N334" s="118" t="s">
        <v>114</v>
      </c>
      <c r="O334" s="118" t="s">
        <v>47</v>
      </c>
      <c r="P334" s="118" t="s">
        <v>546</v>
      </c>
      <c r="Q334" s="118" t="s">
        <v>49</v>
      </c>
      <c r="R334" s="118">
        <v>1</v>
      </c>
      <c r="S334" s="118">
        <v>1</v>
      </c>
      <c r="T334" s="118">
        <v>1</v>
      </c>
      <c r="U334" s="118">
        <v>1</v>
      </c>
      <c r="V334" s="118">
        <v>1</v>
      </c>
      <c r="W334" s="118">
        <v>1</v>
      </c>
      <c r="X334" s="118">
        <v>1</v>
      </c>
      <c r="Y334" s="118" t="s">
        <v>140</v>
      </c>
      <c r="Z334" s="118">
        <v>1</v>
      </c>
      <c r="AA334" s="118">
        <v>1</v>
      </c>
      <c r="AB334" s="118">
        <v>1</v>
      </c>
      <c r="AC334" s="118">
        <v>1</v>
      </c>
      <c r="AD334" s="118">
        <v>1</v>
      </c>
      <c r="AE334" s="118">
        <v>1</v>
      </c>
      <c r="AF334" s="118" t="s">
        <v>140</v>
      </c>
      <c r="AG334" s="118">
        <v>1</v>
      </c>
      <c r="AH334" s="118">
        <v>1</v>
      </c>
      <c r="AI334" s="118">
        <v>1</v>
      </c>
      <c r="AJ334" s="118">
        <v>1</v>
      </c>
      <c r="AK334" s="118">
        <v>1</v>
      </c>
      <c r="AL334" s="118">
        <v>1</v>
      </c>
      <c r="AM334" s="118">
        <v>1</v>
      </c>
      <c r="AN334" s="118">
        <v>1</v>
      </c>
      <c r="AO334" s="118" t="s">
        <v>874</v>
      </c>
    </row>
    <row r="335" spans="1:41" ht="25.5" hidden="1" x14ac:dyDescent="0.2">
      <c r="A335" s="13">
        <f t="shared" si="12"/>
        <v>10</v>
      </c>
      <c r="B335" s="13">
        <f t="shared" si="13"/>
        <v>3</v>
      </c>
      <c r="C335" s="13" t="str">
        <f>VLOOKUP(B335,Correspondance!$D$3:$E$14,2,FALSE)</f>
        <v>Mars</v>
      </c>
      <c r="D335" s="15" t="str">
        <f>VLOOKUP(G335,Correspondance!$A$3:$B$11,2,FALSE)</f>
        <v>PHONE</v>
      </c>
      <c r="E335" s="115" t="s">
        <v>793</v>
      </c>
      <c r="F335" s="116" t="s">
        <v>169</v>
      </c>
      <c r="G335" s="117" t="s">
        <v>277</v>
      </c>
      <c r="H335" s="118" t="s">
        <v>1332</v>
      </c>
      <c r="I335" s="118" t="s">
        <v>260</v>
      </c>
      <c r="J335" s="119" t="s">
        <v>57</v>
      </c>
      <c r="K335" s="120">
        <v>100</v>
      </c>
      <c r="L335" s="118" t="s">
        <v>815</v>
      </c>
      <c r="M335" s="118" t="s">
        <v>174</v>
      </c>
      <c r="N335" s="118" t="s">
        <v>114</v>
      </c>
      <c r="O335" s="118" t="s">
        <v>47</v>
      </c>
      <c r="P335" s="118" t="s">
        <v>546</v>
      </c>
      <c r="Q335" s="118" t="s">
        <v>49</v>
      </c>
      <c r="R335" s="118">
        <v>1</v>
      </c>
      <c r="S335" s="118">
        <v>1</v>
      </c>
      <c r="T335" s="118">
        <v>1</v>
      </c>
      <c r="U335" s="118">
        <v>1</v>
      </c>
      <c r="V335" s="118">
        <v>1</v>
      </c>
      <c r="W335" s="118">
        <v>1</v>
      </c>
      <c r="X335" s="118">
        <v>1</v>
      </c>
      <c r="Y335" s="118" t="s">
        <v>140</v>
      </c>
      <c r="Z335" s="118">
        <v>1</v>
      </c>
      <c r="AA335" s="118">
        <v>1</v>
      </c>
      <c r="AB335" s="118">
        <v>1</v>
      </c>
      <c r="AC335" s="118">
        <v>1</v>
      </c>
      <c r="AD335" s="118">
        <v>1</v>
      </c>
      <c r="AE335" s="118">
        <v>1</v>
      </c>
      <c r="AF335" s="118" t="s">
        <v>140</v>
      </c>
      <c r="AG335" s="118">
        <v>1</v>
      </c>
      <c r="AH335" s="118">
        <v>1</v>
      </c>
      <c r="AI335" s="118">
        <v>1</v>
      </c>
      <c r="AJ335" s="118">
        <v>1</v>
      </c>
      <c r="AK335" s="118">
        <v>1</v>
      </c>
      <c r="AL335" s="118">
        <v>1</v>
      </c>
      <c r="AM335" s="118">
        <v>1</v>
      </c>
      <c r="AN335" s="118">
        <v>1</v>
      </c>
      <c r="AO335" s="118" t="s">
        <v>874</v>
      </c>
    </row>
    <row r="336" spans="1:41" hidden="1" x14ac:dyDescent="0.2">
      <c r="A336" s="13">
        <f t="shared" si="12"/>
        <v>10</v>
      </c>
      <c r="B336" s="13">
        <f t="shared" si="13"/>
        <v>3</v>
      </c>
      <c r="C336" s="13" t="str">
        <f>VLOOKUP(B336,Correspondance!$D$3:$E$14,2,FALSE)</f>
        <v>Mars</v>
      </c>
      <c r="D336" s="15" t="str">
        <f>VLOOKUP(G336,Correspondance!$A$3:$B$11,2,FALSE)</f>
        <v>PHONE</v>
      </c>
      <c r="E336" s="115" t="s">
        <v>793</v>
      </c>
      <c r="F336" s="116" t="s">
        <v>169</v>
      </c>
      <c r="G336" s="117" t="s">
        <v>277</v>
      </c>
      <c r="H336" s="118" t="s">
        <v>360</v>
      </c>
      <c r="I336" s="118" t="s">
        <v>372</v>
      </c>
      <c r="J336" s="119" t="s">
        <v>57</v>
      </c>
      <c r="K336" s="120">
        <v>100</v>
      </c>
      <c r="L336" s="118" t="s">
        <v>816</v>
      </c>
      <c r="M336" s="118" t="s">
        <v>716</v>
      </c>
      <c r="N336" s="118" t="s">
        <v>114</v>
      </c>
      <c r="O336" s="118" t="s">
        <v>47</v>
      </c>
      <c r="P336" s="118" t="s">
        <v>817</v>
      </c>
      <c r="Q336" s="118" t="s">
        <v>49</v>
      </c>
      <c r="R336" s="118">
        <v>1</v>
      </c>
      <c r="S336" s="118">
        <v>1</v>
      </c>
      <c r="T336" s="118">
        <v>1</v>
      </c>
      <c r="U336" s="118">
        <v>1</v>
      </c>
      <c r="V336" s="118">
        <v>1</v>
      </c>
      <c r="W336" s="118">
        <v>1</v>
      </c>
      <c r="X336" s="118">
        <v>1</v>
      </c>
      <c r="Y336" s="118" t="s">
        <v>140</v>
      </c>
      <c r="Z336" s="118">
        <v>1</v>
      </c>
      <c r="AA336" s="118">
        <v>1</v>
      </c>
      <c r="AB336" s="118">
        <v>1</v>
      </c>
      <c r="AC336" s="118">
        <v>1</v>
      </c>
      <c r="AD336" s="118">
        <v>1</v>
      </c>
      <c r="AE336" s="118">
        <v>1</v>
      </c>
      <c r="AF336" s="118" t="s">
        <v>140</v>
      </c>
      <c r="AG336" s="118">
        <v>1</v>
      </c>
      <c r="AH336" s="118">
        <v>1</v>
      </c>
      <c r="AI336" s="118">
        <v>1</v>
      </c>
      <c r="AJ336" s="118">
        <v>1</v>
      </c>
      <c r="AK336" s="118">
        <v>1</v>
      </c>
      <c r="AL336" s="118">
        <v>1</v>
      </c>
      <c r="AM336" s="118">
        <v>1</v>
      </c>
      <c r="AN336" s="118">
        <v>1</v>
      </c>
      <c r="AO336" s="118" t="s">
        <v>874</v>
      </c>
    </row>
    <row r="337" spans="1:41" hidden="1" x14ac:dyDescent="0.2">
      <c r="A337" s="13">
        <f t="shared" si="12"/>
        <v>10</v>
      </c>
      <c r="B337" s="13">
        <f t="shared" si="13"/>
        <v>3</v>
      </c>
      <c r="C337" s="13" t="str">
        <f>VLOOKUP(B337,Correspondance!$D$3:$E$14,2,FALSE)</f>
        <v>Mars</v>
      </c>
      <c r="D337" s="15" t="str">
        <f>VLOOKUP(G337,Correspondance!$A$3:$B$11,2,FALSE)</f>
        <v>PHONE</v>
      </c>
      <c r="E337" s="115" t="s">
        <v>793</v>
      </c>
      <c r="F337" s="116" t="s">
        <v>169</v>
      </c>
      <c r="G337" s="117" t="s">
        <v>277</v>
      </c>
      <c r="H337" s="118" t="s">
        <v>266</v>
      </c>
      <c r="I337" s="118" t="s">
        <v>267</v>
      </c>
      <c r="J337" s="119" t="s">
        <v>57</v>
      </c>
      <c r="K337" s="120">
        <v>100</v>
      </c>
      <c r="L337" s="118" t="s">
        <v>818</v>
      </c>
      <c r="M337" s="118" t="s">
        <v>211</v>
      </c>
      <c r="N337" s="118" t="s">
        <v>114</v>
      </c>
      <c r="O337" s="118" t="s">
        <v>47</v>
      </c>
      <c r="P337" s="118" t="s">
        <v>547</v>
      </c>
      <c r="Q337" s="118" t="s">
        <v>49</v>
      </c>
      <c r="R337" s="118">
        <v>1</v>
      </c>
      <c r="S337" s="118">
        <v>1</v>
      </c>
      <c r="T337" s="118">
        <v>1</v>
      </c>
      <c r="U337" s="118">
        <v>1</v>
      </c>
      <c r="V337" s="118">
        <v>1</v>
      </c>
      <c r="W337" s="118">
        <v>1</v>
      </c>
      <c r="X337" s="118">
        <v>1</v>
      </c>
      <c r="Y337" s="118" t="s">
        <v>140</v>
      </c>
      <c r="Z337" s="118">
        <v>1</v>
      </c>
      <c r="AA337" s="118">
        <v>1</v>
      </c>
      <c r="AB337" s="118">
        <v>1</v>
      </c>
      <c r="AC337" s="118">
        <v>1</v>
      </c>
      <c r="AD337" s="118">
        <v>1</v>
      </c>
      <c r="AE337" s="118">
        <v>1</v>
      </c>
      <c r="AF337" s="118" t="s">
        <v>140</v>
      </c>
      <c r="AG337" s="118">
        <v>1</v>
      </c>
      <c r="AH337" s="118">
        <v>1</v>
      </c>
      <c r="AI337" s="118">
        <v>1</v>
      </c>
      <c r="AJ337" s="118">
        <v>1</v>
      </c>
      <c r="AK337" s="118">
        <v>1</v>
      </c>
      <c r="AL337" s="118">
        <v>1</v>
      </c>
      <c r="AM337" s="118">
        <v>1</v>
      </c>
      <c r="AN337" s="118">
        <v>1</v>
      </c>
      <c r="AO337" s="118" t="s">
        <v>874</v>
      </c>
    </row>
    <row r="338" spans="1:41" hidden="1" x14ac:dyDescent="0.2">
      <c r="A338" s="13">
        <f t="shared" si="12"/>
        <v>10</v>
      </c>
      <c r="B338" s="13">
        <f t="shared" si="13"/>
        <v>3</v>
      </c>
      <c r="C338" s="13" t="str">
        <f>VLOOKUP(B338,Correspondance!$D$3:$E$14,2,FALSE)</f>
        <v>Mars</v>
      </c>
      <c r="D338" s="15" t="str">
        <f>VLOOKUP(G338,Correspondance!$A$3:$B$11,2,FALSE)</f>
        <v>PHONE</v>
      </c>
      <c r="E338" s="115" t="s">
        <v>793</v>
      </c>
      <c r="F338" s="116" t="s">
        <v>169</v>
      </c>
      <c r="G338" s="117" t="s">
        <v>277</v>
      </c>
      <c r="H338" s="118" t="s">
        <v>266</v>
      </c>
      <c r="I338" s="118" t="s">
        <v>267</v>
      </c>
      <c r="J338" s="119" t="s">
        <v>57</v>
      </c>
      <c r="K338" s="120">
        <v>100</v>
      </c>
      <c r="L338" s="118" t="s">
        <v>819</v>
      </c>
      <c r="M338" s="118" t="s">
        <v>190</v>
      </c>
      <c r="N338" s="118" t="s">
        <v>114</v>
      </c>
      <c r="O338" s="118" t="s">
        <v>47</v>
      </c>
      <c r="P338" s="118" t="s">
        <v>77</v>
      </c>
      <c r="Q338" s="118" t="s">
        <v>49</v>
      </c>
      <c r="R338" s="118">
        <v>1</v>
      </c>
      <c r="S338" s="118">
        <v>1</v>
      </c>
      <c r="T338" s="118">
        <v>1</v>
      </c>
      <c r="U338" s="118">
        <v>1</v>
      </c>
      <c r="V338" s="118">
        <v>1</v>
      </c>
      <c r="W338" s="118">
        <v>1</v>
      </c>
      <c r="X338" s="118">
        <v>1</v>
      </c>
      <c r="Y338" s="118" t="s">
        <v>140</v>
      </c>
      <c r="Z338" s="118">
        <v>1</v>
      </c>
      <c r="AA338" s="118">
        <v>1</v>
      </c>
      <c r="AB338" s="118">
        <v>1</v>
      </c>
      <c r="AC338" s="118">
        <v>1</v>
      </c>
      <c r="AD338" s="118">
        <v>1</v>
      </c>
      <c r="AE338" s="118">
        <v>1</v>
      </c>
      <c r="AF338" s="118" t="s">
        <v>140</v>
      </c>
      <c r="AG338" s="118">
        <v>1</v>
      </c>
      <c r="AH338" s="118">
        <v>1</v>
      </c>
      <c r="AI338" s="118">
        <v>1</v>
      </c>
      <c r="AJ338" s="118">
        <v>1</v>
      </c>
      <c r="AK338" s="118">
        <v>1</v>
      </c>
      <c r="AL338" s="118">
        <v>1</v>
      </c>
      <c r="AM338" s="118">
        <v>1</v>
      </c>
      <c r="AN338" s="118">
        <v>1</v>
      </c>
      <c r="AO338" s="118" t="s">
        <v>874</v>
      </c>
    </row>
    <row r="339" spans="1:41" hidden="1" x14ac:dyDescent="0.2">
      <c r="A339" s="13">
        <f t="shared" si="12"/>
        <v>10</v>
      </c>
      <c r="B339" s="13">
        <f t="shared" si="13"/>
        <v>3</v>
      </c>
      <c r="C339" s="13" t="str">
        <f>VLOOKUP(B339,Correspondance!$D$3:$E$14,2,FALSE)</f>
        <v>Mars</v>
      </c>
      <c r="D339" s="15" t="str">
        <f>VLOOKUP(G339,Correspondance!$A$3:$B$11,2,FALSE)</f>
        <v>PHONE</v>
      </c>
      <c r="E339" s="115" t="s">
        <v>793</v>
      </c>
      <c r="F339" s="116" t="s">
        <v>169</v>
      </c>
      <c r="G339" s="117" t="s">
        <v>277</v>
      </c>
      <c r="H339" s="118" t="s">
        <v>266</v>
      </c>
      <c r="I339" s="118" t="s">
        <v>267</v>
      </c>
      <c r="J339" s="119" t="s">
        <v>57</v>
      </c>
      <c r="K339" s="120">
        <v>100</v>
      </c>
      <c r="L339" s="118" t="s">
        <v>820</v>
      </c>
      <c r="M339" s="118" t="s">
        <v>525</v>
      </c>
      <c r="N339" s="118" t="s">
        <v>114</v>
      </c>
      <c r="O339" s="118" t="s">
        <v>47</v>
      </c>
      <c r="P339" s="118" t="s">
        <v>77</v>
      </c>
      <c r="Q339" s="118" t="s">
        <v>49</v>
      </c>
      <c r="R339" s="118">
        <v>1</v>
      </c>
      <c r="S339" s="118">
        <v>1</v>
      </c>
      <c r="T339" s="118">
        <v>1</v>
      </c>
      <c r="U339" s="118">
        <v>1</v>
      </c>
      <c r="V339" s="118">
        <v>1</v>
      </c>
      <c r="W339" s="118">
        <v>1</v>
      </c>
      <c r="X339" s="118">
        <v>1</v>
      </c>
      <c r="Y339" s="118" t="s">
        <v>140</v>
      </c>
      <c r="Z339" s="118">
        <v>1</v>
      </c>
      <c r="AA339" s="118">
        <v>1</v>
      </c>
      <c r="AB339" s="118">
        <v>1</v>
      </c>
      <c r="AC339" s="118">
        <v>1</v>
      </c>
      <c r="AD339" s="118">
        <v>1</v>
      </c>
      <c r="AE339" s="118">
        <v>1</v>
      </c>
      <c r="AF339" s="118" t="s">
        <v>140</v>
      </c>
      <c r="AG339" s="118">
        <v>1</v>
      </c>
      <c r="AH339" s="118" t="s">
        <v>140</v>
      </c>
      <c r="AI339" s="118">
        <v>1</v>
      </c>
      <c r="AJ339" s="118">
        <v>1</v>
      </c>
      <c r="AK339" s="118">
        <v>1</v>
      </c>
      <c r="AL339" s="118">
        <v>1</v>
      </c>
      <c r="AM339" s="118">
        <v>1</v>
      </c>
      <c r="AN339" s="118">
        <v>1</v>
      </c>
      <c r="AO339" s="118" t="s">
        <v>874</v>
      </c>
    </row>
    <row r="340" spans="1:41" x14ac:dyDescent="0.2">
      <c r="A340" s="13">
        <f t="shared" si="12"/>
        <v>10</v>
      </c>
      <c r="B340" s="13">
        <f t="shared" si="13"/>
        <v>3</v>
      </c>
      <c r="C340" s="13" t="str">
        <f>VLOOKUP(B340,Correspondance!$D$3:$E$14,2,FALSE)</f>
        <v>Mars</v>
      </c>
      <c r="D340" s="15" t="str">
        <f>VLOOKUP(G340,Correspondance!$A$3:$B$11,2,FALSE)</f>
        <v>PHONE</v>
      </c>
      <c r="E340" s="115" t="s">
        <v>793</v>
      </c>
      <c r="F340" s="116" t="s">
        <v>169</v>
      </c>
      <c r="G340" s="117" t="s">
        <v>277</v>
      </c>
      <c r="H340" s="118" t="s">
        <v>821</v>
      </c>
      <c r="I340" s="118" t="s">
        <v>822</v>
      </c>
      <c r="J340" s="119" t="s">
        <v>57</v>
      </c>
      <c r="K340" s="120">
        <v>78</v>
      </c>
      <c r="L340" s="118" t="s">
        <v>823</v>
      </c>
      <c r="M340" s="118" t="s">
        <v>814</v>
      </c>
      <c r="N340" s="118" t="s">
        <v>114</v>
      </c>
      <c r="O340" s="118" t="s">
        <v>47</v>
      </c>
      <c r="P340" s="118" t="s">
        <v>345</v>
      </c>
      <c r="Q340" s="118" t="s">
        <v>49</v>
      </c>
      <c r="R340" s="118">
        <v>0</v>
      </c>
      <c r="S340" s="118">
        <v>1</v>
      </c>
      <c r="T340" s="118">
        <v>1</v>
      </c>
      <c r="U340" s="118">
        <v>1</v>
      </c>
      <c r="V340" s="118">
        <v>1</v>
      </c>
      <c r="W340" s="118">
        <v>1</v>
      </c>
      <c r="X340" s="118">
        <v>1</v>
      </c>
      <c r="Y340" s="118" t="s">
        <v>140</v>
      </c>
      <c r="Z340" s="118">
        <v>1</v>
      </c>
      <c r="AA340" s="118">
        <v>1</v>
      </c>
      <c r="AB340" s="118">
        <v>1</v>
      </c>
      <c r="AC340" s="118">
        <v>0</v>
      </c>
      <c r="AD340" s="118">
        <v>1</v>
      </c>
      <c r="AE340" s="118">
        <v>1</v>
      </c>
      <c r="AF340" s="118" t="s">
        <v>140</v>
      </c>
      <c r="AG340" s="118">
        <v>1</v>
      </c>
      <c r="AH340" s="118">
        <v>1</v>
      </c>
      <c r="AI340" s="118">
        <v>1</v>
      </c>
      <c r="AJ340" s="118">
        <v>1</v>
      </c>
      <c r="AK340" s="118">
        <v>1</v>
      </c>
      <c r="AL340" s="118">
        <v>1</v>
      </c>
      <c r="AM340" s="118">
        <v>1</v>
      </c>
      <c r="AN340" s="118">
        <v>1</v>
      </c>
      <c r="AO340" s="118"/>
    </row>
    <row r="341" spans="1:41" hidden="1" x14ac:dyDescent="0.2">
      <c r="A341" s="13">
        <f t="shared" si="12"/>
        <v>10</v>
      </c>
      <c r="B341" s="13">
        <f t="shared" si="13"/>
        <v>3</v>
      </c>
      <c r="C341" s="13" t="str">
        <f>VLOOKUP(B341,Correspondance!$D$3:$E$14,2,FALSE)</f>
        <v>Mars</v>
      </c>
      <c r="D341" s="15" t="str">
        <f>VLOOKUP(G341,Correspondance!$A$3:$B$11,2,FALSE)</f>
        <v>PHONE</v>
      </c>
      <c r="E341" s="115" t="s">
        <v>793</v>
      </c>
      <c r="F341" s="116" t="s">
        <v>169</v>
      </c>
      <c r="G341" s="117" t="s">
        <v>277</v>
      </c>
      <c r="H341" s="118" t="s">
        <v>821</v>
      </c>
      <c r="I341" s="118" t="s">
        <v>822</v>
      </c>
      <c r="J341" s="119" t="s">
        <v>57</v>
      </c>
      <c r="K341" s="120">
        <v>100</v>
      </c>
      <c r="L341" s="118" t="s">
        <v>824</v>
      </c>
      <c r="M341" s="118" t="s">
        <v>721</v>
      </c>
      <c r="N341" s="118" t="s">
        <v>114</v>
      </c>
      <c r="O341" s="118" t="s">
        <v>47</v>
      </c>
      <c r="P341" s="118" t="s">
        <v>77</v>
      </c>
      <c r="Q341" s="118" t="s">
        <v>49</v>
      </c>
      <c r="R341" s="118">
        <v>1</v>
      </c>
      <c r="S341" s="118">
        <v>1</v>
      </c>
      <c r="T341" s="118">
        <v>1</v>
      </c>
      <c r="U341" s="118">
        <v>1</v>
      </c>
      <c r="V341" s="118">
        <v>1</v>
      </c>
      <c r="W341" s="118">
        <v>1</v>
      </c>
      <c r="X341" s="118">
        <v>1</v>
      </c>
      <c r="Y341" s="118" t="s">
        <v>140</v>
      </c>
      <c r="Z341" s="118">
        <v>1</v>
      </c>
      <c r="AA341" s="118">
        <v>1</v>
      </c>
      <c r="AB341" s="118">
        <v>1</v>
      </c>
      <c r="AC341" s="118">
        <v>1</v>
      </c>
      <c r="AD341" s="118">
        <v>1</v>
      </c>
      <c r="AE341" s="118">
        <v>1</v>
      </c>
      <c r="AF341" s="118" t="s">
        <v>140</v>
      </c>
      <c r="AG341" s="118">
        <v>1</v>
      </c>
      <c r="AH341" s="118">
        <v>1</v>
      </c>
      <c r="AI341" s="118">
        <v>1</v>
      </c>
      <c r="AJ341" s="118">
        <v>1</v>
      </c>
      <c r="AK341" s="118">
        <v>1</v>
      </c>
      <c r="AL341" s="118">
        <v>1</v>
      </c>
      <c r="AM341" s="118">
        <v>1</v>
      </c>
      <c r="AN341" s="118">
        <v>1</v>
      </c>
      <c r="AO341" s="118"/>
    </row>
    <row r="342" spans="1:41" ht="25.5" x14ac:dyDescent="0.2">
      <c r="A342" s="13">
        <f t="shared" si="12"/>
        <v>10</v>
      </c>
      <c r="B342" s="13">
        <f t="shared" si="13"/>
        <v>3</v>
      </c>
      <c r="C342" s="13" t="str">
        <f>VLOOKUP(B342,Correspondance!$D$3:$E$14,2,FALSE)</f>
        <v>Mars</v>
      </c>
      <c r="D342" s="15" t="str">
        <f>VLOOKUP(G342,Correspondance!$A$3:$B$11,2,FALSE)</f>
        <v>PHONE</v>
      </c>
      <c r="E342" s="115" t="s">
        <v>793</v>
      </c>
      <c r="F342" s="116" t="s">
        <v>169</v>
      </c>
      <c r="G342" s="117" t="s">
        <v>277</v>
      </c>
      <c r="H342" s="118" t="s">
        <v>522</v>
      </c>
      <c r="I342" s="118" t="s">
        <v>523</v>
      </c>
      <c r="J342" s="119" t="s">
        <v>57</v>
      </c>
      <c r="K342" s="120">
        <v>85</v>
      </c>
      <c r="L342" s="118" t="s">
        <v>825</v>
      </c>
      <c r="M342" s="118" t="s">
        <v>211</v>
      </c>
      <c r="N342" s="118" t="s">
        <v>114</v>
      </c>
      <c r="O342" s="118" t="s">
        <v>47</v>
      </c>
      <c r="P342" s="118" t="s">
        <v>826</v>
      </c>
      <c r="Q342" s="118" t="s">
        <v>49</v>
      </c>
      <c r="R342" s="118">
        <v>1</v>
      </c>
      <c r="S342" s="118">
        <v>1</v>
      </c>
      <c r="T342" s="118">
        <v>1</v>
      </c>
      <c r="U342" s="118">
        <v>1</v>
      </c>
      <c r="V342" s="118">
        <v>1</v>
      </c>
      <c r="W342" s="118">
        <v>1</v>
      </c>
      <c r="X342" s="118">
        <v>1</v>
      </c>
      <c r="Y342" s="118" t="s">
        <v>140</v>
      </c>
      <c r="Z342" s="118">
        <v>1</v>
      </c>
      <c r="AA342" s="118">
        <v>1</v>
      </c>
      <c r="AB342" s="118">
        <v>1</v>
      </c>
      <c r="AC342" s="118">
        <v>0</v>
      </c>
      <c r="AD342" s="118">
        <v>1</v>
      </c>
      <c r="AE342" s="118">
        <v>0</v>
      </c>
      <c r="AF342" s="118" t="s">
        <v>140</v>
      </c>
      <c r="AG342" s="118">
        <v>1</v>
      </c>
      <c r="AH342" s="118">
        <v>1</v>
      </c>
      <c r="AI342" s="118">
        <v>1</v>
      </c>
      <c r="AJ342" s="118">
        <v>1</v>
      </c>
      <c r="AK342" s="118">
        <v>1</v>
      </c>
      <c r="AL342" s="118">
        <v>1</v>
      </c>
      <c r="AM342" s="118">
        <v>1</v>
      </c>
      <c r="AN342" s="118">
        <v>1</v>
      </c>
      <c r="AO342" s="118" t="s">
        <v>874</v>
      </c>
    </row>
    <row r="343" spans="1:41" ht="25.5" hidden="1" x14ac:dyDescent="0.2">
      <c r="A343" s="13">
        <f t="shared" si="12"/>
        <v>10</v>
      </c>
      <c r="B343" s="13">
        <f t="shared" si="13"/>
        <v>3</v>
      </c>
      <c r="C343" s="13" t="str">
        <f>VLOOKUP(B343,Correspondance!$D$3:$E$14,2,FALSE)</f>
        <v>Mars</v>
      </c>
      <c r="D343" s="15" t="str">
        <f>VLOOKUP(G343,Correspondance!$A$3:$B$11,2,FALSE)</f>
        <v>PHONE</v>
      </c>
      <c r="E343" s="115" t="s">
        <v>793</v>
      </c>
      <c r="F343" s="116" t="s">
        <v>169</v>
      </c>
      <c r="G343" s="117" t="s">
        <v>277</v>
      </c>
      <c r="H343" s="118" t="s">
        <v>522</v>
      </c>
      <c r="I343" s="118" t="s">
        <v>523</v>
      </c>
      <c r="J343" s="119" t="s">
        <v>57</v>
      </c>
      <c r="K343" s="120">
        <v>94</v>
      </c>
      <c r="L343" s="118" t="s">
        <v>827</v>
      </c>
      <c r="M343" s="118" t="s">
        <v>174</v>
      </c>
      <c r="N343" s="118" t="s">
        <v>114</v>
      </c>
      <c r="O343" s="118" t="s">
        <v>47</v>
      </c>
      <c r="P343" s="118" t="s">
        <v>828</v>
      </c>
      <c r="Q343" s="118" t="s">
        <v>49</v>
      </c>
      <c r="R343" s="118">
        <v>1</v>
      </c>
      <c r="S343" s="118">
        <v>1</v>
      </c>
      <c r="T343" s="118">
        <v>1</v>
      </c>
      <c r="U343" s="118">
        <v>1</v>
      </c>
      <c r="V343" s="118">
        <v>1</v>
      </c>
      <c r="W343" s="118">
        <v>1</v>
      </c>
      <c r="X343" s="118">
        <v>1</v>
      </c>
      <c r="Y343" s="118" t="s">
        <v>140</v>
      </c>
      <c r="Z343" s="118">
        <v>1</v>
      </c>
      <c r="AA343" s="118">
        <v>1</v>
      </c>
      <c r="AB343" s="118">
        <v>0</v>
      </c>
      <c r="AC343" s="118">
        <v>1</v>
      </c>
      <c r="AD343" s="118">
        <v>1</v>
      </c>
      <c r="AE343" s="118">
        <v>1</v>
      </c>
      <c r="AF343" s="118" t="s">
        <v>140</v>
      </c>
      <c r="AG343" s="118">
        <v>1</v>
      </c>
      <c r="AH343" s="118">
        <v>0</v>
      </c>
      <c r="AI343" s="118">
        <v>1</v>
      </c>
      <c r="AJ343" s="118">
        <v>1</v>
      </c>
      <c r="AK343" s="118">
        <v>1</v>
      </c>
      <c r="AL343" s="118">
        <v>1</v>
      </c>
      <c r="AM343" s="118">
        <v>1</v>
      </c>
      <c r="AN343" s="118">
        <v>1</v>
      </c>
      <c r="AO343" s="118" t="s">
        <v>874</v>
      </c>
    </row>
    <row r="344" spans="1:41" hidden="1" x14ac:dyDescent="0.2">
      <c r="A344" s="13">
        <f t="shared" si="12"/>
        <v>11</v>
      </c>
      <c r="B344" s="13">
        <f t="shared" si="13"/>
        <v>3</v>
      </c>
      <c r="C344" s="13" t="str">
        <f>VLOOKUP(B344,Correspondance!$D$3:$E$14,2,FALSE)</f>
        <v>Mars</v>
      </c>
      <c r="D344" s="15" t="str">
        <f>VLOOKUP(G344,Correspondance!$A$3:$B$11,2,FALSE)</f>
        <v>PHONE</v>
      </c>
      <c r="E344" s="115" t="s">
        <v>794</v>
      </c>
      <c r="F344" s="116" t="s">
        <v>169</v>
      </c>
      <c r="G344" s="117" t="s">
        <v>277</v>
      </c>
      <c r="H344" s="118" t="s">
        <v>266</v>
      </c>
      <c r="I344" s="118" t="s">
        <v>267</v>
      </c>
      <c r="J344" s="119" t="s">
        <v>57</v>
      </c>
      <c r="K344" s="120">
        <v>89</v>
      </c>
      <c r="L344" s="118" t="s">
        <v>824</v>
      </c>
      <c r="M344" s="118" t="s">
        <v>531</v>
      </c>
      <c r="N344" s="118" t="s">
        <v>46</v>
      </c>
      <c r="O344" s="118" t="s">
        <v>47</v>
      </c>
      <c r="P344" s="118" t="s">
        <v>77</v>
      </c>
      <c r="Q344" s="118" t="s">
        <v>49</v>
      </c>
      <c r="R344" s="118">
        <v>1</v>
      </c>
      <c r="S344" s="118">
        <v>1</v>
      </c>
      <c r="T344" s="118">
        <v>1</v>
      </c>
      <c r="U344" s="118">
        <v>1</v>
      </c>
      <c r="V344" s="118">
        <v>1</v>
      </c>
      <c r="W344" s="118">
        <v>1</v>
      </c>
      <c r="X344" s="118">
        <v>1</v>
      </c>
      <c r="Y344" s="118" t="s">
        <v>140</v>
      </c>
      <c r="Z344" s="118">
        <v>1</v>
      </c>
      <c r="AA344" s="118">
        <v>1</v>
      </c>
      <c r="AB344" s="118">
        <v>1</v>
      </c>
      <c r="AC344" s="118">
        <v>1</v>
      </c>
      <c r="AD344" s="118">
        <v>0</v>
      </c>
      <c r="AE344" s="118">
        <v>1</v>
      </c>
      <c r="AF344" s="118" t="s">
        <v>140</v>
      </c>
      <c r="AG344" s="118">
        <v>1</v>
      </c>
      <c r="AH344" s="118">
        <v>1</v>
      </c>
      <c r="AI344" s="118">
        <v>1</v>
      </c>
      <c r="AJ344" s="118">
        <v>1</v>
      </c>
      <c r="AK344" s="118">
        <v>1</v>
      </c>
      <c r="AL344" s="118">
        <v>1</v>
      </c>
      <c r="AM344" s="118">
        <v>1</v>
      </c>
      <c r="AN344" s="118">
        <v>1</v>
      </c>
      <c r="AO344" s="118" t="s">
        <v>874</v>
      </c>
    </row>
    <row r="345" spans="1:41" hidden="1" x14ac:dyDescent="0.2">
      <c r="A345" s="13">
        <f t="shared" si="12"/>
        <v>11</v>
      </c>
      <c r="B345" s="13">
        <f t="shared" si="13"/>
        <v>3</v>
      </c>
      <c r="C345" s="13" t="str">
        <f>VLOOKUP(B345,Correspondance!$D$3:$E$14,2,FALSE)</f>
        <v>Mars</v>
      </c>
      <c r="D345" s="15" t="str">
        <f>VLOOKUP(G345,Correspondance!$A$3:$B$11,2,FALSE)</f>
        <v>PHONE</v>
      </c>
      <c r="E345" s="115" t="s">
        <v>795</v>
      </c>
      <c r="F345" s="116" t="s">
        <v>169</v>
      </c>
      <c r="G345" s="117" t="s">
        <v>359</v>
      </c>
      <c r="H345" s="118" t="s">
        <v>519</v>
      </c>
      <c r="I345" s="118" t="s">
        <v>520</v>
      </c>
      <c r="J345" s="119" t="s">
        <v>57</v>
      </c>
      <c r="K345" s="120">
        <v>100</v>
      </c>
      <c r="L345" s="118" t="s">
        <v>829</v>
      </c>
      <c r="M345" s="118" t="s">
        <v>174</v>
      </c>
      <c r="N345" s="118" t="s">
        <v>46</v>
      </c>
      <c r="O345" s="118" t="s">
        <v>74</v>
      </c>
      <c r="P345" s="118" t="s">
        <v>573</v>
      </c>
      <c r="Q345" s="118" t="s">
        <v>49</v>
      </c>
      <c r="R345" s="118">
        <v>1</v>
      </c>
      <c r="S345" s="118">
        <v>1</v>
      </c>
      <c r="T345" s="118">
        <v>1</v>
      </c>
      <c r="U345" s="118">
        <v>1</v>
      </c>
      <c r="V345" s="118">
        <v>1</v>
      </c>
      <c r="W345" s="118">
        <v>1</v>
      </c>
      <c r="X345" s="118">
        <v>1</v>
      </c>
      <c r="Y345" s="118" t="s">
        <v>140</v>
      </c>
      <c r="Z345" s="118">
        <v>1</v>
      </c>
      <c r="AA345" s="118">
        <v>1</v>
      </c>
      <c r="AB345" s="118">
        <v>1</v>
      </c>
      <c r="AC345" s="118">
        <v>1</v>
      </c>
      <c r="AD345" s="118">
        <v>1</v>
      </c>
      <c r="AE345" s="118">
        <v>1</v>
      </c>
      <c r="AF345" s="118" t="s">
        <v>140</v>
      </c>
      <c r="AG345" s="118">
        <v>1</v>
      </c>
      <c r="AH345" s="118">
        <v>1</v>
      </c>
      <c r="AI345" s="118">
        <v>1</v>
      </c>
      <c r="AJ345" s="118">
        <v>1</v>
      </c>
      <c r="AK345" s="118">
        <v>1</v>
      </c>
      <c r="AL345" s="118">
        <v>1</v>
      </c>
      <c r="AM345" s="118">
        <v>1</v>
      </c>
      <c r="AN345" s="118">
        <v>1</v>
      </c>
      <c r="AO345" s="118" t="s">
        <v>872</v>
      </c>
    </row>
    <row r="346" spans="1:41" hidden="1" x14ac:dyDescent="0.2">
      <c r="A346" s="13">
        <f t="shared" si="12"/>
        <v>11</v>
      </c>
      <c r="B346" s="13">
        <f t="shared" si="13"/>
        <v>3</v>
      </c>
      <c r="C346" s="13" t="str">
        <f>VLOOKUP(B346,Correspondance!$D$3:$E$14,2,FALSE)</f>
        <v>Mars</v>
      </c>
      <c r="D346" s="15" t="str">
        <f>VLOOKUP(G346,Correspondance!$A$3:$B$11,2,FALSE)</f>
        <v>PHONE</v>
      </c>
      <c r="E346" s="115" t="s">
        <v>795</v>
      </c>
      <c r="F346" s="116" t="s">
        <v>169</v>
      </c>
      <c r="G346" s="117" t="s">
        <v>359</v>
      </c>
      <c r="H346" s="118" t="s">
        <v>519</v>
      </c>
      <c r="I346" s="118" t="s">
        <v>520</v>
      </c>
      <c r="J346" s="119" t="s">
        <v>57</v>
      </c>
      <c r="K346" s="120">
        <v>100</v>
      </c>
      <c r="L346" s="118" t="s">
        <v>830</v>
      </c>
      <c r="M346" s="118" t="s">
        <v>237</v>
      </c>
      <c r="N346" s="118" t="s">
        <v>46</v>
      </c>
      <c r="O346" s="118" t="s">
        <v>74</v>
      </c>
      <c r="P346" s="118" t="s">
        <v>361</v>
      </c>
      <c r="Q346" s="118" t="s">
        <v>49</v>
      </c>
      <c r="R346" s="118">
        <v>1</v>
      </c>
      <c r="S346" s="118">
        <v>1</v>
      </c>
      <c r="T346" s="118">
        <v>1</v>
      </c>
      <c r="U346" s="118">
        <v>1</v>
      </c>
      <c r="V346" s="118">
        <v>1</v>
      </c>
      <c r="W346" s="118">
        <v>1</v>
      </c>
      <c r="X346" s="118">
        <v>1</v>
      </c>
      <c r="Y346" s="118" t="s">
        <v>140</v>
      </c>
      <c r="Z346" s="118">
        <v>1</v>
      </c>
      <c r="AA346" s="118">
        <v>1</v>
      </c>
      <c r="AB346" s="118">
        <v>1</v>
      </c>
      <c r="AC346" s="118">
        <v>1</v>
      </c>
      <c r="AD346" s="118">
        <v>1</v>
      </c>
      <c r="AE346" s="118">
        <v>1</v>
      </c>
      <c r="AF346" s="118" t="s">
        <v>140</v>
      </c>
      <c r="AG346" s="118">
        <v>1</v>
      </c>
      <c r="AH346" s="118">
        <v>1</v>
      </c>
      <c r="AI346" s="118">
        <v>1</v>
      </c>
      <c r="AJ346" s="118">
        <v>1</v>
      </c>
      <c r="AK346" s="118">
        <v>1</v>
      </c>
      <c r="AL346" s="118">
        <v>1</v>
      </c>
      <c r="AM346" s="118" t="s">
        <v>140</v>
      </c>
      <c r="AN346" s="118">
        <v>1</v>
      </c>
      <c r="AO346" s="118" t="s">
        <v>872</v>
      </c>
    </row>
    <row r="347" spans="1:41" hidden="1" x14ac:dyDescent="0.2">
      <c r="A347" s="13">
        <f t="shared" si="12"/>
        <v>11</v>
      </c>
      <c r="B347" s="13">
        <f t="shared" si="13"/>
        <v>3</v>
      </c>
      <c r="C347" s="13" t="str">
        <f>VLOOKUP(B347,Correspondance!$D$3:$E$14,2,FALSE)</f>
        <v>Mars</v>
      </c>
      <c r="D347" s="15" t="str">
        <f>VLOOKUP(G347,Correspondance!$A$3:$B$11,2,FALSE)</f>
        <v>PHONE</v>
      </c>
      <c r="E347" s="115" t="s">
        <v>795</v>
      </c>
      <c r="F347" s="116" t="s">
        <v>169</v>
      </c>
      <c r="G347" s="117" t="s">
        <v>359</v>
      </c>
      <c r="H347" s="118" t="s">
        <v>519</v>
      </c>
      <c r="I347" s="118" t="s">
        <v>520</v>
      </c>
      <c r="J347" s="119" t="s">
        <v>57</v>
      </c>
      <c r="K347" s="120">
        <v>100</v>
      </c>
      <c r="L347" s="118" t="s">
        <v>831</v>
      </c>
      <c r="M347" s="118" t="s">
        <v>245</v>
      </c>
      <c r="N347" s="118" t="s">
        <v>46</v>
      </c>
      <c r="O347" s="118" t="s">
        <v>74</v>
      </c>
      <c r="P347" s="118" t="s">
        <v>361</v>
      </c>
      <c r="Q347" s="118" t="s">
        <v>49</v>
      </c>
      <c r="R347" s="118">
        <v>1</v>
      </c>
      <c r="S347" s="118">
        <v>1</v>
      </c>
      <c r="T347" s="118">
        <v>1</v>
      </c>
      <c r="U347" s="118">
        <v>1</v>
      </c>
      <c r="V347" s="118">
        <v>1</v>
      </c>
      <c r="W347" s="118">
        <v>1</v>
      </c>
      <c r="X347" s="118">
        <v>1</v>
      </c>
      <c r="Y347" s="118" t="s">
        <v>140</v>
      </c>
      <c r="Z347" s="118">
        <v>1</v>
      </c>
      <c r="AA347" s="118">
        <v>1</v>
      </c>
      <c r="AB347" s="118">
        <v>1</v>
      </c>
      <c r="AC347" s="118">
        <v>1</v>
      </c>
      <c r="AD347" s="118">
        <v>1</v>
      </c>
      <c r="AE347" s="118">
        <v>1</v>
      </c>
      <c r="AF347" s="118" t="s">
        <v>140</v>
      </c>
      <c r="AG347" s="118">
        <v>1</v>
      </c>
      <c r="AH347" s="118">
        <v>1</v>
      </c>
      <c r="AI347" s="118">
        <v>1</v>
      </c>
      <c r="AJ347" s="118">
        <v>1</v>
      </c>
      <c r="AK347" s="118">
        <v>1</v>
      </c>
      <c r="AL347" s="118">
        <v>1</v>
      </c>
      <c r="AM347" s="118">
        <v>1</v>
      </c>
      <c r="AN347" s="118">
        <v>1</v>
      </c>
      <c r="AO347" s="118" t="s">
        <v>872</v>
      </c>
    </row>
    <row r="348" spans="1:41" hidden="1" x14ac:dyDescent="0.2">
      <c r="A348" s="13">
        <f t="shared" si="12"/>
        <v>11</v>
      </c>
      <c r="B348" s="13">
        <f t="shared" si="13"/>
        <v>3</v>
      </c>
      <c r="C348" s="13" t="str">
        <f>VLOOKUP(B348,Correspondance!$D$3:$E$14,2,FALSE)</f>
        <v>Mars</v>
      </c>
      <c r="D348" s="15" t="str">
        <f>VLOOKUP(G348,Correspondance!$A$3:$B$11,2,FALSE)</f>
        <v>PHONE</v>
      </c>
      <c r="E348" s="115" t="s">
        <v>795</v>
      </c>
      <c r="F348" s="116" t="s">
        <v>169</v>
      </c>
      <c r="G348" s="117" t="s">
        <v>359</v>
      </c>
      <c r="H348" s="118" t="s">
        <v>1334</v>
      </c>
      <c r="I348" s="118" t="s">
        <v>511</v>
      </c>
      <c r="J348" s="119" t="s">
        <v>57</v>
      </c>
      <c r="K348" s="120">
        <v>98</v>
      </c>
      <c r="L348" s="118" t="s">
        <v>832</v>
      </c>
      <c r="M348" s="118" t="s">
        <v>174</v>
      </c>
      <c r="N348" s="118" t="s">
        <v>46</v>
      </c>
      <c r="O348" s="118" t="s">
        <v>74</v>
      </c>
      <c r="P348" s="118" t="s">
        <v>833</v>
      </c>
      <c r="Q348" s="118" t="s">
        <v>49</v>
      </c>
      <c r="R348" s="118">
        <v>1</v>
      </c>
      <c r="S348" s="118">
        <v>1</v>
      </c>
      <c r="T348" s="118">
        <v>1</v>
      </c>
      <c r="U348" s="118">
        <v>1</v>
      </c>
      <c r="V348" s="118">
        <v>1</v>
      </c>
      <c r="W348" s="118">
        <v>1</v>
      </c>
      <c r="X348" s="118">
        <v>1</v>
      </c>
      <c r="Y348" s="118" t="s">
        <v>140</v>
      </c>
      <c r="Z348" s="118">
        <v>1</v>
      </c>
      <c r="AA348" s="118">
        <v>1</v>
      </c>
      <c r="AB348" s="118">
        <v>1</v>
      </c>
      <c r="AC348" s="118">
        <v>1</v>
      </c>
      <c r="AD348" s="118">
        <v>1</v>
      </c>
      <c r="AE348" s="118">
        <v>1</v>
      </c>
      <c r="AF348" s="118" t="s">
        <v>140</v>
      </c>
      <c r="AG348" s="118">
        <v>1</v>
      </c>
      <c r="AH348" s="118">
        <v>0</v>
      </c>
      <c r="AI348" s="118">
        <v>1</v>
      </c>
      <c r="AJ348" s="118">
        <v>1</v>
      </c>
      <c r="AK348" s="118">
        <v>1</v>
      </c>
      <c r="AL348" s="118">
        <v>1</v>
      </c>
      <c r="AM348" s="118">
        <v>1</v>
      </c>
      <c r="AN348" s="118">
        <v>1</v>
      </c>
      <c r="AO348" s="118" t="s">
        <v>873</v>
      </c>
    </row>
    <row r="349" spans="1:41" hidden="1" x14ac:dyDescent="0.2">
      <c r="A349" s="13">
        <f t="shared" si="12"/>
        <v>11</v>
      </c>
      <c r="B349" s="13">
        <f t="shared" si="13"/>
        <v>3</v>
      </c>
      <c r="C349" s="13" t="str">
        <f>VLOOKUP(B349,Correspondance!$D$3:$E$14,2,FALSE)</f>
        <v>Mars</v>
      </c>
      <c r="D349" s="15" t="str">
        <f>VLOOKUP(G349,Correspondance!$A$3:$B$11,2,FALSE)</f>
        <v>PHONE</v>
      </c>
      <c r="E349" s="115" t="s">
        <v>795</v>
      </c>
      <c r="F349" s="116" t="s">
        <v>169</v>
      </c>
      <c r="G349" s="117" t="s">
        <v>359</v>
      </c>
      <c r="H349" s="118" t="s">
        <v>1334</v>
      </c>
      <c r="I349" s="118" t="s">
        <v>511</v>
      </c>
      <c r="J349" s="119" t="s">
        <v>57</v>
      </c>
      <c r="K349" s="120">
        <v>100</v>
      </c>
      <c r="L349" s="118" t="s">
        <v>834</v>
      </c>
      <c r="M349" s="118" t="s">
        <v>174</v>
      </c>
      <c r="N349" s="118" t="s">
        <v>46</v>
      </c>
      <c r="O349" s="118" t="s">
        <v>74</v>
      </c>
      <c r="P349" s="118" t="s">
        <v>800</v>
      </c>
      <c r="Q349" s="118" t="s">
        <v>49</v>
      </c>
      <c r="R349" s="118">
        <v>1</v>
      </c>
      <c r="S349" s="118">
        <v>1</v>
      </c>
      <c r="T349" s="118">
        <v>1</v>
      </c>
      <c r="U349" s="118">
        <v>1</v>
      </c>
      <c r="V349" s="118">
        <v>1</v>
      </c>
      <c r="W349" s="118">
        <v>1</v>
      </c>
      <c r="X349" s="118">
        <v>1</v>
      </c>
      <c r="Y349" s="118" t="s">
        <v>140</v>
      </c>
      <c r="Z349" s="118">
        <v>1</v>
      </c>
      <c r="AA349" s="118">
        <v>1</v>
      </c>
      <c r="AB349" s="118">
        <v>1</v>
      </c>
      <c r="AC349" s="118">
        <v>1</v>
      </c>
      <c r="AD349" s="118">
        <v>1</v>
      </c>
      <c r="AE349" s="118">
        <v>1</v>
      </c>
      <c r="AF349" s="118" t="s">
        <v>140</v>
      </c>
      <c r="AG349" s="118">
        <v>1</v>
      </c>
      <c r="AH349" s="118">
        <v>1</v>
      </c>
      <c r="AI349" s="118">
        <v>1</v>
      </c>
      <c r="AJ349" s="118">
        <v>1</v>
      </c>
      <c r="AK349" s="118">
        <v>1</v>
      </c>
      <c r="AL349" s="118">
        <v>1</v>
      </c>
      <c r="AM349" s="118">
        <v>1</v>
      </c>
      <c r="AN349" s="118">
        <v>1</v>
      </c>
      <c r="AO349" s="118" t="s">
        <v>873</v>
      </c>
    </row>
    <row r="350" spans="1:41" hidden="1" x14ac:dyDescent="0.2">
      <c r="A350" s="13">
        <f t="shared" si="12"/>
        <v>11</v>
      </c>
      <c r="B350" s="13">
        <f t="shared" si="13"/>
        <v>3</v>
      </c>
      <c r="C350" s="13" t="str">
        <f>VLOOKUP(B350,Correspondance!$D$3:$E$14,2,FALSE)</f>
        <v>Mars</v>
      </c>
      <c r="D350" s="15" t="str">
        <f>VLOOKUP(G350,Correspondance!$A$3:$B$11,2,FALSE)</f>
        <v>PHONE</v>
      </c>
      <c r="E350" s="115" t="s">
        <v>795</v>
      </c>
      <c r="F350" s="116" t="s">
        <v>169</v>
      </c>
      <c r="G350" s="117" t="s">
        <v>359</v>
      </c>
      <c r="H350" s="118" t="s">
        <v>1334</v>
      </c>
      <c r="I350" s="118" t="s">
        <v>511</v>
      </c>
      <c r="J350" s="119" t="s">
        <v>57</v>
      </c>
      <c r="K350" s="120">
        <v>100</v>
      </c>
      <c r="L350" s="118" t="s">
        <v>835</v>
      </c>
      <c r="M350" s="118" t="s">
        <v>368</v>
      </c>
      <c r="N350" s="118" t="s">
        <v>46</v>
      </c>
      <c r="O350" s="118" t="s">
        <v>175</v>
      </c>
      <c r="P350" s="118" t="s">
        <v>361</v>
      </c>
      <c r="Q350" s="118" t="s">
        <v>49</v>
      </c>
      <c r="R350" s="118">
        <v>1</v>
      </c>
      <c r="S350" s="118">
        <v>1</v>
      </c>
      <c r="T350" s="118">
        <v>1</v>
      </c>
      <c r="U350" s="118">
        <v>1</v>
      </c>
      <c r="V350" s="118">
        <v>1</v>
      </c>
      <c r="W350" s="118">
        <v>1</v>
      </c>
      <c r="X350" s="118">
        <v>1</v>
      </c>
      <c r="Y350" s="118" t="s">
        <v>140</v>
      </c>
      <c r="Z350" s="118">
        <v>1</v>
      </c>
      <c r="AA350" s="118">
        <v>1</v>
      </c>
      <c r="AB350" s="118">
        <v>1</v>
      </c>
      <c r="AC350" s="118">
        <v>1</v>
      </c>
      <c r="AD350" s="118">
        <v>1</v>
      </c>
      <c r="AE350" s="118">
        <v>1</v>
      </c>
      <c r="AF350" s="118" t="s">
        <v>140</v>
      </c>
      <c r="AG350" s="118">
        <v>1</v>
      </c>
      <c r="AH350" s="118" t="s">
        <v>140</v>
      </c>
      <c r="AI350" s="118" t="s">
        <v>140</v>
      </c>
      <c r="AJ350" s="118">
        <v>1</v>
      </c>
      <c r="AK350" s="118">
        <v>1</v>
      </c>
      <c r="AL350" s="118">
        <v>1</v>
      </c>
      <c r="AM350" s="118">
        <v>1</v>
      </c>
      <c r="AN350" s="118">
        <v>1</v>
      </c>
      <c r="AO350" s="118" t="s">
        <v>873</v>
      </c>
    </row>
    <row r="351" spans="1:41" hidden="1" x14ac:dyDescent="0.2">
      <c r="A351" s="13">
        <f t="shared" si="12"/>
        <v>11</v>
      </c>
      <c r="B351" s="13">
        <f t="shared" si="13"/>
        <v>3</v>
      </c>
      <c r="C351" s="13" t="str">
        <f>VLOOKUP(B351,Correspondance!$D$3:$E$14,2,FALSE)</f>
        <v>Mars</v>
      </c>
      <c r="D351" s="15" t="str">
        <f>VLOOKUP(G351,Correspondance!$A$3:$B$11,2,FALSE)</f>
        <v>PHONE</v>
      </c>
      <c r="E351" s="115" t="s">
        <v>795</v>
      </c>
      <c r="F351" s="116" t="s">
        <v>169</v>
      </c>
      <c r="G351" s="117" t="s">
        <v>359</v>
      </c>
      <c r="H351" s="118" t="s">
        <v>1334</v>
      </c>
      <c r="I351" s="118" t="s">
        <v>511</v>
      </c>
      <c r="J351" s="119" t="s">
        <v>277</v>
      </c>
      <c r="K351" s="120">
        <v>100</v>
      </c>
      <c r="L351" s="118" t="s">
        <v>836</v>
      </c>
      <c r="M351" s="118" t="s">
        <v>526</v>
      </c>
      <c r="N351" s="118" t="s">
        <v>46</v>
      </c>
      <c r="O351" s="118" t="s">
        <v>175</v>
      </c>
      <c r="P351" s="118" t="s">
        <v>361</v>
      </c>
      <c r="Q351" s="118" t="s">
        <v>49</v>
      </c>
      <c r="R351" s="118">
        <v>1</v>
      </c>
      <c r="S351" s="118">
        <v>1</v>
      </c>
      <c r="T351" s="118">
        <v>1</v>
      </c>
      <c r="U351" s="118">
        <v>1</v>
      </c>
      <c r="V351" s="118">
        <v>1</v>
      </c>
      <c r="W351" s="118">
        <v>1</v>
      </c>
      <c r="X351" s="118">
        <v>1</v>
      </c>
      <c r="Y351" s="118" t="s">
        <v>140</v>
      </c>
      <c r="Z351" s="118">
        <v>1</v>
      </c>
      <c r="AA351" s="118">
        <v>1</v>
      </c>
      <c r="AB351" s="118">
        <v>1</v>
      </c>
      <c r="AC351" s="118">
        <v>1</v>
      </c>
      <c r="AD351" s="118">
        <v>1</v>
      </c>
      <c r="AE351" s="118">
        <v>1</v>
      </c>
      <c r="AF351" s="118" t="s">
        <v>140</v>
      </c>
      <c r="AG351" s="118">
        <v>1</v>
      </c>
      <c r="AH351" s="118">
        <v>1</v>
      </c>
      <c r="AI351" s="118">
        <v>1</v>
      </c>
      <c r="AJ351" s="118">
        <v>1</v>
      </c>
      <c r="AK351" s="118">
        <v>1</v>
      </c>
      <c r="AL351" s="118" t="s">
        <v>140</v>
      </c>
      <c r="AM351" s="118" t="s">
        <v>140</v>
      </c>
      <c r="AN351" s="118">
        <v>1</v>
      </c>
      <c r="AO351" s="118" t="s">
        <v>873</v>
      </c>
    </row>
    <row r="352" spans="1:41" ht="25.5" hidden="1" x14ac:dyDescent="0.2">
      <c r="A352" s="13">
        <f t="shared" si="12"/>
        <v>11</v>
      </c>
      <c r="B352" s="13">
        <f t="shared" si="13"/>
        <v>3</v>
      </c>
      <c r="C352" s="13" t="str">
        <f>VLOOKUP(B352,Correspondance!$D$3:$E$14,2,FALSE)</f>
        <v>Mars</v>
      </c>
      <c r="D352" s="15" t="str">
        <f>VLOOKUP(G352,Correspondance!$A$3:$B$11,2,FALSE)</f>
        <v>PHONE</v>
      </c>
      <c r="E352" s="115" t="s">
        <v>795</v>
      </c>
      <c r="F352" s="116" t="s">
        <v>169</v>
      </c>
      <c r="G352" s="117" t="s">
        <v>277</v>
      </c>
      <c r="H352" s="118" t="s">
        <v>1332</v>
      </c>
      <c r="I352" s="118" t="s">
        <v>260</v>
      </c>
      <c r="J352" s="119" t="s">
        <v>57</v>
      </c>
      <c r="K352" s="120">
        <v>94.72</v>
      </c>
      <c r="L352" s="118" t="s">
        <v>837</v>
      </c>
      <c r="M352" s="118" t="s">
        <v>174</v>
      </c>
      <c r="N352" s="118" t="s">
        <v>46</v>
      </c>
      <c r="O352" s="118" t="s">
        <v>47</v>
      </c>
      <c r="P352" s="118" t="s">
        <v>539</v>
      </c>
      <c r="Q352" s="118" t="s">
        <v>49</v>
      </c>
      <c r="R352" s="118">
        <v>1</v>
      </c>
      <c r="S352" s="118">
        <v>1</v>
      </c>
      <c r="T352" s="118">
        <v>1</v>
      </c>
      <c r="U352" s="118">
        <v>1</v>
      </c>
      <c r="V352" s="118">
        <v>1</v>
      </c>
      <c r="W352" s="118">
        <v>1</v>
      </c>
      <c r="X352" s="118">
        <v>1</v>
      </c>
      <c r="Y352" s="118" t="s">
        <v>140</v>
      </c>
      <c r="Z352" s="118">
        <v>1</v>
      </c>
      <c r="AA352" s="118">
        <v>1</v>
      </c>
      <c r="AB352" s="118">
        <v>1</v>
      </c>
      <c r="AC352" s="118">
        <v>1</v>
      </c>
      <c r="AD352" s="118">
        <v>1</v>
      </c>
      <c r="AE352" s="118">
        <v>1</v>
      </c>
      <c r="AF352" s="118" t="s">
        <v>140</v>
      </c>
      <c r="AG352" s="118">
        <v>1</v>
      </c>
      <c r="AH352" s="118">
        <v>1</v>
      </c>
      <c r="AI352" s="118">
        <v>0</v>
      </c>
      <c r="AJ352" s="118">
        <v>1</v>
      </c>
      <c r="AK352" s="118" t="s">
        <v>140</v>
      </c>
      <c r="AL352" s="118" t="s">
        <v>140</v>
      </c>
      <c r="AM352" s="118" t="s">
        <v>140</v>
      </c>
      <c r="AN352" s="118">
        <v>1</v>
      </c>
      <c r="AO352" s="118" t="s">
        <v>872</v>
      </c>
    </row>
    <row r="353" spans="1:41" ht="25.5" hidden="1" x14ac:dyDescent="0.2">
      <c r="A353" s="13">
        <f t="shared" si="12"/>
        <v>11</v>
      </c>
      <c r="B353" s="13">
        <f t="shared" si="13"/>
        <v>3</v>
      </c>
      <c r="C353" s="13" t="str">
        <f>VLOOKUP(B353,Correspondance!$D$3:$E$14,2,FALSE)</f>
        <v>Mars</v>
      </c>
      <c r="D353" s="15" t="str">
        <f>VLOOKUP(G353,Correspondance!$A$3:$B$11,2,FALSE)</f>
        <v>PHONE</v>
      </c>
      <c r="E353" s="115" t="s">
        <v>795</v>
      </c>
      <c r="F353" s="116" t="s">
        <v>169</v>
      </c>
      <c r="G353" s="117" t="s">
        <v>277</v>
      </c>
      <c r="H353" s="118" t="s">
        <v>1332</v>
      </c>
      <c r="I353" s="118" t="s">
        <v>260</v>
      </c>
      <c r="J353" s="119" t="s">
        <v>57</v>
      </c>
      <c r="K353" s="120">
        <v>98</v>
      </c>
      <c r="L353" s="118" t="s">
        <v>838</v>
      </c>
      <c r="M353" s="118" t="s">
        <v>286</v>
      </c>
      <c r="N353" s="118" t="s">
        <v>46</v>
      </c>
      <c r="O353" s="118" t="s">
        <v>47</v>
      </c>
      <c r="P353" s="118" t="s">
        <v>507</v>
      </c>
      <c r="Q353" s="118" t="s">
        <v>49</v>
      </c>
      <c r="R353" s="118">
        <v>1</v>
      </c>
      <c r="S353" s="118">
        <v>1</v>
      </c>
      <c r="T353" s="118">
        <v>1</v>
      </c>
      <c r="U353" s="118">
        <v>1</v>
      </c>
      <c r="V353" s="118">
        <v>1</v>
      </c>
      <c r="W353" s="118">
        <v>1</v>
      </c>
      <c r="X353" s="118">
        <v>1</v>
      </c>
      <c r="Y353" s="118" t="s">
        <v>140</v>
      </c>
      <c r="Z353" s="118">
        <v>1</v>
      </c>
      <c r="AA353" s="118">
        <v>1</v>
      </c>
      <c r="AB353" s="118">
        <v>1</v>
      </c>
      <c r="AC353" s="118">
        <v>1</v>
      </c>
      <c r="AD353" s="118">
        <v>1</v>
      </c>
      <c r="AE353" s="118">
        <v>1</v>
      </c>
      <c r="AF353" s="118" t="s">
        <v>140</v>
      </c>
      <c r="AG353" s="118">
        <v>1</v>
      </c>
      <c r="AH353" s="118">
        <v>0</v>
      </c>
      <c r="AI353" s="118">
        <v>1</v>
      </c>
      <c r="AJ353" s="118">
        <v>1</v>
      </c>
      <c r="AK353" s="118">
        <v>1</v>
      </c>
      <c r="AL353" s="118">
        <v>1</v>
      </c>
      <c r="AM353" s="118">
        <v>1</v>
      </c>
      <c r="AN353" s="118">
        <v>1</v>
      </c>
      <c r="AO353" s="118" t="s">
        <v>872</v>
      </c>
    </row>
    <row r="354" spans="1:41" ht="25.5" hidden="1" x14ac:dyDescent="0.2">
      <c r="A354" s="13">
        <f t="shared" si="12"/>
        <v>11</v>
      </c>
      <c r="B354" s="13">
        <f t="shared" si="13"/>
        <v>3</v>
      </c>
      <c r="C354" s="13" t="str">
        <f>VLOOKUP(B354,Correspondance!$D$3:$E$14,2,FALSE)</f>
        <v>Mars</v>
      </c>
      <c r="D354" s="15" t="str">
        <f>VLOOKUP(G354,Correspondance!$A$3:$B$11,2,FALSE)</f>
        <v>PHONE</v>
      </c>
      <c r="E354" s="115" t="s">
        <v>795</v>
      </c>
      <c r="F354" s="116" t="s">
        <v>169</v>
      </c>
      <c r="G354" s="117" t="s">
        <v>277</v>
      </c>
      <c r="H354" s="118" t="s">
        <v>1332</v>
      </c>
      <c r="I354" s="118" t="s">
        <v>260</v>
      </c>
      <c r="J354" s="119" t="s">
        <v>57</v>
      </c>
      <c r="K354" s="120">
        <v>100</v>
      </c>
      <c r="L354" s="118" t="s">
        <v>839</v>
      </c>
      <c r="M354" s="118" t="s">
        <v>174</v>
      </c>
      <c r="N354" s="118" t="s">
        <v>46</v>
      </c>
      <c r="O354" s="118" t="s">
        <v>47</v>
      </c>
      <c r="P354" s="118" t="s">
        <v>840</v>
      </c>
      <c r="Q354" s="118" t="s">
        <v>49</v>
      </c>
      <c r="R354" s="118">
        <v>1</v>
      </c>
      <c r="S354" s="118">
        <v>1</v>
      </c>
      <c r="T354" s="118">
        <v>1</v>
      </c>
      <c r="U354" s="118">
        <v>1</v>
      </c>
      <c r="V354" s="118">
        <v>1</v>
      </c>
      <c r="W354" s="118">
        <v>1</v>
      </c>
      <c r="X354" s="118">
        <v>1</v>
      </c>
      <c r="Y354" s="118" t="s">
        <v>140</v>
      </c>
      <c r="Z354" s="118">
        <v>1</v>
      </c>
      <c r="AA354" s="118">
        <v>1</v>
      </c>
      <c r="AB354" s="118">
        <v>1</v>
      </c>
      <c r="AC354" s="118">
        <v>1</v>
      </c>
      <c r="AD354" s="118">
        <v>1</v>
      </c>
      <c r="AE354" s="118">
        <v>1</v>
      </c>
      <c r="AF354" s="118" t="s">
        <v>140</v>
      </c>
      <c r="AG354" s="118">
        <v>1</v>
      </c>
      <c r="AH354" s="118">
        <v>1</v>
      </c>
      <c r="AI354" s="118">
        <v>1</v>
      </c>
      <c r="AJ354" s="118">
        <v>1</v>
      </c>
      <c r="AK354" s="118">
        <v>1</v>
      </c>
      <c r="AL354" s="118">
        <v>1</v>
      </c>
      <c r="AM354" s="118">
        <v>1</v>
      </c>
      <c r="AN354" s="118">
        <v>1</v>
      </c>
      <c r="AO354" s="118" t="s">
        <v>872</v>
      </c>
    </row>
    <row r="355" spans="1:41" hidden="1" x14ac:dyDescent="0.2">
      <c r="A355" s="13">
        <f t="shared" si="12"/>
        <v>11</v>
      </c>
      <c r="B355" s="13">
        <f t="shared" si="13"/>
        <v>3</v>
      </c>
      <c r="C355" s="13" t="str">
        <f>VLOOKUP(B355,Correspondance!$D$3:$E$14,2,FALSE)</f>
        <v>Mars</v>
      </c>
      <c r="D355" s="15" t="str">
        <f>VLOOKUP(G355,Correspondance!$A$3:$B$11,2,FALSE)</f>
        <v>PHONE</v>
      </c>
      <c r="E355" s="115" t="s">
        <v>795</v>
      </c>
      <c r="F355" s="116" t="s">
        <v>169</v>
      </c>
      <c r="G355" s="117" t="s">
        <v>277</v>
      </c>
      <c r="H355" s="118" t="s">
        <v>266</v>
      </c>
      <c r="I355" s="118" t="s">
        <v>267</v>
      </c>
      <c r="J355" s="119" t="s">
        <v>57</v>
      </c>
      <c r="K355" s="120">
        <v>100</v>
      </c>
      <c r="L355" s="118" t="s">
        <v>841</v>
      </c>
      <c r="M355" s="118" t="s">
        <v>174</v>
      </c>
      <c r="N355" s="118" t="s">
        <v>46</v>
      </c>
      <c r="O355" s="118" t="s">
        <v>47</v>
      </c>
      <c r="P355" s="118" t="s">
        <v>77</v>
      </c>
      <c r="Q355" s="118" t="s">
        <v>49</v>
      </c>
      <c r="R355" s="118">
        <v>1</v>
      </c>
      <c r="S355" s="118">
        <v>1</v>
      </c>
      <c r="T355" s="118">
        <v>1</v>
      </c>
      <c r="U355" s="118">
        <v>1</v>
      </c>
      <c r="V355" s="118">
        <v>1</v>
      </c>
      <c r="W355" s="118">
        <v>1</v>
      </c>
      <c r="X355" s="118">
        <v>1</v>
      </c>
      <c r="Y355" s="118" t="s">
        <v>140</v>
      </c>
      <c r="Z355" s="118">
        <v>1</v>
      </c>
      <c r="AA355" s="118">
        <v>1</v>
      </c>
      <c r="AB355" s="118">
        <v>1</v>
      </c>
      <c r="AC355" s="118">
        <v>1</v>
      </c>
      <c r="AD355" s="118">
        <v>1</v>
      </c>
      <c r="AE355" s="118">
        <v>1</v>
      </c>
      <c r="AF355" s="118" t="s">
        <v>140</v>
      </c>
      <c r="AG355" s="118">
        <v>1</v>
      </c>
      <c r="AH355" s="118">
        <v>1</v>
      </c>
      <c r="AI355" s="118">
        <v>1</v>
      </c>
      <c r="AJ355" s="118">
        <v>1</v>
      </c>
      <c r="AK355" s="118">
        <v>1</v>
      </c>
      <c r="AL355" s="118">
        <v>1</v>
      </c>
      <c r="AM355" s="118">
        <v>1</v>
      </c>
      <c r="AN355" s="118">
        <v>1</v>
      </c>
      <c r="AO355" s="118" t="s">
        <v>873</v>
      </c>
    </row>
    <row r="356" spans="1:41" x14ac:dyDescent="0.2">
      <c r="A356" s="13">
        <f t="shared" si="12"/>
        <v>11</v>
      </c>
      <c r="B356" s="13">
        <f t="shared" si="13"/>
        <v>3</v>
      </c>
      <c r="C356" s="13" t="str">
        <f>VLOOKUP(B356,Correspondance!$D$3:$E$14,2,FALSE)</f>
        <v>Mars</v>
      </c>
      <c r="D356" s="15" t="str">
        <f>VLOOKUP(G356,Correspondance!$A$3:$B$11,2,FALSE)</f>
        <v>PHONE</v>
      </c>
      <c r="E356" s="115" t="s">
        <v>795</v>
      </c>
      <c r="F356" s="116" t="s">
        <v>169</v>
      </c>
      <c r="G356" s="117" t="s">
        <v>277</v>
      </c>
      <c r="H356" s="118" t="s">
        <v>278</v>
      </c>
      <c r="I356" s="118" t="s">
        <v>279</v>
      </c>
      <c r="J356" s="119" t="s">
        <v>57</v>
      </c>
      <c r="K356" s="120">
        <v>84</v>
      </c>
      <c r="L356" s="118" t="s">
        <v>842</v>
      </c>
      <c r="M356" s="118" t="s">
        <v>368</v>
      </c>
      <c r="N356" s="118" t="s">
        <v>46</v>
      </c>
      <c r="O356" s="118" t="s">
        <v>74</v>
      </c>
      <c r="P356" s="118" t="s">
        <v>843</v>
      </c>
      <c r="Q356" s="118" t="s">
        <v>49</v>
      </c>
      <c r="R356" s="118">
        <v>1</v>
      </c>
      <c r="S356" s="118">
        <v>1</v>
      </c>
      <c r="T356" s="118">
        <v>1</v>
      </c>
      <c r="U356" s="118">
        <v>1</v>
      </c>
      <c r="V356" s="118">
        <v>1</v>
      </c>
      <c r="W356" s="118">
        <v>1</v>
      </c>
      <c r="X356" s="118">
        <v>1</v>
      </c>
      <c r="Y356" s="118" t="s">
        <v>140</v>
      </c>
      <c r="Z356" s="118">
        <v>1</v>
      </c>
      <c r="AA356" s="118">
        <v>1</v>
      </c>
      <c r="AB356" s="118">
        <v>1</v>
      </c>
      <c r="AC356" s="118">
        <v>0</v>
      </c>
      <c r="AD356" s="118">
        <v>1</v>
      </c>
      <c r="AE356" s="118">
        <v>1</v>
      </c>
      <c r="AF356" s="118">
        <v>0</v>
      </c>
      <c r="AG356" s="118">
        <v>1</v>
      </c>
      <c r="AH356" s="118">
        <v>1</v>
      </c>
      <c r="AI356" s="118">
        <v>1</v>
      </c>
      <c r="AJ356" s="118">
        <v>1</v>
      </c>
      <c r="AK356" s="118">
        <v>1</v>
      </c>
      <c r="AL356" s="118">
        <v>1</v>
      </c>
      <c r="AM356" s="118">
        <v>1</v>
      </c>
      <c r="AN356" s="118">
        <v>1</v>
      </c>
      <c r="AO356" s="118" t="s">
        <v>872</v>
      </c>
    </row>
    <row r="357" spans="1:41" hidden="1" x14ac:dyDescent="0.2">
      <c r="A357" s="13">
        <f t="shared" si="12"/>
        <v>11</v>
      </c>
      <c r="B357" s="13">
        <f t="shared" si="13"/>
        <v>3</v>
      </c>
      <c r="C357" s="13" t="str">
        <f>VLOOKUP(B357,Correspondance!$D$3:$E$14,2,FALSE)</f>
        <v>Mars</v>
      </c>
      <c r="D357" s="15" t="str">
        <f>VLOOKUP(G357,Correspondance!$A$3:$B$11,2,FALSE)</f>
        <v>PHONE</v>
      </c>
      <c r="E357" s="115" t="s">
        <v>795</v>
      </c>
      <c r="F357" s="116" t="s">
        <v>169</v>
      </c>
      <c r="G357" s="117" t="s">
        <v>277</v>
      </c>
      <c r="H357" s="118" t="s">
        <v>278</v>
      </c>
      <c r="I357" s="118" t="s">
        <v>279</v>
      </c>
      <c r="J357" s="119" t="s">
        <v>57</v>
      </c>
      <c r="K357" s="120">
        <v>100</v>
      </c>
      <c r="L357" s="118" t="s">
        <v>844</v>
      </c>
      <c r="M357" s="118" t="s">
        <v>174</v>
      </c>
      <c r="N357" s="118" t="s">
        <v>46</v>
      </c>
      <c r="O357" s="118" t="s">
        <v>47</v>
      </c>
      <c r="P357" s="118" t="s">
        <v>782</v>
      </c>
      <c r="Q357" s="118" t="s">
        <v>49</v>
      </c>
      <c r="R357" s="118">
        <v>1</v>
      </c>
      <c r="S357" s="118">
        <v>1</v>
      </c>
      <c r="T357" s="118">
        <v>1</v>
      </c>
      <c r="U357" s="118">
        <v>1</v>
      </c>
      <c r="V357" s="118">
        <v>1</v>
      </c>
      <c r="W357" s="118">
        <v>1</v>
      </c>
      <c r="X357" s="118">
        <v>1</v>
      </c>
      <c r="Y357" s="118" t="s">
        <v>140</v>
      </c>
      <c r="Z357" s="118">
        <v>1</v>
      </c>
      <c r="AA357" s="118">
        <v>1</v>
      </c>
      <c r="AB357" s="118">
        <v>1</v>
      </c>
      <c r="AC357" s="118">
        <v>1</v>
      </c>
      <c r="AD357" s="118">
        <v>1</v>
      </c>
      <c r="AE357" s="118">
        <v>1</v>
      </c>
      <c r="AF357" s="118" t="s">
        <v>140</v>
      </c>
      <c r="AG357" s="118">
        <v>1</v>
      </c>
      <c r="AH357" s="118">
        <v>1</v>
      </c>
      <c r="AI357" s="118">
        <v>1</v>
      </c>
      <c r="AJ357" s="118">
        <v>1</v>
      </c>
      <c r="AK357" s="118" t="s">
        <v>140</v>
      </c>
      <c r="AL357" s="118" t="s">
        <v>140</v>
      </c>
      <c r="AM357" s="118" t="s">
        <v>140</v>
      </c>
      <c r="AN357" s="118">
        <v>1</v>
      </c>
      <c r="AO357" s="118" t="s">
        <v>872</v>
      </c>
    </row>
    <row r="358" spans="1:41" hidden="1" x14ac:dyDescent="0.2">
      <c r="A358" s="13">
        <f t="shared" si="12"/>
        <v>11</v>
      </c>
      <c r="B358" s="13">
        <f t="shared" si="13"/>
        <v>3</v>
      </c>
      <c r="C358" s="13" t="str">
        <f>VLOOKUP(B358,Correspondance!$D$3:$E$14,2,FALSE)</f>
        <v>Mars</v>
      </c>
      <c r="D358" s="15" t="str">
        <f>VLOOKUP(G358,Correspondance!$A$3:$B$11,2,FALSE)</f>
        <v>PHONE</v>
      </c>
      <c r="E358" s="115" t="s">
        <v>795</v>
      </c>
      <c r="F358" s="116" t="s">
        <v>169</v>
      </c>
      <c r="G358" s="117" t="s">
        <v>277</v>
      </c>
      <c r="H358" s="118" t="s">
        <v>278</v>
      </c>
      <c r="I358" s="118" t="s">
        <v>279</v>
      </c>
      <c r="J358" s="119" t="s">
        <v>57</v>
      </c>
      <c r="K358" s="120">
        <v>100</v>
      </c>
      <c r="L358" s="118" t="s">
        <v>845</v>
      </c>
      <c r="M358" s="118" t="s">
        <v>515</v>
      </c>
      <c r="N358" s="118" t="s">
        <v>46</v>
      </c>
      <c r="O358" s="118" t="s">
        <v>47</v>
      </c>
      <c r="P358" s="118" t="s">
        <v>77</v>
      </c>
      <c r="Q358" s="118" t="s">
        <v>49</v>
      </c>
      <c r="R358" s="118">
        <v>1</v>
      </c>
      <c r="S358" s="118">
        <v>1</v>
      </c>
      <c r="T358" s="118">
        <v>1</v>
      </c>
      <c r="U358" s="118">
        <v>1</v>
      </c>
      <c r="V358" s="118">
        <v>1</v>
      </c>
      <c r="W358" s="118">
        <v>1</v>
      </c>
      <c r="X358" s="118">
        <v>1</v>
      </c>
      <c r="Y358" s="118" t="s">
        <v>140</v>
      </c>
      <c r="Z358" s="118">
        <v>1</v>
      </c>
      <c r="AA358" s="118">
        <v>1</v>
      </c>
      <c r="AB358" s="118">
        <v>1</v>
      </c>
      <c r="AC358" s="118">
        <v>1</v>
      </c>
      <c r="AD358" s="118">
        <v>1</v>
      </c>
      <c r="AE358" s="118">
        <v>1</v>
      </c>
      <c r="AF358" s="118" t="s">
        <v>140</v>
      </c>
      <c r="AG358" s="118">
        <v>1</v>
      </c>
      <c r="AH358" s="118">
        <v>1</v>
      </c>
      <c r="AI358" s="118">
        <v>1</v>
      </c>
      <c r="AJ358" s="118">
        <v>1</v>
      </c>
      <c r="AK358" s="118">
        <v>1</v>
      </c>
      <c r="AL358" s="118">
        <v>1</v>
      </c>
      <c r="AM358" s="118">
        <v>1</v>
      </c>
      <c r="AN358" s="118">
        <v>1</v>
      </c>
      <c r="AO358" s="118" t="s">
        <v>872</v>
      </c>
    </row>
    <row r="359" spans="1:41" hidden="1" x14ac:dyDescent="0.2">
      <c r="A359" s="13">
        <f t="shared" si="12"/>
        <v>11</v>
      </c>
      <c r="B359" s="13">
        <f t="shared" si="13"/>
        <v>3</v>
      </c>
      <c r="C359" s="13" t="str">
        <f>VLOOKUP(B359,Correspondance!$D$3:$E$14,2,FALSE)</f>
        <v>Mars</v>
      </c>
      <c r="D359" s="15" t="str">
        <f>VLOOKUP(G359,Correspondance!$A$3:$B$11,2,FALSE)</f>
        <v>PHONE</v>
      </c>
      <c r="E359" s="115" t="s">
        <v>795</v>
      </c>
      <c r="F359" s="116" t="s">
        <v>169</v>
      </c>
      <c r="G359" s="117" t="s">
        <v>277</v>
      </c>
      <c r="H359" s="118" t="s">
        <v>272</v>
      </c>
      <c r="I359" s="118" t="s">
        <v>273</v>
      </c>
      <c r="J359" s="119" t="s">
        <v>57</v>
      </c>
      <c r="K359" s="120">
        <v>96</v>
      </c>
      <c r="L359" s="118" t="s">
        <v>846</v>
      </c>
      <c r="M359" s="118" t="s">
        <v>215</v>
      </c>
      <c r="N359" s="118" t="s">
        <v>46</v>
      </c>
      <c r="O359" s="118" t="s">
        <v>74</v>
      </c>
      <c r="P359" s="118" t="s">
        <v>1392</v>
      </c>
      <c r="Q359" s="118" t="s">
        <v>49</v>
      </c>
      <c r="R359" s="118">
        <v>1</v>
      </c>
      <c r="S359" s="118">
        <v>1</v>
      </c>
      <c r="T359" s="118">
        <v>1</v>
      </c>
      <c r="U359" s="118">
        <v>1</v>
      </c>
      <c r="V359" s="118">
        <v>0</v>
      </c>
      <c r="W359" s="118">
        <v>1</v>
      </c>
      <c r="X359" s="118">
        <v>1</v>
      </c>
      <c r="Y359" s="118" t="s">
        <v>140</v>
      </c>
      <c r="Z359" s="118">
        <v>1</v>
      </c>
      <c r="AA359" s="118">
        <v>1</v>
      </c>
      <c r="AB359" s="118">
        <v>1</v>
      </c>
      <c r="AC359" s="118">
        <v>1</v>
      </c>
      <c r="AD359" s="118">
        <v>1</v>
      </c>
      <c r="AE359" s="118">
        <v>1</v>
      </c>
      <c r="AF359" s="118" t="s">
        <v>140</v>
      </c>
      <c r="AG359" s="118">
        <v>1</v>
      </c>
      <c r="AH359" s="118">
        <v>1</v>
      </c>
      <c r="AI359" s="118">
        <v>1</v>
      </c>
      <c r="AJ359" s="118">
        <v>1</v>
      </c>
      <c r="AK359" s="118" t="s">
        <v>140</v>
      </c>
      <c r="AL359" s="118" t="s">
        <v>140</v>
      </c>
      <c r="AM359" s="118" t="s">
        <v>140</v>
      </c>
      <c r="AN359" s="118">
        <v>1</v>
      </c>
      <c r="AO359" s="118"/>
    </row>
    <row r="360" spans="1:41" hidden="1" x14ac:dyDescent="0.2">
      <c r="A360" s="13">
        <f t="shared" si="12"/>
        <v>11</v>
      </c>
      <c r="B360" s="13">
        <f t="shared" si="13"/>
        <v>3</v>
      </c>
      <c r="C360" s="13" t="str">
        <f>VLOOKUP(B360,Correspondance!$D$3:$E$14,2,FALSE)</f>
        <v>Mars</v>
      </c>
      <c r="D360" s="15" t="str">
        <f>VLOOKUP(G360,Correspondance!$A$3:$B$11,2,FALSE)</f>
        <v>PHONE</v>
      </c>
      <c r="E360" s="115" t="s">
        <v>795</v>
      </c>
      <c r="F360" s="116" t="s">
        <v>169</v>
      </c>
      <c r="G360" s="117" t="s">
        <v>277</v>
      </c>
      <c r="H360" s="118" t="s">
        <v>272</v>
      </c>
      <c r="I360" s="118" t="s">
        <v>273</v>
      </c>
      <c r="J360" s="119" t="s">
        <v>57</v>
      </c>
      <c r="K360" s="120">
        <v>100</v>
      </c>
      <c r="L360" s="118" t="s">
        <v>847</v>
      </c>
      <c r="M360" s="118" t="s">
        <v>542</v>
      </c>
      <c r="N360" s="118" t="s">
        <v>46</v>
      </c>
      <c r="O360" s="118" t="s">
        <v>47</v>
      </c>
      <c r="P360" s="118" t="s">
        <v>553</v>
      </c>
      <c r="Q360" s="118" t="s">
        <v>49</v>
      </c>
      <c r="R360" s="118">
        <v>1</v>
      </c>
      <c r="S360" s="118">
        <v>1</v>
      </c>
      <c r="T360" s="118">
        <v>1</v>
      </c>
      <c r="U360" s="118">
        <v>1</v>
      </c>
      <c r="V360" s="118">
        <v>1</v>
      </c>
      <c r="W360" s="118">
        <v>1</v>
      </c>
      <c r="X360" s="118">
        <v>1</v>
      </c>
      <c r="Y360" s="118" t="s">
        <v>140</v>
      </c>
      <c r="Z360" s="118">
        <v>1</v>
      </c>
      <c r="AA360" s="118">
        <v>1</v>
      </c>
      <c r="AB360" s="118">
        <v>1</v>
      </c>
      <c r="AC360" s="118">
        <v>1</v>
      </c>
      <c r="AD360" s="118">
        <v>1</v>
      </c>
      <c r="AE360" s="118">
        <v>1</v>
      </c>
      <c r="AF360" s="118" t="s">
        <v>140</v>
      </c>
      <c r="AG360" s="118">
        <v>1</v>
      </c>
      <c r="AH360" s="118">
        <v>1</v>
      </c>
      <c r="AI360" s="118">
        <v>1</v>
      </c>
      <c r="AJ360" s="118">
        <v>1</v>
      </c>
      <c r="AK360" s="118">
        <v>1</v>
      </c>
      <c r="AL360" s="118">
        <v>1</v>
      </c>
      <c r="AM360" s="118">
        <v>1</v>
      </c>
      <c r="AN360" s="118">
        <v>1</v>
      </c>
      <c r="AO360" s="118"/>
    </row>
    <row r="361" spans="1:41" ht="25.5" hidden="1" x14ac:dyDescent="0.2">
      <c r="A361" s="13">
        <f t="shared" si="12"/>
        <v>11</v>
      </c>
      <c r="B361" s="13">
        <f t="shared" si="13"/>
        <v>3</v>
      </c>
      <c r="C361" s="13" t="str">
        <f>VLOOKUP(B361,Correspondance!$D$3:$E$14,2,FALSE)</f>
        <v>Mars</v>
      </c>
      <c r="D361" s="15" t="str">
        <f>VLOOKUP(G361,Correspondance!$A$3:$B$11,2,FALSE)</f>
        <v>PHONE</v>
      </c>
      <c r="E361" s="115" t="s">
        <v>795</v>
      </c>
      <c r="F361" s="116" t="s">
        <v>169</v>
      </c>
      <c r="G361" s="117" t="s">
        <v>277</v>
      </c>
      <c r="H361" s="118" t="s">
        <v>522</v>
      </c>
      <c r="I361" s="118" t="s">
        <v>523</v>
      </c>
      <c r="J361" s="119" t="s">
        <v>57</v>
      </c>
      <c r="K361" s="120">
        <v>94</v>
      </c>
      <c r="L361" s="118" t="s">
        <v>848</v>
      </c>
      <c r="M361" s="118" t="s">
        <v>174</v>
      </c>
      <c r="N361" s="118" t="s">
        <v>46</v>
      </c>
      <c r="O361" s="118" t="s">
        <v>74</v>
      </c>
      <c r="P361" s="118" t="s">
        <v>573</v>
      </c>
      <c r="Q361" s="118" t="s">
        <v>49</v>
      </c>
      <c r="R361" s="118">
        <v>1</v>
      </c>
      <c r="S361" s="118">
        <v>1</v>
      </c>
      <c r="T361" s="118">
        <v>1</v>
      </c>
      <c r="U361" s="118">
        <v>1</v>
      </c>
      <c r="V361" s="118">
        <v>1</v>
      </c>
      <c r="W361" s="118">
        <v>1</v>
      </c>
      <c r="X361" s="118">
        <v>1</v>
      </c>
      <c r="Y361" s="118" t="s">
        <v>140</v>
      </c>
      <c r="Z361" s="118">
        <v>1</v>
      </c>
      <c r="AA361" s="118">
        <v>1</v>
      </c>
      <c r="AB361" s="118">
        <v>1</v>
      </c>
      <c r="AC361" s="118">
        <v>1</v>
      </c>
      <c r="AD361" s="118">
        <v>1</v>
      </c>
      <c r="AE361" s="118">
        <v>1</v>
      </c>
      <c r="AF361" s="118" t="s">
        <v>140</v>
      </c>
      <c r="AG361" s="118">
        <v>1</v>
      </c>
      <c r="AH361" s="118">
        <v>0</v>
      </c>
      <c r="AI361" s="118">
        <v>0</v>
      </c>
      <c r="AJ361" s="118">
        <v>1</v>
      </c>
      <c r="AK361" s="118">
        <v>1</v>
      </c>
      <c r="AL361" s="118">
        <v>1</v>
      </c>
      <c r="AM361" s="118">
        <v>1</v>
      </c>
      <c r="AN361" s="118">
        <v>1</v>
      </c>
      <c r="AO361" s="118" t="s">
        <v>872</v>
      </c>
    </row>
    <row r="362" spans="1:41" ht="25.5" hidden="1" x14ac:dyDescent="0.2">
      <c r="A362" s="13">
        <f t="shared" si="12"/>
        <v>11</v>
      </c>
      <c r="B362" s="13">
        <f t="shared" si="13"/>
        <v>3</v>
      </c>
      <c r="C362" s="13" t="str">
        <f>VLOOKUP(B362,Correspondance!$D$3:$E$14,2,FALSE)</f>
        <v>Mars</v>
      </c>
      <c r="D362" s="15" t="str">
        <f>VLOOKUP(G362,Correspondance!$A$3:$B$11,2,FALSE)</f>
        <v>PHONE</v>
      </c>
      <c r="E362" s="115" t="s">
        <v>795</v>
      </c>
      <c r="F362" s="116" t="s">
        <v>169</v>
      </c>
      <c r="G362" s="117" t="s">
        <v>277</v>
      </c>
      <c r="H362" s="118" t="s">
        <v>522</v>
      </c>
      <c r="I362" s="118" t="s">
        <v>523</v>
      </c>
      <c r="J362" s="119" t="s">
        <v>277</v>
      </c>
      <c r="K362" s="120">
        <v>94</v>
      </c>
      <c r="L362" s="118" t="s">
        <v>849</v>
      </c>
      <c r="M362" s="118" t="s">
        <v>174</v>
      </c>
      <c r="N362" s="118" t="s">
        <v>46</v>
      </c>
      <c r="O362" s="118" t="s">
        <v>74</v>
      </c>
      <c r="P362" s="118" t="s">
        <v>573</v>
      </c>
      <c r="Q362" s="118" t="s">
        <v>49</v>
      </c>
      <c r="R362" s="118">
        <v>1</v>
      </c>
      <c r="S362" s="118">
        <v>1</v>
      </c>
      <c r="T362" s="118">
        <v>1</v>
      </c>
      <c r="U362" s="118">
        <v>1</v>
      </c>
      <c r="V362" s="118">
        <v>1</v>
      </c>
      <c r="W362" s="118">
        <v>1</v>
      </c>
      <c r="X362" s="118">
        <v>1</v>
      </c>
      <c r="Y362" s="118" t="s">
        <v>140</v>
      </c>
      <c r="Z362" s="118">
        <v>1</v>
      </c>
      <c r="AA362" s="118">
        <v>1</v>
      </c>
      <c r="AB362" s="118">
        <v>1</v>
      </c>
      <c r="AC362" s="118">
        <v>1</v>
      </c>
      <c r="AD362" s="118">
        <v>1</v>
      </c>
      <c r="AE362" s="118">
        <v>1</v>
      </c>
      <c r="AF362" s="118" t="s">
        <v>140</v>
      </c>
      <c r="AG362" s="118">
        <v>1</v>
      </c>
      <c r="AH362" s="118">
        <v>0</v>
      </c>
      <c r="AI362" s="118">
        <v>0</v>
      </c>
      <c r="AJ362" s="118">
        <v>1</v>
      </c>
      <c r="AK362" s="118">
        <v>1</v>
      </c>
      <c r="AL362" s="118">
        <v>1</v>
      </c>
      <c r="AM362" s="118">
        <v>1</v>
      </c>
      <c r="AN362" s="118">
        <v>1</v>
      </c>
      <c r="AO362" s="118" t="s">
        <v>872</v>
      </c>
    </row>
    <row r="363" spans="1:41" ht="25.5" hidden="1" x14ac:dyDescent="0.2">
      <c r="A363" s="13">
        <f t="shared" si="12"/>
        <v>11</v>
      </c>
      <c r="B363" s="13">
        <f t="shared" si="13"/>
        <v>3</v>
      </c>
      <c r="C363" s="13" t="str">
        <f>VLOOKUP(B363,Correspondance!$D$3:$E$14,2,FALSE)</f>
        <v>Mars</v>
      </c>
      <c r="D363" s="15" t="str">
        <f>VLOOKUP(G363,Correspondance!$A$3:$B$11,2,FALSE)</f>
        <v>PHONE</v>
      </c>
      <c r="E363" s="115" t="s">
        <v>795</v>
      </c>
      <c r="F363" s="116" t="s">
        <v>169</v>
      </c>
      <c r="G363" s="117" t="s">
        <v>277</v>
      </c>
      <c r="H363" s="118" t="s">
        <v>522</v>
      </c>
      <c r="I363" s="118" t="s">
        <v>523</v>
      </c>
      <c r="J363" s="119" t="s">
        <v>57</v>
      </c>
      <c r="K363" s="120">
        <v>98</v>
      </c>
      <c r="L363" s="118" t="s">
        <v>850</v>
      </c>
      <c r="M363" s="118" t="s">
        <v>174</v>
      </c>
      <c r="N363" s="118" t="s">
        <v>46</v>
      </c>
      <c r="O363" s="118" t="s">
        <v>74</v>
      </c>
      <c r="P363" s="118" t="s">
        <v>573</v>
      </c>
      <c r="Q363" s="118" t="s">
        <v>49</v>
      </c>
      <c r="R363" s="118">
        <v>1</v>
      </c>
      <c r="S363" s="118">
        <v>1</v>
      </c>
      <c r="T363" s="118">
        <v>1</v>
      </c>
      <c r="U363" s="118">
        <v>1</v>
      </c>
      <c r="V363" s="118">
        <v>1</v>
      </c>
      <c r="W363" s="118">
        <v>1</v>
      </c>
      <c r="X363" s="118">
        <v>1</v>
      </c>
      <c r="Y363" s="118" t="s">
        <v>140</v>
      </c>
      <c r="Z363" s="118">
        <v>1</v>
      </c>
      <c r="AA363" s="118">
        <v>1</v>
      </c>
      <c r="AB363" s="118">
        <v>1</v>
      </c>
      <c r="AC363" s="118">
        <v>1</v>
      </c>
      <c r="AD363" s="118">
        <v>1</v>
      </c>
      <c r="AE363" s="118">
        <v>1</v>
      </c>
      <c r="AF363" s="118" t="s">
        <v>140</v>
      </c>
      <c r="AG363" s="118">
        <v>1</v>
      </c>
      <c r="AH363" s="118">
        <v>0</v>
      </c>
      <c r="AI363" s="118">
        <v>1</v>
      </c>
      <c r="AJ363" s="118">
        <v>1</v>
      </c>
      <c r="AK363" s="118">
        <v>1</v>
      </c>
      <c r="AL363" s="118">
        <v>1</v>
      </c>
      <c r="AM363" s="118">
        <v>1</v>
      </c>
      <c r="AN363" s="118">
        <v>1</v>
      </c>
      <c r="AO363" s="118" t="s">
        <v>872</v>
      </c>
    </row>
    <row r="364" spans="1:41" ht="25.5" hidden="1" x14ac:dyDescent="0.2">
      <c r="A364" s="13">
        <f t="shared" si="12"/>
        <v>11</v>
      </c>
      <c r="B364" s="13">
        <f t="shared" si="13"/>
        <v>3</v>
      </c>
      <c r="C364" s="13" t="str">
        <f>VLOOKUP(B364,Correspondance!$D$3:$E$14,2,FALSE)</f>
        <v>Mars</v>
      </c>
      <c r="D364" s="15" t="str">
        <f>VLOOKUP(G364,Correspondance!$A$3:$B$11,2,FALSE)</f>
        <v>PHONE</v>
      </c>
      <c r="E364" s="115" t="s">
        <v>795</v>
      </c>
      <c r="F364" s="116" t="s">
        <v>169</v>
      </c>
      <c r="G364" s="117" t="s">
        <v>277</v>
      </c>
      <c r="H364" s="118" t="s">
        <v>522</v>
      </c>
      <c r="I364" s="118" t="s">
        <v>523</v>
      </c>
      <c r="J364" s="119" t="s">
        <v>277</v>
      </c>
      <c r="K364" s="120">
        <v>98</v>
      </c>
      <c r="L364" s="118" t="s">
        <v>851</v>
      </c>
      <c r="M364" s="118" t="s">
        <v>365</v>
      </c>
      <c r="N364" s="118" t="s">
        <v>46</v>
      </c>
      <c r="O364" s="118" t="s">
        <v>47</v>
      </c>
      <c r="P364" s="118" t="s">
        <v>852</v>
      </c>
      <c r="Q364" s="118" t="s">
        <v>49</v>
      </c>
      <c r="R364" s="118">
        <v>1</v>
      </c>
      <c r="S364" s="118">
        <v>1</v>
      </c>
      <c r="T364" s="118">
        <v>1</v>
      </c>
      <c r="U364" s="118">
        <v>1</v>
      </c>
      <c r="V364" s="118">
        <v>1</v>
      </c>
      <c r="W364" s="118">
        <v>1</v>
      </c>
      <c r="X364" s="118">
        <v>1</v>
      </c>
      <c r="Y364" s="118" t="s">
        <v>140</v>
      </c>
      <c r="Z364" s="118">
        <v>1</v>
      </c>
      <c r="AA364" s="118">
        <v>1</v>
      </c>
      <c r="AB364" s="118">
        <v>1</v>
      </c>
      <c r="AC364" s="118">
        <v>1</v>
      </c>
      <c r="AD364" s="118">
        <v>1</v>
      </c>
      <c r="AE364" s="118">
        <v>1</v>
      </c>
      <c r="AF364" s="118" t="s">
        <v>140</v>
      </c>
      <c r="AG364" s="118">
        <v>1</v>
      </c>
      <c r="AH364" s="118">
        <v>0</v>
      </c>
      <c r="AI364" s="118" t="s">
        <v>140</v>
      </c>
      <c r="AJ364" s="118">
        <v>1</v>
      </c>
      <c r="AK364" s="118">
        <v>1</v>
      </c>
      <c r="AL364" s="118" t="s">
        <v>140</v>
      </c>
      <c r="AM364" s="118" t="s">
        <v>140</v>
      </c>
      <c r="AN364" s="118">
        <v>1</v>
      </c>
      <c r="AO364" s="118" t="s">
        <v>872</v>
      </c>
    </row>
    <row r="365" spans="1:41" hidden="1" x14ac:dyDescent="0.2">
      <c r="A365" s="13">
        <f t="shared" si="12"/>
        <v>12</v>
      </c>
      <c r="B365" s="13">
        <f t="shared" si="13"/>
        <v>3</v>
      </c>
      <c r="C365" s="13" t="str">
        <f>VLOOKUP(B365,Correspondance!$D$3:$E$14,2,FALSE)</f>
        <v>Mars</v>
      </c>
      <c r="D365" s="15" t="str">
        <f>VLOOKUP(G365,Correspondance!$A$3:$B$11,2,FALSE)</f>
        <v>PHONE</v>
      </c>
      <c r="E365" s="115" t="s">
        <v>796</v>
      </c>
      <c r="F365" s="116" t="s">
        <v>169</v>
      </c>
      <c r="G365" s="117" t="s">
        <v>277</v>
      </c>
      <c r="H365" s="118" t="s">
        <v>356</v>
      </c>
      <c r="I365" s="118" t="s">
        <v>369</v>
      </c>
      <c r="J365" s="119" t="s">
        <v>261</v>
      </c>
      <c r="K365" s="120">
        <v>86.5</v>
      </c>
      <c r="L365" s="118" t="s">
        <v>853</v>
      </c>
      <c r="M365" s="118" t="s">
        <v>854</v>
      </c>
      <c r="N365" s="118" t="s">
        <v>238</v>
      </c>
      <c r="O365" s="118" t="s">
        <v>47</v>
      </c>
      <c r="P365" s="118" t="s">
        <v>855</v>
      </c>
      <c r="Q365" s="118" t="s">
        <v>49</v>
      </c>
      <c r="R365" s="118">
        <v>1</v>
      </c>
      <c r="S365" s="118">
        <v>1</v>
      </c>
      <c r="T365" s="118">
        <v>1</v>
      </c>
      <c r="U365" s="118">
        <v>0</v>
      </c>
      <c r="V365" s="118">
        <v>1</v>
      </c>
      <c r="W365" s="118">
        <v>1</v>
      </c>
      <c r="X365" s="118">
        <v>1</v>
      </c>
      <c r="Y365" s="118" t="s">
        <v>140</v>
      </c>
      <c r="Z365" s="118" t="s">
        <v>140</v>
      </c>
      <c r="AA365" s="118">
        <v>1</v>
      </c>
      <c r="AB365" s="118">
        <v>1</v>
      </c>
      <c r="AC365" s="118" t="s">
        <v>140</v>
      </c>
      <c r="AD365" s="118" t="s">
        <v>140</v>
      </c>
      <c r="AE365" s="118">
        <v>0</v>
      </c>
      <c r="AF365" s="118" t="s">
        <v>140</v>
      </c>
      <c r="AG365" s="118">
        <v>1</v>
      </c>
      <c r="AH365" s="118" t="s">
        <v>140</v>
      </c>
      <c r="AI365" s="118">
        <v>1</v>
      </c>
      <c r="AJ365" s="118">
        <v>1</v>
      </c>
      <c r="AK365" s="118" t="s">
        <v>140</v>
      </c>
      <c r="AL365" s="118" t="s">
        <v>140</v>
      </c>
      <c r="AM365" s="118" t="s">
        <v>140</v>
      </c>
      <c r="AN365" s="118" t="s">
        <v>140</v>
      </c>
      <c r="AO365" s="118" t="s">
        <v>872</v>
      </c>
    </row>
    <row r="366" spans="1:41" hidden="1" x14ac:dyDescent="0.2">
      <c r="A366" s="13">
        <f t="shared" si="12"/>
        <v>12</v>
      </c>
      <c r="B366" s="13">
        <f t="shared" si="13"/>
        <v>3</v>
      </c>
      <c r="C366" s="13" t="str">
        <f>VLOOKUP(B366,Correspondance!$D$3:$E$14,2,FALSE)</f>
        <v>Mars</v>
      </c>
      <c r="D366" s="15" t="str">
        <f>VLOOKUP(G366,Correspondance!$A$3:$B$11,2,FALSE)</f>
        <v>PHONE</v>
      </c>
      <c r="E366" s="115" t="s">
        <v>796</v>
      </c>
      <c r="F366" s="116" t="s">
        <v>169</v>
      </c>
      <c r="G366" s="117" t="s">
        <v>277</v>
      </c>
      <c r="H366" s="118" t="s">
        <v>356</v>
      </c>
      <c r="I366" s="118" t="s">
        <v>369</v>
      </c>
      <c r="J366" s="119" t="s">
        <v>261</v>
      </c>
      <c r="K366" s="120">
        <v>96</v>
      </c>
      <c r="L366" s="118" t="s">
        <v>856</v>
      </c>
      <c r="M366" s="118" t="s">
        <v>545</v>
      </c>
      <c r="N366" s="118" t="s">
        <v>238</v>
      </c>
      <c r="O366" s="118" t="s">
        <v>47</v>
      </c>
      <c r="P366" s="118" t="s">
        <v>538</v>
      </c>
      <c r="Q366" s="118" t="s">
        <v>49</v>
      </c>
      <c r="R366" s="118">
        <v>1</v>
      </c>
      <c r="S366" s="118">
        <v>1</v>
      </c>
      <c r="T366" s="118">
        <v>1</v>
      </c>
      <c r="U366" s="118">
        <v>1</v>
      </c>
      <c r="V366" s="118">
        <v>1</v>
      </c>
      <c r="W366" s="118">
        <v>1</v>
      </c>
      <c r="X366" s="118">
        <v>1</v>
      </c>
      <c r="Y366" s="118">
        <v>1</v>
      </c>
      <c r="Z366" s="118" t="s">
        <v>140</v>
      </c>
      <c r="AA366" s="118">
        <v>1</v>
      </c>
      <c r="AB366" s="118">
        <v>0</v>
      </c>
      <c r="AC366" s="118" t="s">
        <v>140</v>
      </c>
      <c r="AD366" s="118" t="s">
        <v>140</v>
      </c>
      <c r="AE366" s="118">
        <v>1</v>
      </c>
      <c r="AF366" s="118" t="s">
        <v>140</v>
      </c>
      <c r="AG366" s="118">
        <v>1</v>
      </c>
      <c r="AH366" s="118">
        <v>1</v>
      </c>
      <c r="AI366" s="118">
        <v>1</v>
      </c>
      <c r="AJ366" s="118">
        <v>1</v>
      </c>
      <c r="AK366" s="118">
        <v>1</v>
      </c>
      <c r="AL366" s="118" t="s">
        <v>140</v>
      </c>
      <c r="AM366" s="118" t="s">
        <v>140</v>
      </c>
      <c r="AN366" s="118">
        <v>1</v>
      </c>
      <c r="AO366" s="118" t="s">
        <v>872</v>
      </c>
    </row>
    <row r="367" spans="1:41" ht="25.5" x14ac:dyDescent="0.2">
      <c r="A367" s="13">
        <f t="shared" si="12"/>
        <v>12</v>
      </c>
      <c r="B367" s="13">
        <f t="shared" si="13"/>
        <v>3</v>
      </c>
      <c r="C367" s="13" t="str">
        <f>VLOOKUP(B367,Correspondance!$D$3:$E$14,2,FALSE)</f>
        <v>Mars</v>
      </c>
      <c r="D367" s="15" t="str">
        <f>VLOOKUP(G367,Correspondance!$A$3:$B$11,2,FALSE)</f>
        <v>PHONE</v>
      </c>
      <c r="E367" s="115" t="s">
        <v>796</v>
      </c>
      <c r="F367" s="116" t="s">
        <v>169</v>
      </c>
      <c r="G367" s="117" t="s">
        <v>277</v>
      </c>
      <c r="H367" s="118" t="s">
        <v>1332</v>
      </c>
      <c r="I367" s="118" t="s">
        <v>260</v>
      </c>
      <c r="J367" s="119" t="s">
        <v>261</v>
      </c>
      <c r="K367" s="120">
        <v>90</v>
      </c>
      <c r="L367" s="118" t="s">
        <v>857</v>
      </c>
      <c r="M367" s="118" t="s">
        <v>368</v>
      </c>
      <c r="N367" s="118" t="s">
        <v>238</v>
      </c>
      <c r="O367" s="118" t="s">
        <v>47</v>
      </c>
      <c r="P367" s="118" t="s">
        <v>858</v>
      </c>
      <c r="Q367" s="118" t="s">
        <v>49</v>
      </c>
      <c r="R367" s="118">
        <v>1</v>
      </c>
      <c r="S367" s="118">
        <v>1</v>
      </c>
      <c r="T367" s="118">
        <v>1</v>
      </c>
      <c r="U367" s="118">
        <v>1</v>
      </c>
      <c r="V367" s="118">
        <v>1</v>
      </c>
      <c r="W367" s="118">
        <v>1</v>
      </c>
      <c r="X367" s="118">
        <v>1</v>
      </c>
      <c r="Y367" s="118">
        <v>1</v>
      </c>
      <c r="Z367" s="118">
        <v>1</v>
      </c>
      <c r="AA367" s="118">
        <v>1</v>
      </c>
      <c r="AB367" s="118">
        <v>1</v>
      </c>
      <c r="AC367" s="118">
        <v>0</v>
      </c>
      <c r="AD367" s="118" t="s">
        <v>140</v>
      </c>
      <c r="AE367" s="118">
        <v>1</v>
      </c>
      <c r="AF367" s="118" t="s">
        <v>140</v>
      </c>
      <c r="AG367" s="118">
        <v>1</v>
      </c>
      <c r="AH367" s="118">
        <v>1</v>
      </c>
      <c r="AI367" s="118">
        <v>1</v>
      </c>
      <c r="AJ367" s="118">
        <v>1</v>
      </c>
      <c r="AK367" s="118" t="s">
        <v>140</v>
      </c>
      <c r="AL367" s="118" t="s">
        <v>140</v>
      </c>
      <c r="AM367" s="118" t="s">
        <v>140</v>
      </c>
      <c r="AN367" s="118">
        <v>1</v>
      </c>
      <c r="AO367" s="118" t="s">
        <v>872</v>
      </c>
    </row>
    <row r="368" spans="1:41" ht="25.5" hidden="1" x14ac:dyDescent="0.2">
      <c r="A368" s="13">
        <f t="shared" si="12"/>
        <v>12</v>
      </c>
      <c r="B368" s="13">
        <f t="shared" si="13"/>
        <v>3</v>
      </c>
      <c r="C368" s="13" t="str">
        <f>VLOOKUP(B368,Correspondance!$D$3:$E$14,2,FALSE)</f>
        <v>Mars</v>
      </c>
      <c r="D368" s="15" t="str">
        <f>VLOOKUP(G368,Correspondance!$A$3:$B$11,2,FALSE)</f>
        <v>PHONE</v>
      </c>
      <c r="E368" s="115" t="s">
        <v>796</v>
      </c>
      <c r="F368" s="116" t="s">
        <v>169</v>
      </c>
      <c r="G368" s="117" t="s">
        <v>277</v>
      </c>
      <c r="H368" s="118" t="s">
        <v>1332</v>
      </c>
      <c r="I368" s="118" t="s">
        <v>260</v>
      </c>
      <c r="J368" s="119" t="s">
        <v>261</v>
      </c>
      <c r="K368" s="120">
        <v>100</v>
      </c>
      <c r="L368" s="118" t="s">
        <v>859</v>
      </c>
      <c r="M368" s="118" t="s">
        <v>237</v>
      </c>
      <c r="N368" s="118" t="s">
        <v>238</v>
      </c>
      <c r="O368" s="118" t="s">
        <v>47</v>
      </c>
      <c r="P368" s="118" t="s">
        <v>860</v>
      </c>
      <c r="Q368" s="118" t="s">
        <v>49</v>
      </c>
      <c r="R368" s="118">
        <v>1</v>
      </c>
      <c r="S368" s="118">
        <v>1</v>
      </c>
      <c r="T368" s="118">
        <v>1</v>
      </c>
      <c r="U368" s="118">
        <v>1</v>
      </c>
      <c r="V368" s="118">
        <v>1</v>
      </c>
      <c r="W368" s="118">
        <v>1</v>
      </c>
      <c r="X368" s="118">
        <v>1</v>
      </c>
      <c r="Y368" s="118">
        <v>1</v>
      </c>
      <c r="Z368" s="118" t="s">
        <v>140</v>
      </c>
      <c r="AA368" s="118">
        <v>1</v>
      </c>
      <c r="AB368" s="118">
        <v>1</v>
      </c>
      <c r="AC368" s="118">
        <v>1</v>
      </c>
      <c r="AD368" s="118">
        <v>1</v>
      </c>
      <c r="AE368" s="118">
        <v>1</v>
      </c>
      <c r="AF368" s="118" t="s">
        <v>140</v>
      </c>
      <c r="AG368" s="118">
        <v>1</v>
      </c>
      <c r="AH368" s="118" t="s">
        <v>140</v>
      </c>
      <c r="AI368" s="118">
        <v>1</v>
      </c>
      <c r="AJ368" s="118">
        <v>1</v>
      </c>
      <c r="AK368" s="118">
        <v>1</v>
      </c>
      <c r="AL368" s="118" t="s">
        <v>140</v>
      </c>
      <c r="AM368" s="118" t="s">
        <v>140</v>
      </c>
      <c r="AN368" s="118">
        <v>1</v>
      </c>
      <c r="AO368" s="118" t="s">
        <v>872</v>
      </c>
    </row>
    <row r="369" spans="1:41" x14ac:dyDescent="0.2">
      <c r="A369" s="13">
        <f t="shared" si="12"/>
        <v>12</v>
      </c>
      <c r="B369" s="13">
        <f t="shared" si="13"/>
        <v>3</v>
      </c>
      <c r="C369" s="13" t="str">
        <f>VLOOKUP(B369,Correspondance!$D$3:$E$14,2,FALSE)</f>
        <v>Mars</v>
      </c>
      <c r="D369" s="15" t="str">
        <f>VLOOKUP(G369,Correspondance!$A$3:$B$11,2,FALSE)</f>
        <v>PHONE</v>
      </c>
      <c r="E369" s="115" t="s">
        <v>797</v>
      </c>
      <c r="F369" s="116" t="s">
        <v>169</v>
      </c>
      <c r="G369" s="117" t="s">
        <v>277</v>
      </c>
      <c r="H369" s="118" t="s">
        <v>360</v>
      </c>
      <c r="I369" s="118" t="s">
        <v>372</v>
      </c>
      <c r="J369" s="119" t="s">
        <v>44</v>
      </c>
      <c r="K369" s="120">
        <v>85.074626865671647</v>
      </c>
      <c r="L369" s="118" t="s">
        <v>861</v>
      </c>
      <c r="M369" s="118" t="s">
        <v>263</v>
      </c>
      <c r="N369" s="118" t="s">
        <v>114</v>
      </c>
      <c r="O369" s="118" t="s">
        <v>74</v>
      </c>
      <c r="P369" s="118" t="s">
        <v>495</v>
      </c>
      <c r="Q369" s="118" t="s">
        <v>49</v>
      </c>
      <c r="R369" s="118">
        <v>1</v>
      </c>
      <c r="S369" s="118" t="s">
        <v>140</v>
      </c>
      <c r="T369" s="118">
        <v>1</v>
      </c>
      <c r="U369" s="118">
        <v>1</v>
      </c>
      <c r="V369" s="118">
        <v>1</v>
      </c>
      <c r="W369" s="118">
        <v>1</v>
      </c>
      <c r="X369" s="118">
        <v>1</v>
      </c>
      <c r="Y369" s="118" t="s">
        <v>140</v>
      </c>
      <c r="Z369" s="118" t="s">
        <v>140</v>
      </c>
      <c r="AA369" s="118">
        <v>1</v>
      </c>
      <c r="AB369" s="118">
        <v>1</v>
      </c>
      <c r="AC369" s="118">
        <v>0</v>
      </c>
      <c r="AD369" s="118">
        <v>1</v>
      </c>
      <c r="AE369" s="118" t="s">
        <v>140</v>
      </c>
      <c r="AF369" s="118" t="s">
        <v>140</v>
      </c>
      <c r="AG369" s="118" t="s">
        <v>140</v>
      </c>
      <c r="AH369" s="118">
        <v>1</v>
      </c>
      <c r="AI369" s="118" t="s">
        <v>140</v>
      </c>
      <c r="AJ369" s="118" t="s">
        <v>140</v>
      </c>
      <c r="AK369" s="118" t="s">
        <v>140</v>
      </c>
      <c r="AL369" s="118" t="s">
        <v>140</v>
      </c>
      <c r="AM369" s="118" t="s">
        <v>140</v>
      </c>
      <c r="AN369" s="118" t="s">
        <v>140</v>
      </c>
      <c r="AO369" s="118" t="s">
        <v>872</v>
      </c>
    </row>
    <row r="370" spans="1:41" hidden="1" x14ac:dyDescent="0.2">
      <c r="A370" s="13">
        <f t="shared" si="12"/>
        <v>12</v>
      </c>
      <c r="B370" s="13">
        <f t="shared" si="13"/>
        <v>3</v>
      </c>
      <c r="C370" s="13" t="str">
        <f>VLOOKUP(B370,Correspondance!$D$3:$E$14,2,FALSE)</f>
        <v>Mars</v>
      </c>
      <c r="D370" s="15" t="str">
        <f>VLOOKUP(G370,Correspondance!$A$3:$B$11,2,FALSE)</f>
        <v>PHONE</v>
      </c>
      <c r="E370" s="115" t="s">
        <v>797</v>
      </c>
      <c r="F370" s="116" t="s">
        <v>169</v>
      </c>
      <c r="G370" s="117" t="s">
        <v>277</v>
      </c>
      <c r="H370" s="118" t="s">
        <v>278</v>
      </c>
      <c r="I370" s="118" t="s">
        <v>279</v>
      </c>
      <c r="J370" s="119" t="s">
        <v>44</v>
      </c>
      <c r="K370" s="120">
        <v>100</v>
      </c>
      <c r="L370" s="118" t="s">
        <v>862</v>
      </c>
      <c r="M370" s="118" t="s">
        <v>863</v>
      </c>
      <c r="N370" s="118" t="s">
        <v>114</v>
      </c>
      <c r="O370" s="118" t="s">
        <v>74</v>
      </c>
      <c r="P370" s="118" t="s">
        <v>665</v>
      </c>
      <c r="Q370" s="118" t="s">
        <v>49</v>
      </c>
      <c r="R370" s="118">
        <v>1</v>
      </c>
      <c r="S370" s="118">
        <v>1</v>
      </c>
      <c r="T370" s="118">
        <v>1</v>
      </c>
      <c r="U370" s="118">
        <v>1</v>
      </c>
      <c r="V370" s="118">
        <v>1</v>
      </c>
      <c r="W370" s="118">
        <v>1</v>
      </c>
      <c r="X370" s="118">
        <v>1</v>
      </c>
      <c r="Y370" s="118" t="s">
        <v>140</v>
      </c>
      <c r="Z370" s="118" t="s">
        <v>140</v>
      </c>
      <c r="AA370" s="118">
        <v>1</v>
      </c>
      <c r="AB370" s="118">
        <v>1</v>
      </c>
      <c r="AC370" s="118">
        <v>1</v>
      </c>
      <c r="AD370" s="118" t="s">
        <v>140</v>
      </c>
      <c r="AE370" s="118">
        <v>1</v>
      </c>
      <c r="AF370" s="118" t="s">
        <v>140</v>
      </c>
      <c r="AG370" s="118">
        <v>1</v>
      </c>
      <c r="AH370" s="118" t="s">
        <v>140</v>
      </c>
      <c r="AI370" s="118">
        <v>1</v>
      </c>
      <c r="AJ370" s="118">
        <v>1</v>
      </c>
      <c r="AK370" s="118">
        <v>1</v>
      </c>
      <c r="AL370" s="118" t="s">
        <v>140</v>
      </c>
      <c r="AM370" s="118">
        <v>1</v>
      </c>
      <c r="AN370" s="118" t="s">
        <v>140</v>
      </c>
      <c r="AO370" s="118" t="s">
        <v>872</v>
      </c>
    </row>
    <row r="371" spans="1:41" hidden="1" x14ac:dyDescent="0.2">
      <c r="A371" s="13">
        <f t="shared" si="12"/>
        <v>12</v>
      </c>
      <c r="B371" s="13">
        <f t="shared" si="13"/>
        <v>3</v>
      </c>
      <c r="C371" s="13" t="str">
        <f>VLOOKUP(B371,Correspondance!$D$3:$E$14,2,FALSE)</f>
        <v>Mars</v>
      </c>
      <c r="D371" s="15" t="str">
        <f>VLOOKUP(G371,Correspondance!$A$3:$B$11,2,FALSE)</f>
        <v>PHONE</v>
      </c>
      <c r="E371" s="115" t="s">
        <v>797</v>
      </c>
      <c r="F371" s="116" t="s">
        <v>169</v>
      </c>
      <c r="G371" s="117" t="s">
        <v>277</v>
      </c>
      <c r="H371" s="118" t="s">
        <v>278</v>
      </c>
      <c r="I371" s="118" t="s">
        <v>279</v>
      </c>
      <c r="J371" s="119" t="s">
        <v>44</v>
      </c>
      <c r="K371" s="120">
        <v>100</v>
      </c>
      <c r="L371" s="118" t="s">
        <v>864</v>
      </c>
      <c r="M371" s="118" t="s">
        <v>215</v>
      </c>
      <c r="N371" s="118" t="s">
        <v>114</v>
      </c>
      <c r="O371" s="118" t="s">
        <v>74</v>
      </c>
      <c r="P371" s="118" t="s">
        <v>516</v>
      </c>
      <c r="Q371" s="118" t="s">
        <v>49</v>
      </c>
      <c r="R371" s="118">
        <v>1</v>
      </c>
      <c r="S371" s="118">
        <v>1</v>
      </c>
      <c r="T371" s="118">
        <v>1</v>
      </c>
      <c r="U371" s="118">
        <v>1</v>
      </c>
      <c r="V371" s="118">
        <v>1</v>
      </c>
      <c r="W371" s="118">
        <v>1</v>
      </c>
      <c r="X371" s="118">
        <v>1</v>
      </c>
      <c r="Y371" s="118" t="s">
        <v>140</v>
      </c>
      <c r="Z371" s="118">
        <v>1</v>
      </c>
      <c r="AA371" s="118">
        <v>1</v>
      </c>
      <c r="AB371" s="118">
        <v>1</v>
      </c>
      <c r="AC371" s="118">
        <v>1</v>
      </c>
      <c r="AD371" s="118">
        <v>1</v>
      </c>
      <c r="AE371" s="118">
        <v>1</v>
      </c>
      <c r="AF371" s="118" t="s">
        <v>140</v>
      </c>
      <c r="AG371" s="118">
        <v>1</v>
      </c>
      <c r="AH371" s="118" t="s">
        <v>140</v>
      </c>
      <c r="AI371" s="118">
        <v>1</v>
      </c>
      <c r="AJ371" s="118">
        <v>1</v>
      </c>
      <c r="AK371" s="118">
        <v>1</v>
      </c>
      <c r="AL371" s="118" t="s">
        <v>140</v>
      </c>
      <c r="AM371" s="118" t="s">
        <v>140</v>
      </c>
      <c r="AN371" s="118" t="s">
        <v>140</v>
      </c>
      <c r="AO371" s="118" t="s">
        <v>872</v>
      </c>
    </row>
    <row r="372" spans="1:41" hidden="1" x14ac:dyDescent="0.2">
      <c r="A372" s="13">
        <f t="shared" si="12"/>
        <v>12</v>
      </c>
      <c r="B372" s="13">
        <f t="shared" si="13"/>
        <v>3</v>
      </c>
      <c r="C372" s="13" t="str">
        <f>VLOOKUP(B372,Correspondance!$D$3:$E$14,2,FALSE)</f>
        <v>Mars</v>
      </c>
      <c r="D372" s="15" t="str">
        <f>VLOOKUP(G372,Correspondance!$A$3:$B$11,2,FALSE)</f>
        <v>PHONE</v>
      </c>
      <c r="E372" s="115" t="s">
        <v>797</v>
      </c>
      <c r="F372" s="116" t="s">
        <v>169</v>
      </c>
      <c r="G372" s="117" t="s">
        <v>277</v>
      </c>
      <c r="H372" s="118" t="s">
        <v>278</v>
      </c>
      <c r="I372" s="118" t="s">
        <v>279</v>
      </c>
      <c r="J372" s="119" t="s">
        <v>44</v>
      </c>
      <c r="K372" s="120">
        <v>100</v>
      </c>
      <c r="L372" s="118" t="s">
        <v>865</v>
      </c>
      <c r="M372" s="118" t="s">
        <v>190</v>
      </c>
      <c r="N372" s="118" t="s">
        <v>114</v>
      </c>
      <c r="O372" s="118" t="s">
        <v>74</v>
      </c>
      <c r="P372" s="118" t="s">
        <v>112</v>
      </c>
      <c r="Q372" s="118" t="s">
        <v>49</v>
      </c>
      <c r="R372" s="118">
        <v>1</v>
      </c>
      <c r="S372" s="118">
        <v>1</v>
      </c>
      <c r="T372" s="118">
        <v>1</v>
      </c>
      <c r="U372" s="118">
        <v>1</v>
      </c>
      <c r="V372" s="118">
        <v>1</v>
      </c>
      <c r="W372" s="118">
        <v>1</v>
      </c>
      <c r="X372" s="118">
        <v>1</v>
      </c>
      <c r="Y372" s="118" t="s">
        <v>140</v>
      </c>
      <c r="Z372" s="118" t="s">
        <v>140</v>
      </c>
      <c r="AA372" s="118">
        <v>1</v>
      </c>
      <c r="AB372" s="118">
        <v>1</v>
      </c>
      <c r="AC372" s="118">
        <v>1</v>
      </c>
      <c r="AD372" s="118">
        <v>1</v>
      </c>
      <c r="AE372" s="118">
        <v>1</v>
      </c>
      <c r="AF372" s="118" t="s">
        <v>140</v>
      </c>
      <c r="AG372" s="118">
        <v>1</v>
      </c>
      <c r="AH372" s="118" t="s">
        <v>140</v>
      </c>
      <c r="AI372" s="118">
        <v>1</v>
      </c>
      <c r="AJ372" s="118">
        <v>1</v>
      </c>
      <c r="AK372" s="118">
        <v>1</v>
      </c>
      <c r="AL372" s="118" t="s">
        <v>140</v>
      </c>
      <c r="AM372" s="118" t="s">
        <v>140</v>
      </c>
      <c r="AN372" s="118">
        <v>1</v>
      </c>
      <c r="AO372" s="118" t="s">
        <v>872</v>
      </c>
    </row>
    <row r="373" spans="1:41" hidden="1" x14ac:dyDescent="0.2">
      <c r="A373" s="13">
        <f t="shared" si="12"/>
        <v>12</v>
      </c>
      <c r="B373" s="13">
        <f t="shared" si="13"/>
        <v>3</v>
      </c>
      <c r="C373" s="13" t="str">
        <f>VLOOKUP(B373,Correspondance!$D$3:$E$14,2,FALSE)</f>
        <v>Mars</v>
      </c>
      <c r="D373" s="15" t="str">
        <f>VLOOKUP(G373,Correspondance!$A$3:$B$11,2,FALSE)</f>
        <v>PHONE</v>
      </c>
      <c r="E373" s="115" t="s">
        <v>797</v>
      </c>
      <c r="F373" s="116" t="s">
        <v>169</v>
      </c>
      <c r="G373" s="117" t="s">
        <v>277</v>
      </c>
      <c r="H373" s="118" t="s">
        <v>272</v>
      </c>
      <c r="I373" s="118" t="s">
        <v>273</v>
      </c>
      <c r="J373" s="119" t="s">
        <v>44</v>
      </c>
      <c r="K373" s="120">
        <v>100</v>
      </c>
      <c r="L373" s="118" t="s">
        <v>866</v>
      </c>
      <c r="M373" s="118" t="s">
        <v>237</v>
      </c>
      <c r="N373" s="118" t="s">
        <v>114</v>
      </c>
      <c r="O373" s="118" t="s">
        <v>74</v>
      </c>
      <c r="P373" s="118" t="s">
        <v>665</v>
      </c>
      <c r="Q373" s="118" t="s">
        <v>49</v>
      </c>
      <c r="R373" s="118">
        <v>1</v>
      </c>
      <c r="S373" s="118">
        <v>1</v>
      </c>
      <c r="T373" s="118">
        <v>1</v>
      </c>
      <c r="U373" s="118">
        <v>1</v>
      </c>
      <c r="V373" s="118">
        <v>1</v>
      </c>
      <c r="W373" s="118">
        <v>1</v>
      </c>
      <c r="X373" s="118">
        <v>1</v>
      </c>
      <c r="Y373" s="118" t="s">
        <v>140</v>
      </c>
      <c r="Z373" s="118" t="s">
        <v>140</v>
      </c>
      <c r="AA373" s="118">
        <v>1</v>
      </c>
      <c r="AB373" s="118">
        <v>1</v>
      </c>
      <c r="AC373" s="118">
        <v>1</v>
      </c>
      <c r="AD373" s="118">
        <v>1</v>
      </c>
      <c r="AE373" s="118">
        <v>1</v>
      </c>
      <c r="AF373" s="118" t="s">
        <v>140</v>
      </c>
      <c r="AG373" s="118">
        <v>1</v>
      </c>
      <c r="AH373" s="118" t="s">
        <v>140</v>
      </c>
      <c r="AI373" s="118">
        <v>1</v>
      </c>
      <c r="AJ373" s="118">
        <v>1</v>
      </c>
      <c r="AK373" s="118">
        <v>1</v>
      </c>
      <c r="AL373" s="118">
        <v>1</v>
      </c>
      <c r="AM373" s="118">
        <v>1</v>
      </c>
      <c r="AN373" s="118">
        <v>1</v>
      </c>
      <c r="AO373" s="118"/>
    </row>
    <row r="374" spans="1:41" x14ac:dyDescent="0.2">
      <c r="A374" s="13">
        <f t="shared" si="12"/>
        <v>12</v>
      </c>
      <c r="B374" s="13">
        <f t="shared" si="13"/>
        <v>3</v>
      </c>
      <c r="C374" s="13" t="str">
        <f>VLOOKUP(B374,Correspondance!$D$3:$E$14,2,FALSE)</f>
        <v>Mars</v>
      </c>
      <c r="D374" s="15" t="str">
        <f>VLOOKUP(G374,Correspondance!$A$3:$B$11,2,FALSE)</f>
        <v>PHONE</v>
      </c>
      <c r="E374" s="115" t="s">
        <v>797</v>
      </c>
      <c r="F374" s="116" t="s">
        <v>169</v>
      </c>
      <c r="G374" s="117" t="s">
        <v>277</v>
      </c>
      <c r="H374" s="118" t="s">
        <v>821</v>
      </c>
      <c r="I374" s="118" t="s">
        <v>822</v>
      </c>
      <c r="J374" s="119" t="s">
        <v>44</v>
      </c>
      <c r="K374" s="120">
        <v>77.040000000000006</v>
      </c>
      <c r="L374" s="118" t="s">
        <v>866</v>
      </c>
      <c r="M374" s="118" t="s">
        <v>237</v>
      </c>
      <c r="N374" s="118" t="s">
        <v>114</v>
      </c>
      <c r="O374" s="118" t="s">
        <v>74</v>
      </c>
      <c r="P374" s="118" t="s">
        <v>112</v>
      </c>
      <c r="Q374" s="118" t="s">
        <v>49</v>
      </c>
      <c r="R374" s="118">
        <v>1</v>
      </c>
      <c r="S374" s="118">
        <v>1</v>
      </c>
      <c r="T374" s="118">
        <v>0</v>
      </c>
      <c r="U374" s="118">
        <v>1</v>
      </c>
      <c r="V374" s="118">
        <v>1</v>
      </c>
      <c r="W374" s="118">
        <v>1</v>
      </c>
      <c r="X374" s="118">
        <v>1</v>
      </c>
      <c r="Y374" s="118" t="s">
        <v>140</v>
      </c>
      <c r="Z374" s="118" t="s">
        <v>140</v>
      </c>
      <c r="AA374" s="118">
        <v>1</v>
      </c>
      <c r="AB374" s="118">
        <v>1</v>
      </c>
      <c r="AC374" s="118">
        <v>0</v>
      </c>
      <c r="AD374" s="118">
        <v>1</v>
      </c>
      <c r="AE374" s="118">
        <v>1</v>
      </c>
      <c r="AF374" s="118" t="s">
        <v>140</v>
      </c>
      <c r="AG374" s="118">
        <v>1</v>
      </c>
      <c r="AH374" s="118" t="s">
        <v>140</v>
      </c>
      <c r="AI374" s="118">
        <v>1</v>
      </c>
      <c r="AJ374" s="118">
        <v>1</v>
      </c>
      <c r="AK374" s="118" t="s">
        <v>140</v>
      </c>
      <c r="AL374" s="118" t="s">
        <v>140</v>
      </c>
      <c r="AM374" s="118">
        <v>0</v>
      </c>
      <c r="AN374" s="118" t="s">
        <v>140</v>
      </c>
      <c r="AO374" s="118"/>
    </row>
    <row r="375" spans="1:41" x14ac:dyDescent="0.2">
      <c r="A375" s="13">
        <f t="shared" si="12"/>
        <v>12</v>
      </c>
      <c r="B375" s="13">
        <f t="shared" si="13"/>
        <v>3</v>
      </c>
      <c r="C375" s="13" t="str">
        <f>VLOOKUP(B375,Correspondance!$D$3:$E$14,2,FALSE)</f>
        <v>Mars</v>
      </c>
      <c r="D375" s="15" t="str">
        <f>VLOOKUP(G375,Correspondance!$A$3:$B$11,2,FALSE)</f>
        <v>PHONE</v>
      </c>
      <c r="E375" s="115" t="s">
        <v>797</v>
      </c>
      <c r="F375" s="116" t="s">
        <v>169</v>
      </c>
      <c r="G375" s="117" t="s">
        <v>277</v>
      </c>
      <c r="H375" s="118" t="s">
        <v>821</v>
      </c>
      <c r="I375" s="118" t="s">
        <v>822</v>
      </c>
      <c r="J375" s="119" t="s">
        <v>44</v>
      </c>
      <c r="K375" s="120">
        <v>78</v>
      </c>
      <c r="L375" s="118" t="s">
        <v>867</v>
      </c>
      <c r="M375" s="118" t="s">
        <v>536</v>
      </c>
      <c r="N375" s="118" t="s">
        <v>114</v>
      </c>
      <c r="O375" s="118" t="s">
        <v>74</v>
      </c>
      <c r="P375" s="118" t="s">
        <v>868</v>
      </c>
      <c r="Q375" s="118" t="s">
        <v>49</v>
      </c>
      <c r="R375" s="118">
        <v>0</v>
      </c>
      <c r="S375" s="118">
        <v>1</v>
      </c>
      <c r="T375" s="118">
        <v>1</v>
      </c>
      <c r="U375" s="118">
        <v>1</v>
      </c>
      <c r="V375" s="118">
        <v>1</v>
      </c>
      <c r="W375" s="118">
        <v>1</v>
      </c>
      <c r="X375" s="118">
        <v>1</v>
      </c>
      <c r="Y375" s="118" t="s">
        <v>140</v>
      </c>
      <c r="Z375" s="118" t="s">
        <v>140</v>
      </c>
      <c r="AA375" s="118">
        <v>1</v>
      </c>
      <c r="AB375" s="118">
        <v>1</v>
      </c>
      <c r="AC375" s="118">
        <v>0</v>
      </c>
      <c r="AD375" s="118">
        <v>1</v>
      </c>
      <c r="AE375" s="118">
        <v>1</v>
      </c>
      <c r="AF375" s="118" t="s">
        <v>140</v>
      </c>
      <c r="AG375" s="118">
        <v>1</v>
      </c>
      <c r="AH375" s="118" t="s">
        <v>140</v>
      </c>
      <c r="AI375" s="118">
        <v>1</v>
      </c>
      <c r="AJ375" s="118">
        <v>1</v>
      </c>
      <c r="AK375" s="118">
        <v>1</v>
      </c>
      <c r="AL375" s="118" t="s">
        <v>140</v>
      </c>
      <c r="AM375" s="118" t="s">
        <v>140</v>
      </c>
      <c r="AN375" s="118" t="s">
        <v>140</v>
      </c>
      <c r="AO375" s="118"/>
    </row>
    <row r="376" spans="1:41" hidden="1" x14ac:dyDescent="0.2">
      <c r="A376" s="13">
        <f t="shared" si="12"/>
        <v>12</v>
      </c>
      <c r="B376" s="13">
        <f t="shared" si="13"/>
        <v>3</v>
      </c>
      <c r="C376" s="13" t="str">
        <f>VLOOKUP(B376,Correspondance!$D$3:$E$14,2,FALSE)</f>
        <v>Mars</v>
      </c>
      <c r="D376" s="15" t="str">
        <f>VLOOKUP(G376,Correspondance!$A$3:$B$11,2,FALSE)</f>
        <v>PHONE</v>
      </c>
      <c r="E376" s="115" t="s">
        <v>797</v>
      </c>
      <c r="F376" s="116" t="s">
        <v>169</v>
      </c>
      <c r="G376" s="117" t="s">
        <v>277</v>
      </c>
      <c r="H376" s="118" t="s">
        <v>821</v>
      </c>
      <c r="I376" s="118" t="s">
        <v>822</v>
      </c>
      <c r="J376" s="119" t="s">
        <v>44</v>
      </c>
      <c r="K376" s="120">
        <v>100</v>
      </c>
      <c r="L376" s="118" t="s">
        <v>869</v>
      </c>
      <c r="M376" s="118" t="s">
        <v>526</v>
      </c>
      <c r="N376" s="118" t="s">
        <v>114</v>
      </c>
      <c r="O376" s="118" t="s">
        <v>74</v>
      </c>
      <c r="P376" s="118" t="s">
        <v>665</v>
      </c>
      <c r="Q376" s="118" t="s">
        <v>49</v>
      </c>
      <c r="R376" s="118">
        <v>1</v>
      </c>
      <c r="S376" s="118">
        <v>1</v>
      </c>
      <c r="T376" s="118">
        <v>1</v>
      </c>
      <c r="U376" s="118">
        <v>1</v>
      </c>
      <c r="V376" s="118">
        <v>1</v>
      </c>
      <c r="W376" s="118">
        <v>1</v>
      </c>
      <c r="X376" s="118">
        <v>1</v>
      </c>
      <c r="Y376" s="118" t="s">
        <v>140</v>
      </c>
      <c r="Z376" s="118" t="s">
        <v>140</v>
      </c>
      <c r="AA376" s="118">
        <v>1</v>
      </c>
      <c r="AB376" s="118">
        <v>1</v>
      </c>
      <c r="AC376" s="118">
        <v>1</v>
      </c>
      <c r="AD376" s="118">
        <v>1</v>
      </c>
      <c r="AE376" s="118">
        <v>1</v>
      </c>
      <c r="AF376" s="118" t="s">
        <v>140</v>
      </c>
      <c r="AG376" s="118">
        <v>1</v>
      </c>
      <c r="AH376" s="118" t="s">
        <v>140</v>
      </c>
      <c r="AI376" s="118">
        <v>1</v>
      </c>
      <c r="AJ376" s="118">
        <v>1</v>
      </c>
      <c r="AK376" s="118">
        <v>1</v>
      </c>
      <c r="AL376" s="118" t="s">
        <v>140</v>
      </c>
      <c r="AM376" s="118" t="s">
        <v>140</v>
      </c>
      <c r="AN376" s="118">
        <v>1</v>
      </c>
      <c r="AO376" s="118"/>
    </row>
    <row r="377" spans="1:41" hidden="1" x14ac:dyDescent="0.2">
      <c r="A377" s="13">
        <f t="shared" si="12"/>
        <v>12</v>
      </c>
      <c r="B377" s="13">
        <f t="shared" si="13"/>
        <v>3</v>
      </c>
      <c r="C377" s="13" t="str">
        <f>VLOOKUP(B377,Correspondance!$D$3:$E$14,2,FALSE)</f>
        <v>Mars</v>
      </c>
      <c r="D377" s="15" t="str">
        <f>VLOOKUP(G377,Correspondance!$A$3:$B$11,2,FALSE)</f>
        <v>PHONE</v>
      </c>
      <c r="E377" s="115" t="s">
        <v>798</v>
      </c>
      <c r="F377" s="116" t="s">
        <v>169</v>
      </c>
      <c r="G377" s="117" t="s">
        <v>277</v>
      </c>
      <c r="H377" s="118" t="s">
        <v>272</v>
      </c>
      <c r="I377" s="118" t="s">
        <v>273</v>
      </c>
      <c r="J377" s="119" t="s">
        <v>44</v>
      </c>
      <c r="K377" s="120">
        <v>100</v>
      </c>
      <c r="L377" s="118" t="s">
        <v>870</v>
      </c>
      <c r="M377" s="118" t="s">
        <v>174</v>
      </c>
      <c r="N377" s="118" t="s">
        <v>114</v>
      </c>
      <c r="O377" s="118" t="s">
        <v>74</v>
      </c>
      <c r="P377" s="118" t="s">
        <v>871</v>
      </c>
      <c r="Q377" s="118" t="s">
        <v>49</v>
      </c>
      <c r="R377" s="118">
        <v>1</v>
      </c>
      <c r="S377" s="118">
        <v>1</v>
      </c>
      <c r="T377" s="118">
        <v>1</v>
      </c>
      <c r="U377" s="118">
        <v>1</v>
      </c>
      <c r="V377" s="118">
        <v>1</v>
      </c>
      <c r="W377" s="118">
        <v>1</v>
      </c>
      <c r="X377" s="118">
        <v>1</v>
      </c>
      <c r="Y377" s="118" t="s">
        <v>140</v>
      </c>
      <c r="Z377" s="118" t="s">
        <v>140</v>
      </c>
      <c r="AA377" s="118">
        <v>1</v>
      </c>
      <c r="AB377" s="118">
        <v>1</v>
      </c>
      <c r="AC377" s="118">
        <v>1</v>
      </c>
      <c r="AD377" s="118">
        <v>1</v>
      </c>
      <c r="AE377" s="118">
        <v>1</v>
      </c>
      <c r="AF377" s="118" t="s">
        <v>140</v>
      </c>
      <c r="AG377" s="118">
        <v>1</v>
      </c>
      <c r="AH377" s="118" t="s">
        <v>140</v>
      </c>
      <c r="AI377" s="118">
        <v>1</v>
      </c>
      <c r="AJ377" s="118">
        <v>1</v>
      </c>
      <c r="AK377" s="118">
        <v>1</v>
      </c>
      <c r="AL377" s="118" t="s">
        <v>140</v>
      </c>
      <c r="AM377" s="118" t="s">
        <v>140</v>
      </c>
      <c r="AN377" s="118" t="s">
        <v>140</v>
      </c>
      <c r="AO377" s="118"/>
    </row>
    <row r="378" spans="1:41" x14ac:dyDescent="0.2">
      <c r="A378" s="13">
        <f t="shared" ref="A378:A400" si="14">WEEKNUM(E378)</f>
        <v>4</v>
      </c>
      <c r="B378" s="13">
        <f t="shared" si="13"/>
        <v>1</v>
      </c>
      <c r="C378" s="13" t="str">
        <f>VLOOKUP(B378,Correspondance!$D$3:$E$14,2,FALSE)</f>
        <v>Janvier</v>
      </c>
      <c r="D378" s="15" t="str">
        <f>VLOOKUP(G378,Correspondance!$A$3:$B$11,2,FALSE)</f>
        <v>PHONE</v>
      </c>
      <c r="E378" s="1" t="s">
        <v>610</v>
      </c>
      <c r="F378" s="2" t="s">
        <v>169</v>
      </c>
      <c r="G378" s="3" t="s">
        <v>359</v>
      </c>
      <c r="H378" s="4" t="s">
        <v>517</v>
      </c>
      <c r="I378" s="4" t="s">
        <v>518</v>
      </c>
      <c r="J378" s="5" t="s">
        <v>57</v>
      </c>
      <c r="K378" s="6">
        <v>88</v>
      </c>
      <c r="L378" s="4" t="s">
        <v>751</v>
      </c>
      <c r="M378" s="4" t="s">
        <v>174</v>
      </c>
      <c r="N378" s="4" t="s">
        <v>46</v>
      </c>
      <c r="O378" s="4" t="s">
        <v>74</v>
      </c>
      <c r="P378" s="4" t="s">
        <v>573</v>
      </c>
      <c r="Q378" s="4" t="s">
        <v>49</v>
      </c>
      <c r="R378" s="4">
        <v>1</v>
      </c>
      <c r="S378" s="4">
        <v>1</v>
      </c>
      <c r="T378" s="4">
        <v>1</v>
      </c>
      <c r="U378" s="4">
        <v>1</v>
      </c>
      <c r="V378" s="4">
        <v>1</v>
      </c>
      <c r="W378" s="4">
        <v>1</v>
      </c>
      <c r="X378" s="4" t="s">
        <v>50</v>
      </c>
      <c r="Y378" s="4" t="s">
        <v>140</v>
      </c>
      <c r="Z378" s="4">
        <v>1</v>
      </c>
      <c r="AA378" s="4" t="s">
        <v>50</v>
      </c>
      <c r="AB378" s="4">
        <v>1</v>
      </c>
      <c r="AC378" s="4">
        <v>0</v>
      </c>
      <c r="AD378" s="4">
        <v>1</v>
      </c>
      <c r="AE378" s="4">
        <v>1</v>
      </c>
      <c r="AF378" s="4" t="s">
        <v>140</v>
      </c>
      <c r="AG378" s="4">
        <v>1</v>
      </c>
      <c r="AH378" s="4">
        <v>0</v>
      </c>
      <c r="AI378" s="4">
        <v>1</v>
      </c>
      <c r="AJ378" s="4">
        <v>1</v>
      </c>
      <c r="AK378" s="4">
        <v>1</v>
      </c>
      <c r="AL378" s="4">
        <v>1</v>
      </c>
      <c r="AM378" s="4">
        <v>1</v>
      </c>
      <c r="AN378" s="4">
        <v>1</v>
      </c>
      <c r="AO378" s="4"/>
    </row>
    <row r="379" spans="1:41" hidden="1" x14ac:dyDescent="0.2">
      <c r="A379" s="13">
        <f t="shared" si="14"/>
        <v>4</v>
      </c>
      <c r="B379" s="13">
        <f t="shared" ref="B379:B400" si="15">MONTH(E379)</f>
        <v>1</v>
      </c>
      <c r="C379" s="13" t="str">
        <f>VLOOKUP(B379,Correspondance!$D$3:$E$14,2,FALSE)</f>
        <v>Janvier</v>
      </c>
      <c r="D379" s="15" t="str">
        <f>VLOOKUP(G379,Correspondance!$A$3:$B$11,2,FALSE)</f>
        <v>PHONE</v>
      </c>
      <c r="E379" s="1" t="s">
        <v>610</v>
      </c>
      <c r="F379" s="2" t="s">
        <v>169</v>
      </c>
      <c r="G379" s="3" t="s">
        <v>359</v>
      </c>
      <c r="H379" s="4" t="s">
        <v>519</v>
      </c>
      <c r="I379" s="4" t="s">
        <v>520</v>
      </c>
      <c r="J379" s="5" t="s">
        <v>57</v>
      </c>
      <c r="K379" s="6">
        <v>100</v>
      </c>
      <c r="L379" s="4" t="s">
        <v>752</v>
      </c>
      <c r="M379" s="4" t="s">
        <v>174</v>
      </c>
      <c r="N379" s="4" t="s">
        <v>46</v>
      </c>
      <c r="O379" s="4" t="s">
        <v>74</v>
      </c>
      <c r="P379" s="4" t="s">
        <v>361</v>
      </c>
      <c r="Q379" s="4" t="s">
        <v>49</v>
      </c>
      <c r="R379" s="4">
        <v>1</v>
      </c>
      <c r="S379" s="4" t="s">
        <v>140</v>
      </c>
      <c r="T379" s="4">
        <v>1</v>
      </c>
      <c r="U379" s="4">
        <v>1</v>
      </c>
      <c r="V379" s="4">
        <v>1</v>
      </c>
      <c r="W379" s="4">
        <v>1</v>
      </c>
      <c r="X379" s="4" t="s">
        <v>50</v>
      </c>
      <c r="Y379" s="4" t="s">
        <v>140</v>
      </c>
      <c r="Z379" s="4">
        <v>1</v>
      </c>
      <c r="AA379" s="4" t="s">
        <v>50</v>
      </c>
      <c r="AB379" s="4">
        <v>1</v>
      </c>
      <c r="AC379" s="4">
        <v>1</v>
      </c>
      <c r="AD379" s="4">
        <v>1</v>
      </c>
      <c r="AE379" s="4" t="s">
        <v>140</v>
      </c>
      <c r="AF379" s="4" t="s">
        <v>140</v>
      </c>
      <c r="AG379" s="4" t="s">
        <v>140</v>
      </c>
      <c r="AH379" s="4">
        <v>1</v>
      </c>
      <c r="AI379" s="4" t="s">
        <v>140</v>
      </c>
      <c r="AJ379" s="4" t="s">
        <v>140</v>
      </c>
      <c r="AK379" s="4" t="s">
        <v>140</v>
      </c>
      <c r="AL379" s="4" t="s">
        <v>140</v>
      </c>
      <c r="AM379" s="4" t="s">
        <v>140</v>
      </c>
      <c r="AN379" s="4" t="s">
        <v>140</v>
      </c>
      <c r="AO379" s="4"/>
    </row>
    <row r="380" spans="1:41" hidden="1" x14ac:dyDescent="0.2">
      <c r="A380" s="13">
        <f t="shared" si="14"/>
        <v>4</v>
      </c>
      <c r="B380" s="13">
        <f t="shared" si="15"/>
        <v>1</v>
      </c>
      <c r="C380" s="13" t="str">
        <f>VLOOKUP(B380,Correspondance!$D$3:$E$14,2,FALSE)</f>
        <v>Janvier</v>
      </c>
      <c r="D380" s="15" t="str">
        <f>VLOOKUP(G380,Correspondance!$A$3:$B$11,2,FALSE)</f>
        <v>PHONE</v>
      </c>
      <c r="E380" s="1" t="s">
        <v>610</v>
      </c>
      <c r="F380" s="2" t="s">
        <v>169</v>
      </c>
      <c r="G380" s="3" t="s">
        <v>359</v>
      </c>
      <c r="H380" s="4" t="s">
        <v>510</v>
      </c>
      <c r="I380" s="4" t="s">
        <v>511</v>
      </c>
      <c r="J380" s="5" t="s">
        <v>57</v>
      </c>
      <c r="K380" s="6">
        <v>96</v>
      </c>
      <c r="L380" s="4" t="s">
        <v>753</v>
      </c>
      <c r="M380" s="4" t="s">
        <v>215</v>
      </c>
      <c r="N380" s="4" t="s">
        <v>46</v>
      </c>
      <c r="O380" s="4" t="s">
        <v>47</v>
      </c>
      <c r="P380" s="4" t="s">
        <v>754</v>
      </c>
      <c r="Q380" s="4" t="s">
        <v>49</v>
      </c>
      <c r="R380" s="4">
        <v>1</v>
      </c>
      <c r="S380" s="4">
        <v>1</v>
      </c>
      <c r="T380" s="4">
        <v>1</v>
      </c>
      <c r="U380" s="4">
        <v>1</v>
      </c>
      <c r="V380" s="4">
        <v>1</v>
      </c>
      <c r="W380" s="4">
        <v>1</v>
      </c>
      <c r="X380" s="4" t="s">
        <v>50</v>
      </c>
      <c r="Y380" s="4" t="s">
        <v>140</v>
      </c>
      <c r="Z380" s="4">
        <v>1</v>
      </c>
      <c r="AA380" s="4" t="s">
        <v>50</v>
      </c>
      <c r="AB380" s="4">
        <v>1</v>
      </c>
      <c r="AC380" s="4">
        <v>1</v>
      </c>
      <c r="AD380" s="4">
        <v>1</v>
      </c>
      <c r="AE380" s="4">
        <v>1</v>
      </c>
      <c r="AF380" s="4" t="s">
        <v>140</v>
      </c>
      <c r="AG380" s="4">
        <v>1</v>
      </c>
      <c r="AH380" s="4" t="s">
        <v>140</v>
      </c>
      <c r="AI380" s="4">
        <v>1</v>
      </c>
      <c r="AJ380" s="4">
        <v>0</v>
      </c>
      <c r="AK380" s="4">
        <v>1</v>
      </c>
      <c r="AL380" s="4">
        <v>1</v>
      </c>
      <c r="AM380" s="4">
        <v>1</v>
      </c>
      <c r="AN380" s="4">
        <v>1</v>
      </c>
      <c r="AO380" s="4"/>
    </row>
    <row r="381" spans="1:41" hidden="1" x14ac:dyDescent="0.2">
      <c r="A381" s="13">
        <f t="shared" si="14"/>
        <v>4</v>
      </c>
      <c r="B381" s="13">
        <f t="shared" si="15"/>
        <v>1</v>
      </c>
      <c r="C381" s="13" t="str">
        <f>VLOOKUP(B381,Correspondance!$D$3:$E$14,2,FALSE)</f>
        <v>Janvier</v>
      </c>
      <c r="D381" s="15" t="str">
        <f>VLOOKUP(G381,Correspondance!$A$3:$B$11,2,FALSE)</f>
        <v>PHONE</v>
      </c>
      <c r="E381" s="1" t="s">
        <v>610</v>
      </c>
      <c r="F381" s="2" t="s">
        <v>169</v>
      </c>
      <c r="G381" s="3" t="s">
        <v>255</v>
      </c>
      <c r="H381" s="4" t="s">
        <v>356</v>
      </c>
      <c r="I381" s="4" t="s">
        <v>369</v>
      </c>
      <c r="J381" s="5" t="s">
        <v>730</v>
      </c>
      <c r="K381" s="6">
        <v>98</v>
      </c>
      <c r="L381" s="4" t="s">
        <v>755</v>
      </c>
      <c r="M381" s="4" t="s">
        <v>526</v>
      </c>
      <c r="N381" s="4" t="s">
        <v>46</v>
      </c>
      <c r="O381" s="4" t="s">
        <v>47</v>
      </c>
      <c r="P381" s="4" t="s">
        <v>539</v>
      </c>
      <c r="Q381" s="4" t="s">
        <v>49</v>
      </c>
      <c r="R381" s="4">
        <v>1</v>
      </c>
      <c r="S381" s="4">
        <v>1</v>
      </c>
      <c r="T381" s="4">
        <v>1</v>
      </c>
      <c r="U381" s="4">
        <v>1</v>
      </c>
      <c r="V381" s="4">
        <v>1</v>
      </c>
      <c r="W381" s="4">
        <v>1</v>
      </c>
      <c r="X381" s="4" t="s">
        <v>50</v>
      </c>
      <c r="Y381" s="4" t="s">
        <v>140</v>
      </c>
      <c r="Z381" s="4">
        <v>1</v>
      </c>
      <c r="AA381" s="4" t="s">
        <v>50</v>
      </c>
      <c r="AB381" s="4">
        <v>1</v>
      </c>
      <c r="AC381" s="4">
        <v>1</v>
      </c>
      <c r="AD381" s="4">
        <v>1</v>
      </c>
      <c r="AE381" s="4">
        <v>1</v>
      </c>
      <c r="AF381" s="4" t="s">
        <v>140</v>
      </c>
      <c r="AG381" s="4">
        <v>1</v>
      </c>
      <c r="AH381" s="4">
        <v>0</v>
      </c>
      <c r="AI381" s="4">
        <v>1</v>
      </c>
      <c r="AJ381" s="4">
        <v>1</v>
      </c>
      <c r="AK381" s="4">
        <v>1</v>
      </c>
      <c r="AL381" s="4">
        <v>1</v>
      </c>
      <c r="AM381" s="4">
        <v>1</v>
      </c>
      <c r="AN381" s="4">
        <v>1</v>
      </c>
      <c r="AO381" s="4" t="s">
        <v>566</v>
      </c>
    </row>
    <row r="382" spans="1:41" hidden="1" x14ac:dyDescent="0.2">
      <c r="A382" s="13">
        <f t="shared" si="14"/>
        <v>4</v>
      </c>
      <c r="B382" s="13">
        <f t="shared" si="15"/>
        <v>1</v>
      </c>
      <c r="C382" s="13" t="str">
        <f>VLOOKUP(B382,Correspondance!$D$3:$E$14,2,FALSE)</f>
        <v>Janvier</v>
      </c>
      <c r="D382" s="15" t="str">
        <f>VLOOKUP(G382,Correspondance!$A$3:$B$11,2,FALSE)</f>
        <v>PHONE</v>
      </c>
      <c r="E382" s="1" t="s">
        <v>610</v>
      </c>
      <c r="F382" s="2" t="s">
        <v>169</v>
      </c>
      <c r="G382" s="3" t="s">
        <v>255</v>
      </c>
      <c r="H382" s="4" t="s">
        <v>356</v>
      </c>
      <c r="I382" s="4" t="s">
        <v>369</v>
      </c>
      <c r="J382" s="5" t="s">
        <v>730</v>
      </c>
      <c r="K382" s="6">
        <v>100</v>
      </c>
      <c r="L382" s="4" t="s">
        <v>756</v>
      </c>
      <c r="M382" s="4" t="s">
        <v>174</v>
      </c>
      <c r="N382" s="4" t="s">
        <v>46</v>
      </c>
      <c r="O382" s="4" t="s">
        <v>74</v>
      </c>
      <c r="P382" s="4" t="s">
        <v>757</v>
      </c>
      <c r="Q382" s="4" t="s">
        <v>49</v>
      </c>
      <c r="R382" s="4">
        <v>1</v>
      </c>
      <c r="S382" s="4">
        <v>1</v>
      </c>
      <c r="T382" s="4">
        <v>1</v>
      </c>
      <c r="U382" s="4">
        <v>1</v>
      </c>
      <c r="V382" s="4">
        <v>1</v>
      </c>
      <c r="W382" s="4">
        <v>1</v>
      </c>
      <c r="X382" s="4" t="s">
        <v>50</v>
      </c>
      <c r="Y382" s="4" t="s">
        <v>140</v>
      </c>
      <c r="Z382" s="4">
        <v>1</v>
      </c>
      <c r="AA382" s="4" t="s">
        <v>50</v>
      </c>
      <c r="AB382" s="4">
        <v>1</v>
      </c>
      <c r="AC382" s="4">
        <v>1</v>
      </c>
      <c r="AD382" s="4">
        <v>1</v>
      </c>
      <c r="AE382" s="4">
        <v>1</v>
      </c>
      <c r="AF382" s="4" t="s">
        <v>140</v>
      </c>
      <c r="AG382" s="4">
        <v>1</v>
      </c>
      <c r="AH382" s="4">
        <v>1</v>
      </c>
      <c r="AI382" s="4">
        <v>1</v>
      </c>
      <c r="AJ382" s="4">
        <v>1</v>
      </c>
      <c r="AK382" s="4">
        <v>1</v>
      </c>
      <c r="AL382" s="4">
        <v>1</v>
      </c>
      <c r="AM382" s="4">
        <v>1</v>
      </c>
      <c r="AN382" s="4">
        <v>1</v>
      </c>
      <c r="AO382" s="4" t="s">
        <v>566</v>
      </c>
    </row>
    <row r="383" spans="1:41" hidden="1" x14ac:dyDescent="0.2">
      <c r="A383" s="13">
        <f t="shared" si="14"/>
        <v>4</v>
      </c>
      <c r="B383" s="13">
        <f t="shared" si="15"/>
        <v>1</v>
      </c>
      <c r="C383" s="13" t="str">
        <f>VLOOKUP(B383,Correspondance!$D$3:$E$14,2,FALSE)</f>
        <v>Janvier</v>
      </c>
      <c r="D383" s="15" t="str">
        <f>VLOOKUP(G383,Correspondance!$A$3:$B$11,2,FALSE)</f>
        <v>PHONE</v>
      </c>
      <c r="E383" s="1" t="s">
        <v>610</v>
      </c>
      <c r="F383" s="2" t="s">
        <v>169</v>
      </c>
      <c r="G383" s="3" t="s">
        <v>255</v>
      </c>
      <c r="H383" s="4" t="s">
        <v>356</v>
      </c>
      <c r="I383" s="4" t="s">
        <v>369</v>
      </c>
      <c r="J383" s="5" t="s">
        <v>730</v>
      </c>
      <c r="K383" s="6">
        <v>100</v>
      </c>
      <c r="L383" s="4" t="s">
        <v>758</v>
      </c>
      <c r="M383" s="4" t="s">
        <v>365</v>
      </c>
      <c r="N383" s="4" t="s">
        <v>46</v>
      </c>
      <c r="O383" s="4" t="s">
        <v>74</v>
      </c>
      <c r="P383" s="4" t="s">
        <v>507</v>
      </c>
      <c r="Q383" s="4" t="s">
        <v>49</v>
      </c>
      <c r="R383" s="4">
        <v>1</v>
      </c>
      <c r="S383" s="4">
        <v>1</v>
      </c>
      <c r="T383" s="4">
        <v>1</v>
      </c>
      <c r="U383" s="4">
        <v>1</v>
      </c>
      <c r="V383" s="4">
        <v>1</v>
      </c>
      <c r="W383" s="4">
        <v>1</v>
      </c>
      <c r="X383" s="4" t="s">
        <v>50</v>
      </c>
      <c r="Y383" s="4" t="s">
        <v>140</v>
      </c>
      <c r="Z383" s="4">
        <v>1</v>
      </c>
      <c r="AA383" s="4" t="s">
        <v>126</v>
      </c>
      <c r="AB383" s="4">
        <v>1</v>
      </c>
      <c r="AC383" s="4">
        <v>1</v>
      </c>
      <c r="AD383" s="4">
        <v>1</v>
      </c>
      <c r="AE383" s="4">
        <v>1</v>
      </c>
      <c r="AF383" s="4" t="s">
        <v>140</v>
      </c>
      <c r="AG383" s="4">
        <v>1</v>
      </c>
      <c r="AH383" s="4">
        <v>1</v>
      </c>
      <c r="AI383" s="4">
        <v>1</v>
      </c>
      <c r="AJ383" s="4">
        <v>1</v>
      </c>
      <c r="AK383" s="4">
        <v>1</v>
      </c>
      <c r="AL383" s="4" t="s">
        <v>140</v>
      </c>
      <c r="AM383" s="4" t="s">
        <v>140</v>
      </c>
      <c r="AN383" s="4" t="s">
        <v>140</v>
      </c>
      <c r="AO383" s="4" t="s">
        <v>566</v>
      </c>
    </row>
    <row r="384" spans="1:41" hidden="1" x14ac:dyDescent="0.2">
      <c r="A384" s="13">
        <f t="shared" si="14"/>
        <v>4</v>
      </c>
      <c r="B384" s="13">
        <f t="shared" si="15"/>
        <v>1</v>
      </c>
      <c r="C384" s="13" t="str">
        <f>VLOOKUP(B384,Correspondance!$D$3:$E$14,2,FALSE)</f>
        <v>Janvier</v>
      </c>
      <c r="D384" s="15" t="str">
        <f>VLOOKUP(G384,Correspondance!$A$3:$B$11,2,FALSE)</f>
        <v>PHONE</v>
      </c>
      <c r="E384" s="1" t="s">
        <v>610</v>
      </c>
      <c r="F384" s="2" t="s">
        <v>169</v>
      </c>
      <c r="G384" s="3" t="s">
        <v>255</v>
      </c>
      <c r="H384" s="4" t="s">
        <v>290</v>
      </c>
      <c r="I384" s="4" t="s">
        <v>260</v>
      </c>
      <c r="J384" s="5" t="s">
        <v>57</v>
      </c>
      <c r="K384" s="6">
        <v>98</v>
      </c>
      <c r="L384" s="4" t="s">
        <v>759</v>
      </c>
      <c r="M384" s="4" t="s">
        <v>174</v>
      </c>
      <c r="N384" s="4" t="s">
        <v>46</v>
      </c>
      <c r="O384" s="4" t="s">
        <v>74</v>
      </c>
      <c r="P384" s="4" t="s">
        <v>760</v>
      </c>
      <c r="Q384" s="4" t="s">
        <v>49</v>
      </c>
      <c r="R384" s="4">
        <v>1</v>
      </c>
      <c r="S384" s="4">
        <v>1</v>
      </c>
      <c r="T384" s="4">
        <v>1</v>
      </c>
      <c r="U384" s="4">
        <v>1</v>
      </c>
      <c r="V384" s="4">
        <v>1</v>
      </c>
      <c r="W384" s="4">
        <v>1</v>
      </c>
      <c r="X384" s="4" t="s">
        <v>50</v>
      </c>
      <c r="Y384" s="4" t="s">
        <v>140</v>
      </c>
      <c r="Z384" s="4">
        <v>1</v>
      </c>
      <c r="AA384" s="4" t="s">
        <v>50</v>
      </c>
      <c r="AB384" s="4">
        <v>1</v>
      </c>
      <c r="AC384" s="4">
        <v>1</v>
      </c>
      <c r="AD384" s="4">
        <v>1</v>
      </c>
      <c r="AE384" s="4">
        <v>1</v>
      </c>
      <c r="AF384" s="4" t="s">
        <v>140</v>
      </c>
      <c r="AG384" s="4">
        <v>1</v>
      </c>
      <c r="AH384" s="4">
        <v>0</v>
      </c>
      <c r="AI384" s="4">
        <v>1</v>
      </c>
      <c r="AJ384" s="4">
        <v>1</v>
      </c>
      <c r="AK384" s="4">
        <v>1</v>
      </c>
      <c r="AL384" s="4">
        <v>1</v>
      </c>
      <c r="AM384" s="4">
        <v>1</v>
      </c>
      <c r="AN384" s="4">
        <v>1</v>
      </c>
      <c r="AO384" s="4" t="s">
        <v>615</v>
      </c>
    </row>
    <row r="385" spans="1:41" x14ac:dyDescent="0.2">
      <c r="A385" s="13">
        <f t="shared" si="14"/>
        <v>4</v>
      </c>
      <c r="B385" s="13">
        <f t="shared" si="15"/>
        <v>1</v>
      </c>
      <c r="C385" s="13" t="str">
        <f>VLOOKUP(B385,Correspondance!$D$3:$E$14,2,FALSE)</f>
        <v>Janvier</v>
      </c>
      <c r="D385" s="15" t="str">
        <f>VLOOKUP(G385,Correspondance!$A$3:$B$11,2,FALSE)</f>
        <v>PHONE</v>
      </c>
      <c r="E385" s="1" t="s">
        <v>610</v>
      </c>
      <c r="F385" s="2" t="s">
        <v>169</v>
      </c>
      <c r="G385" s="3" t="s">
        <v>255</v>
      </c>
      <c r="H385" s="4" t="s">
        <v>266</v>
      </c>
      <c r="I385" s="4" t="s">
        <v>267</v>
      </c>
      <c r="J385" s="5" t="s">
        <v>57</v>
      </c>
      <c r="K385" s="6">
        <v>77</v>
      </c>
      <c r="L385" s="4" t="s">
        <v>761</v>
      </c>
      <c r="M385" s="4" t="s">
        <v>215</v>
      </c>
      <c r="N385" s="4" t="s">
        <v>46</v>
      </c>
      <c r="O385" s="4" t="s">
        <v>47</v>
      </c>
      <c r="P385" s="4" t="s">
        <v>762</v>
      </c>
      <c r="Q385" s="4" t="s">
        <v>49</v>
      </c>
      <c r="R385" s="4">
        <v>1</v>
      </c>
      <c r="S385" s="4">
        <v>1</v>
      </c>
      <c r="T385" s="4">
        <v>1</v>
      </c>
      <c r="U385" s="4">
        <v>1</v>
      </c>
      <c r="V385" s="4">
        <v>1</v>
      </c>
      <c r="W385" s="4">
        <v>0</v>
      </c>
      <c r="X385" s="4" t="s">
        <v>50</v>
      </c>
      <c r="Y385" s="4" t="s">
        <v>140</v>
      </c>
      <c r="Z385" s="4">
        <v>1</v>
      </c>
      <c r="AA385" s="4" t="s">
        <v>50</v>
      </c>
      <c r="AB385" s="4">
        <v>1</v>
      </c>
      <c r="AC385" s="4">
        <v>0</v>
      </c>
      <c r="AD385" s="4">
        <v>1</v>
      </c>
      <c r="AE385" s="4">
        <v>1</v>
      </c>
      <c r="AF385" s="4" t="s">
        <v>140</v>
      </c>
      <c r="AG385" s="4">
        <v>1</v>
      </c>
      <c r="AH385" s="4">
        <v>0</v>
      </c>
      <c r="AI385" s="4">
        <v>1</v>
      </c>
      <c r="AJ385" s="4">
        <v>1</v>
      </c>
      <c r="AK385" s="4">
        <v>1</v>
      </c>
      <c r="AL385" s="4">
        <v>1</v>
      </c>
      <c r="AM385" s="4">
        <v>1</v>
      </c>
      <c r="AN385" s="4">
        <v>1</v>
      </c>
      <c r="AO385" s="4"/>
    </row>
    <row r="386" spans="1:41" hidden="1" x14ac:dyDescent="0.2">
      <c r="A386" s="13">
        <f t="shared" si="14"/>
        <v>4</v>
      </c>
      <c r="B386" s="13">
        <f t="shared" si="15"/>
        <v>1</v>
      </c>
      <c r="C386" s="13" t="str">
        <f>VLOOKUP(B386,Correspondance!$D$3:$E$14,2,FALSE)</f>
        <v>Janvier</v>
      </c>
      <c r="D386" s="15" t="str">
        <f>VLOOKUP(G386,Correspondance!$A$3:$B$11,2,FALSE)</f>
        <v>PHONE</v>
      </c>
      <c r="E386" s="1" t="s">
        <v>610</v>
      </c>
      <c r="F386" s="2" t="s">
        <v>169</v>
      </c>
      <c r="G386" s="3" t="s">
        <v>255</v>
      </c>
      <c r="H386" s="4" t="s">
        <v>266</v>
      </c>
      <c r="I386" s="4" t="s">
        <v>267</v>
      </c>
      <c r="J386" s="5" t="s">
        <v>57</v>
      </c>
      <c r="K386" s="6">
        <v>100</v>
      </c>
      <c r="L386" s="4" t="s">
        <v>763</v>
      </c>
      <c r="M386" s="4" t="s">
        <v>174</v>
      </c>
      <c r="N386" s="4" t="s">
        <v>46</v>
      </c>
      <c r="O386" s="4" t="s">
        <v>74</v>
      </c>
      <c r="P386" s="4" t="s">
        <v>757</v>
      </c>
      <c r="Q386" s="4" t="s">
        <v>49</v>
      </c>
      <c r="R386" s="4">
        <v>1</v>
      </c>
      <c r="S386" s="4">
        <v>1</v>
      </c>
      <c r="T386" s="4">
        <v>1</v>
      </c>
      <c r="U386" s="4">
        <v>1</v>
      </c>
      <c r="V386" s="4">
        <v>1</v>
      </c>
      <c r="W386" s="4">
        <v>1</v>
      </c>
      <c r="X386" s="4" t="s">
        <v>50</v>
      </c>
      <c r="Y386" s="4" t="s">
        <v>140</v>
      </c>
      <c r="Z386" s="4">
        <v>1</v>
      </c>
      <c r="AA386" s="4" t="s">
        <v>50</v>
      </c>
      <c r="AB386" s="4">
        <v>1</v>
      </c>
      <c r="AC386" s="4">
        <v>1</v>
      </c>
      <c r="AD386" s="4">
        <v>1</v>
      </c>
      <c r="AE386" s="4">
        <v>1</v>
      </c>
      <c r="AF386" s="4" t="s">
        <v>140</v>
      </c>
      <c r="AG386" s="4">
        <v>1</v>
      </c>
      <c r="AH386" s="4">
        <v>1</v>
      </c>
      <c r="AI386" s="4">
        <v>1</v>
      </c>
      <c r="AJ386" s="4">
        <v>1</v>
      </c>
      <c r="AK386" s="4">
        <v>1</v>
      </c>
      <c r="AL386" s="4">
        <v>1</v>
      </c>
      <c r="AM386" s="4">
        <v>1</v>
      </c>
      <c r="AN386" s="4">
        <v>1</v>
      </c>
      <c r="AO386" s="4" t="s">
        <v>566</v>
      </c>
    </row>
    <row r="387" spans="1:41" hidden="1" x14ac:dyDescent="0.2">
      <c r="A387" s="13">
        <f t="shared" si="14"/>
        <v>4</v>
      </c>
      <c r="B387" s="13">
        <f t="shared" si="15"/>
        <v>1</v>
      </c>
      <c r="C387" s="13" t="str">
        <f>VLOOKUP(B387,Correspondance!$D$3:$E$14,2,FALSE)</f>
        <v>Janvier</v>
      </c>
      <c r="D387" s="15" t="str">
        <f>VLOOKUP(G387,Correspondance!$A$3:$B$11,2,FALSE)</f>
        <v>PHONE</v>
      </c>
      <c r="E387" s="1" t="s">
        <v>610</v>
      </c>
      <c r="F387" s="2" t="s">
        <v>169</v>
      </c>
      <c r="G387" s="3" t="s">
        <v>255</v>
      </c>
      <c r="H387" s="4" t="s">
        <v>266</v>
      </c>
      <c r="I387" s="4" t="s">
        <v>267</v>
      </c>
      <c r="J387" s="5" t="s">
        <v>57</v>
      </c>
      <c r="K387" s="6">
        <v>100</v>
      </c>
      <c r="L387" s="4" t="s">
        <v>764</v>
      </c>
      <c r="M387" s="4" t="s">
        <v>174</v>
      </c>
      <c r="N387" s="4" t="s">
        <v>46</v>
      </c>
      <c r="O387" s="4" t="s">
        <v>74</v>
      </c>
      <c r="P387" s="4" t="s">
        <v>678</v>
      </c>
      <c r="Q387" s="4" t="s">
        <v>49</v>
      </c>
      <c r="R387" s="4">
        <v>1</v>
      </c>
      <c r="S387" s="4">
        <v>1</v>
      </c>
      <c r="T387" s="4">
        <v>1</v>
      </c>
      <c r="U387" s="4">
        <v>1</v>
      </c>
      <c r="V387" s="4">
        <v>1</v>
      </c>
      <c r="W387" s="4">
        <v>1</v>
      </c>
      <c r="X387" s="4" t="s">
        <v>50</v>
      </c>
      <c r="Y387" s="4" t="s">
        <v>140</v>
      </c>
      <c r="Z387" s="4">
        <v>1</v>
      </c>
      <c r="AA387" s="4" t="s">
        <v>50</v>
      </c>
      <c r="AB387" s="4">
        <v>1</v>
      </c>
      <c r="AC387" s="4">
        <v>1</v>
      </c>
      <c r="AD387" s="4">
        <v>1</v>
      </c>
      <c r="AE387" s="4">
        <v>1</v>
      </c>
      <c r="AF387" s="4" t="s">
        <v>140</v>
      </c>
      <c r="AG387" s="4">
        <v>1</v>
      </c>
      <c r="AH387" s="4">
        <v>1</v>
      </c>
      <c r="AI387" s="4">
        <v>1</v>
      </c>
      <c r="AJ387" s="4">
        <v>1</v>
      </c>
      <c r="AK387" s="4">
        <v>1</v>
      </c>
      <c r="AL387" s="4">
        <v>1</v>
      </c>
      <c r="AM387" s="4">
        <v>1</v>
      </c>
      <c r="AN387" s="4">
        <v>1</v>
      </c>
      <c r="AO387" s="4" t="s">
        <v>566</v>
      </c>
    </row>
    <row r="388" spans="1:41" hidden="1" x14ac:dyDescent="0.2">
      <c r="A388" s="13">
        <f t="shared" si="14"/>
        <v>4</v>
      </c>
      <c r="B388" s="13">
        <f t="shared" si="15"/>
        <v>1</v>
      </c>
      <c r="C388" s="13" t="str">
        <f>VLOOKUP(B388,Correspondance!$D$3:$E$14,2,FALSE)</f>
        <v>Janvier</v>
      </c>
      <c r="D388" s="15" t="str">
        <f>VLOOKUP(G388,Correspondance!$A$3:$B$11,2,FALSE)</f>
        <v>PHONE</v>
      </c>
      <c r="E388" s="1" t="s">
        <v>610</v>
      </c>
      <c r="F388" s="2" t="s">
        <v>169</v>
      </c>
      <c r="G388" s="3" t="s">
        <v>255</v>
      </c>
      <c r="H388" s="4" t="s">
        <v>266</v>
      </c>
      <c r="I388" s="4" t="s">
        <v>267</v>
      </c>
      <c r="J388" s="5" t="s">
        <v>57</v>
      </c>
      <c r="K388" s="6">
        <v>100</v>
      </c>
      <c r="L388" s="4" t="s">
        <v>765</v>
      </c>
      <c r="M388" s="4" t="s">
        <v>766</v>
      </c>
      <c r="N388" s="4" t="s">
        <v>46</v>
      </c>
      <c r="O388" s="4" t="s">
        <v>47</v>
      </c>
      <c r="P388" s="4" t="s">
        <v>767</v>
      </c>
      <c r="Q388" s="4" t="s">
        <v>49</v>
      </c>
      <c r="R388" s="4">
        <v>1</v>
      </c>
      <c r="S388" s="4">
        <v>1</v>
      </c>
      <c r="T388" s="4">
        <v>1</v>
      </c>
      <c r="U388" s="4">
        <v>1</v>
      </c>
      <c r="V388" s="4">
        <v>1</v>
      </c>
      <c r="W388" s="4">
        <v>1</v>
      </c>
      <c r="X388" s="4" t="s">
        <v>50</v>
      </c>
      <c r="Y388" s="4" t="s">
        <v>140</v>
      </c>
      <c r="Z388" s="4">
        <v>1</v>
      </c>
      <c r="AA388" s="4" t="s">
        <v>50</v>
      </c>
      <c r="AB388" s="4">
        <v>1</v>
      </c>
      <c r="AC388" s="4">
        <v>1</v>
      </c>
      <c r="AD388" s="4">
        <v>1</v>
      </c>
      <c r="AE388" s="4">
        <v>1</v>
      </c>
      <c r="AF388" s="4" t="s">
        <v>140</v>
      </c>
      <c r="AG388" s="4">
        <v>1</v>
      </c>
      <c r="AH388" s="4">
        <v>1</v>
      </c>
      <c r="AI388" s="4">
        <v>1</v>
      </c>
      <c r="AJ388" s="4">
        <v>1</v>
      </c>
      <c r="AK388" s="4">
        <v>1</v>
      </c>
      <c r="AL388" s="4">
        <v>1</v>
      </c>
      <c r="AM388" s="4">
        <v>1</v>
      </c>
      <c r="AN388" s="4">
        <v>1</v>
      </c>
      <c r="AO388" s="4" t="s">
        <v>566</v>
      </c>
    </row>
    <row r="389" spans="1:41" hidden="1" x14ac:dyDescent="0.2">
      <c r="A389" s="13">
        <f t="shared" si="14"/>
        <v>4</v>
      </c>
      <c r="B389" s="13">
        <f t="shared" si="15"/>
        <v>1</v>
      </c>
      <c r="C389" s="13" t="str">
        <f>VLOOKUP(B389,Correspondance!$D$3:$E$14,2,FALSE)</f>
        <v>Janvier</v>
      </c>
      <c r="D389" s="15" t="str">
        <f>VLOOKUP(G389,Correspondance!$A$3:$B$11,2,FALSE)</f>
        <v>PHONE</v>
      </c>
      <c r="E389" s="1" t="s">
        <v>610</v>
      </c>
      <c r="F389" s="2" t="s">
        <v>169</v>
      </c>
      <c r="G389" s="3" t="s">
        <v>255</v>
      </c>
      <c r="H389" s="4" t="s">
        <v>272</v>
      </c>
      <c r="I389" s="4" t="s">
        <v>273</v>
      </c>
      <c r="J389" s="5" t="s">
        <v>57</v>
      </c>
      <c r="K389" s="6">
        <v>95</v>
      </c>
      <c r="L389" s="4" t="s">
        <v>768</v>
      </c>
      <c r="M389" s="4" t="s">
        <v>174</v>
      </c>
      <c r="N389" s="4" t="s">
        <v>46</v>
      </c>
      <c r="O389" s="4" t="s">
        <v>74</v>
      </c>
      <c r="P389" s="4" t="s">
        <v>769</v>
      </c>
      <c r="Q389" s="4" t="s">
        <v>49</v>
      </c>
      <c r="R389" s="4">
        <v>1</v>
      </c>
      <c r="S389" s="4">
        <v>1</v>
      </c>
      <c r="T389" s="4">
        <v>1</v>
      </c>
      <c r="U389" s="4">
        <v>1</v>
      </c>
      <c r="V389" s="4">
        <v>1</v>
      </c>
      <c r="W389" s="4">
        <v>1</v>
      </c>
      <c r="X389" s="4" t="s">
        <v>50</v>
      </c>
      <c r="Y389" s="4" t="s">
        <v>140</v>
      </c>
      <c r="Z389" s="4">
        <v>1</v>
      </c>
      <c r="AA389" s="4" t="s">
        <v>50</v>
      </c>
      <c r="AB389" s="4">
        <v>1</v>
      </c>
      <c r="AC389" s="4">
        <v>1</v>
      </c>
      <c r="AD389" s="4">
        <v>1</v>
      </c>
      <c r="AE389" s="4">
        <v>0</v>
      </c>
      <c r="AF389" s="4" t="s">
        <v>140</v>
      </c>
      <c r="AG389" s="4">
        <v>1</v>
      </c>
      <c r="AH389" s="4">
        <v>1</v>
      </c>
      <c r="AI389" s="4">
        <v>1</v>
      </c>
      <c r="AJ389" s="4">
        <v>1</v>
      </c>
      <c r="AK389" s="4">
        <v>1</v>
      </c>
      <c r="AL389" s="4">
        <v>1</v>
      </c>
      <c r="AM389" s="4">
        <v>1</v>
      </c>
      <c r="AN389" s="4">
        <v>1</v>
      </c>
      <c r="AO389" s="4"/>
    </row>
    <row r="390" spans="1:41" ht="25.5" x14ac:dyDescent="0.2">
      <c r="A390" s="13">
        <f t="shared" si="14"/>
        <v>4</v>
      </c>
      <c r="B390" s="13">
        <f t="shared" si="15"/>
        <v>1</v>
      </c>
      <c r="C390" s="13" t="str">
        <f>VLOOKUP(B390,Correspondance!$D$3:$E$14,2,FALSE)</f>
        <v>Janvier</v>
      </c>
      <c r="D390" s="15" t="str">
        <f>VLOOKUP(G390,Correspondance!$A$3:$B$11,2,FALSE)</f>
        <v>PHONE</v>
      </c>
      <c r="E390" s="1" t="s">
        <v>610</v>
      </c>
      <c r="F390" s="2" t="s">
        <v>169</v>
      </c>
      <c r="G390" s="3" t="s">
        <v>255</v>
      </c>
      <c r="H390" s="4" t="s">
        <v>522</v>
      </c>
      <c r="I390" s="4" t="s">
        <v>523</v>
      </c>
      <c r="J390" s="5" t="s">
        <v>57</v>
      </c>
      <c r="K390" s="6">
        <v>67</v>
      </c>
      <c r="L390" s="4" t="s">
        <v>770</v>
      </c>
      <c r="M390" s="4" t="s">
        <v>174</v>
      </c>
      <c r="N390" s="4" t="s">
        <v>46</v>
      </c>
      <c r="O390" s="4" t="s">
        <v>74</v>
      </c>
      <c r="P390" s="4" t="s">
        <v>771</v>
      </c>
      <c r="Q390" s="4" t="s">
        <v>49</v>
      </c>
      <c r="R390" s="4">
        <v>0</v>
      </c>
      <c r="S390" s="4">
        <v>1</v>
      </c>
      <c r="T390" s="4">
        <v>1</v>
      </c>
      <c r="U390" s="4">
        <v>1</v>
      </c>
      <c r="V390" s="4">
        <v>1</v>
      </c>
      <c r="W390" s="4">
        <v>0</v>
      </c>
      <c r="X390" s="4" t="s">
        <v>50</v>
      </c>
      <c r="Y390" s="4" t="s">
        <v>140</v>
      </c>
      <c r="Z390" s="4">
        <v>1</v>
      </c>
      <c r="AA390" s="4" t="s">
        <v>50</v>
      </c>
      <c r="AB390" s="4">
        <v>1</v>
      </c>
      <c r="AC390" s="4">
        <v>0</v>
      </c>
      <c r="AD390" s="4">
        <v>1</v>
      </c>
      <c r="AE390" s="4">
        <v>1</v>
      </c>
      <c r="AF390" s="4" t="s">
        <v>140</v>
      </c>
      <c r="AG390" s="4">
        <v>1</v>
      </c>
      <c r="AH390" s="4" t="s">
        <v>140</v>
      </c>
      <c r="AI390" s="4">
        <v>1</v>
      </c>
      <c r="AJ390" s="4">
        <v>1</v>
      </c>
      <c r="AK390" s="4">
        <v>1</v>
      </c>
      <c r="AL390" s="4" t="s">
        <v>140</v>
      </c>
      <c r="AM390" s="4" t="s">
        <v>140</v>
      </c>
      <c r="AN390" s="4" t="s">
        <v>140</v>
      </c>
      <c r="AO390" s="4" t="s">
        <v>566</v>
      </c>
    </row>
    <row r="391" spans="1:41" hidden="1" x14ac:dyDescent="0.2">
      <c r="A391" s="13">
        <f t="shared" si="14"/>
        <v>4</v>
      </c>
      <c r="B391" s="13">
        <f t="shared" si="15"/>
        <v>1</v>
      </c>
      <c r="C391" s="13" t="str">
        <f>VLOOKUP(B391,Correspondance!$D$3:$E$14,2,FALSE)</f>
        <v>Janvier</v>
      </c>
      <c r="D391" s="15" t="str">
        <f>VLOOKUP(G391,Correspondance!$A$3:$B$11,2,FALSE)</f>
        <v>PHONE</v>
      </c>
      <c r="E391" s="1" t="s">
        <v>772</v>
      </c>
      <c r="F391" s="2" t="s">
        <v>169</v>
      </c>
      <c r="G391" s="3" t="s">
        <v>359</v>
      </c>
      <c r="H391" s="4" t="s">
        <v>517</v>
      </c>
      <c r="I391" s="4" t="s">
        <v>518</v>
      </c>
      <c r="J391" s="5" t="s">
        <v>57</v>
      </c>
      <c r="K391" s="6">
        <v>100</v>
      </c>
      <c r="L391" s="4" t="s">
        <v>773</v>
      </c>
      <c r="M391" s="4" t="s">
        <v>174</v>
      </c>
      <c r="N391" s="4" t="s">
        <v>46</v>
      </c>
      <c r="O391" s="4" t="s">
        <v>175</v>
      </c>
      <c r="P391" s="4" t="s">
        <v>774</v>
      </c>
      <c r="Q391" s="4" t="s">
        <v>49</v>
      </c>
      <c r="R391" s="4">
        <v>1</v>
      </c>
      <c r="S391" s="4">
        <v>1</v>
      </c>
      <c r="T391" s="4">
        <v>1</v>
      </c>
      <c r="U391" s="4">
        <v>1</v>
      </c>
      <c r="V391" s="4">
        <v>1</v>
      </c>
      <c r="W391" s="4">
        <v>1</v>
      </c>
      <c r="X391" s="4" t="s">
        <v>50</v>
      </c>
      <c r="Y391" s="4" t="s">
        <v>140</v>
      </c>
      <c r="Z391" s="4">
        <v>1</v>
      </c>
      <c r="AA391" s="4" t="s">
        <v>50</v>
      </c>
      <c r="AB391" s="4">
        <v>1</v>
      </c>
      <c r="AC391" s="4">
        <v>1</v>
      </c>
      <c r="AD391" s="4">
        <v>1</v>
      </c>
      <c r="AE391" s="4">
        <v>1</v>
      </c>
      <c r="AF391" s="4" t="s">
        <v>140</v>
      </c>
      <c r="AG391" s="4">
        <v>1</v>
      </c>
      <c r="AH391" s="4" t="s">
        <v>140</v>
      </c>
      <c r="AI391" s="4">
        <v>1</v>
      </c>
      <c r="AJ391" s="4">
        <v>1</v>
      </c>
      <c r="AK391" s="4">
        <v>1</v>
      </c>
      <c r="AL391" s="4">
        <v>1</v>
      </c>
      <c r="AM391" s="4">
        <v>1</v>
      </c>
      <c r="AN391" s="4">
        <v>1</v>
      </c>
      <c r="AO391" s="4"/>
    </row>
    <row r="392" spans="1:41" hidden="1" x14ac:dyDescent="0.2">
      <c r="A392" s="13">
        <f t="shared" si="14"/>
        <v>4</v>
      </c>
      <c r="B392" s="13">
        <f t="shared" si="15"/>
        <v>1</v>
      </c>
      <c r="C392" s="13" t="str">
        <f>VLOOKUP(B392,Correspondance!$D$3:$E$14,2,FALSE)</f>
        <v>Janvier</v>
      </c>
      <c r="D392" s="15" t="str">
        <f>VLOOKUP(G392,Correspondance!$A$3:$B$11,2,FALSE)</f>
        <v>PHONE</v>
      </c>
      <c r="E392" s="1" t="s">
        <v>772</v>
      </c>
      <c r="F392" s="2" t="s">
        <v>169</v>
      </c>
      <c r="G392" s="3" t="s">
        <v>359</v>
      </c>
      <c r="H392" s="4" t="s">
        <v>519</v>
      </c>
      <c r="I392" s="4" t="s">
        <v>520</v>
      </c>
      <c r="J392" s="5" t="s">
        <v>57</v>
      </c>
      <c r="K392" s="6">
        <v>82.4</v>
      </c>
      <c r="L392" s="4" t="s">
        <v>775</v>
      </c>
      <c r="M392" s="4" t="s">
        <v>174</v>
      </c>
      <c r="N392" s="4" t="s">
        <v>46</v>
      </c>
      <c r="O392" s="4" t="s">
        <v>47</v>
      </c>
      <c r="P392" s="4" t="s">
        <v>776</v>
      </c>
      <c r="Q392" s="4" t="s">
        <v>49</v>
      </c>
      <c r="R392" s="4">
        <v>1</v>
      </c>
      <c r="S392" s="4">
        <v>0</v>
      </c>
      <c r="T392" s="4">
        <v>1</v>
      </c>
      <c r="U392" s="4">
        <v>1</v>
      </c>
      <c r="V392" s="4">
        <v>1</v>
      </c>
      <c r="W392" s="4">
        <v>1</v>
      </c>
      <c r="X392" s="4" t="s">
        <v>50</v>
      </c>
      <c r="Y392" s="4" t="s">
        <v>140</v>
      </c>
      <c r="Z392" s="4">
        <v>1</v>
      </c>
      <c r="AA392" s="4" t="s">
        <v>50</v>
      </c>
      <c r="AB392" s="4">
        <v>1</v>
      </c>
      <c r="AC392" s="4">
        <v>1</v>
      </c>
      <c r="AD392" s="4">
        <v>0</v>
      </c>
      <c r="AE392" s="4">
        <v>1</v>
      </c>
      <c r="AF392" s="4" t="s">
        <v>140</v>
      </c>
      <c r="AG392" s="4">
        <v>1</v>
      </c>
      <c r="AH392" s="4">
        <v>1</v>
      </c>
      <c r="AI392" s="4">
        <v>1</v>
      </c>
      <c r="AJ392" s="4">
        <v>1</v>
      </c>
      <c r="AK392" s="4">
        <v>1</v>
      </c>
      <c r="AL392" s="4" t="s">
        <v>140</v>
      </c>
      <c r="AM392" s="4" t="s">
        <v>140</v>
      </c>
      <c r="AN392" s="4" t="s">
        <v>140</v>
      </c>
      <c r="AO392" s="4"/>
    </row>
    <row r="393" spans="1:41" hidden="1" x14ac:dyDescent="0.2">
      <c r="A393" s="13">
        <f t="shared" si="14"/>
        <v>4</v>
      </c>
      <c r="B393" s="13">
        <f t="shared" si="15"/>
        <v>1</v>
      </c>
      <c r="C393" s="13" t="str">
        <f>VLOOKUP(B393,Correspondance!$D$3:$E$14,2,FALSE)</f>
        <v>Janvier</v>
      </c>
      <c r="D393" s="15" t="str">
        <f>VLOOKUP(G393,Correspondance!$A$3:$B$11,2,FALSE)</f>
        <v>PHONE</v>
      </c>
      <c r="E393" s="1" t="s">
        <v>772</v>
      </c>
      <c r="F393" s="2" t="s">
        <v>169</v>
      </c>
      <c r="G393" s="3" t="s">
        <v>359</v>
      </c>
      <c r="H393" s="4" t="s">
        <v>519</v>
      </c>
      <c r="I393" s="4" t="s">
        <v>520</v>
      </c>
      <c r="J393" s="5" t="s">
        <v>57</v>
      </c>
      <c r="K393" s="6">
        <v>100</v>
      </c>
      <c r="L393" s="4" t="s">
        <v>777</v>
      </c>
      <c r="M393" s="4" t="s">
        <v>174</v>
      </c>
      <c r="N393" s="4" t="s">
        <v>46</v>
      </c>
      <c r="O393" s="4" t="s">
        <v>175</v>
      </c>
      <c r="P393" s="4" t="s">
        <v>678</v>
      </c>
      <c r="Q393" s="4" t="s">
        <v>49</v>
      </c>
      <c r="R393" s="4">
        <v>1</v>
      </c>
      <c r="S393" s="4">
        <v>1</v>
      </c>
      <c r="T393" s="4">
        <v>1</v>
      </c>
      <c r="U393" s="4">
        <v>1</v>
      </c>
      <c r="V393" s="4">
        <v>1</v>
      </c>
      <c r="W393" s="4">
        <v>1</v>
      </c>
      <c r="X393" s="4" t="s">
        <v>50</v>
      </c>
      <c r="Y393" s="4" t="s">
        <v>140</v>
      </c>
      <c r="Z393" s="4">
        <v>1</v>
      </c>
      <c r="AA393" s="4" t="s">
        <v>50</v>
      </c>
      <c r="AB393" s="4">
        <v>1</v>
      </c>
      <c r="AC393" s="4">
        <v>1</v>
      </c>
      <c r="AD393" s="4">
        <v>1</v>
      </c>
      <c r="AE393" s="4">
        <v>1</v>
      </c>
      <c r="AF393" s="4" t="s">
        <v>140</v>
      </c>
      <c r="AG393" s="4" t="s">
        <v>140</v>
      </c>
      <c r="AH393" s="4" t="s">
        <v>140</v>
      </c>
      <c r="AI393" s="4">
        <v>1</v>
      </c>
      <c r="AJ393" s="4" t="s">
        <v>140</v>
      </c>
      <c r="AK393" s="4">
        <v>1</v>
      </c>
      <c r="AL393" s="4">
        <v>1</v>
      </c>
      <c r="AM393" s="4" t="s">
        <v>140</v>
      </c>
      <c r="AN393" s="4">
        <v>1</v>
      </c>
      <c r="AO393" s="4"/>
    </row>
    <row r="394" spans="1:41" hidden="1" x14ac:dyDescent="0.2">
      <c r="A394" s="13">
        <f t="shared" si="14"/>
        <v>4</v>
      </c>
      <c r="B394" s="13">
        <f t="shared" si="15"/>
        <v>1</v>
      </c>
      <c r="C394" s="13" t="str">
        <f>VLOOKUP(B394,Correspondance!$D$3:$E$14,2,FALSE)</f>
        <v>Janvier</v>
      </c>
      <c r="D394" s="15" t="str">
        <f>VLOOKUP(G394,Correspondance!$A$3:$B$11,2,FALSE)</f>
        <v>PHONE</v>
      </c>
      <c r="E394" s="1" t="s">
        <v>772</v>
      </c>
      <c r="F394" s="2" t="s">
        <v>169</v>
      </c>
      <c r="G394" s="3" t="s">
        <v>359</v>
      </c>
      <c r="H394" s="4" t="s">
        <v>519</v>
      </c>
      <c r="I394" s="4" t="s">
        <v>520</v>
      </c>
      <c r="J394" s="5" t="s">
        <v>57</v>
      </c>
      <c r="K394" s="6">
        <v>100</v>
      </c>
      <c r="L394" s="4" t="s">
        <v>778</v>
      </c>
      <c r="M394" s="4" t="s">
        <v>190</v>
      </c>
      <c r="N394" s="4" t="s">
        <v>46</v>
      </c>
      <c r="O394" s="4" t="s">
        <v>47</v>
      </c>
      <c r="P394" s="4" t="s">
        <v>779</v>
      </c>
      <c r="Q394" s="4" t="s">
        <v>49</v>
      </c>
      <c r="R394" s="4">
        <v>1</v>
      </c>
      <c r="S394" s="4">
        <v>1</v>
      </c>
      <c r="T394" s="4">
        <v>1</v>
      </c>
      <c r="U394" s="4">
        <v>1</v>
      </c>
      <c r="V394" s="4">
        <v>1</v>
      </c>
      <c r="W394" s="4">
        <v>1</v>
      </c>
      <c r="X394" s="4" t="s">
        <v>50</v>
      </c>
      <c r="Y394" s="4" t="s">
        <v>140</v>
      </c>
      <c r="Z394" s="4">
        <v>1</v>
      </c>
      <c r="AA394" s="4" t="s">
        <v>50</v>
      </c>
      <c r="AB394" s="4">
        <v>1</v>
      </c>
      <c r="AC394" s="4">
        <v>1</v>
      </c>
      <c r="AD394" s="4">
        <v>1</v>
      </c>
      <c r="AE394" s="4">
        <v>1</v>
      </c>
      <c r="AF394" s="4" t="s">
        <v>140</v>
      </c>
      <c r="AG394" s="4">
        <v>1</v>
      </c>
      <c r="AH394" s="4">
        <v>1</v>
      </c>
      <c r="AI394" s="4">
        <v>1</v>
      </c>
      <c r="AJ394" s="4">
        <v>1</v>
      </c>
      <c r="AK394" s="4">
        <v>1</v>
      </c>
      <c r="AL394" s="4">
        <v>1</v>
      </c>
      <c r="AM394" s="4">
        <v>1</v>
      </c>
      <c r="AN394" s="4">
        <v>1</v>
      </c>
      <c r="AO394" s="4"/>
    </row>
    <row r="395" spans="1:41" x14ac:dyDescent="0.2">
      <c r="A395" s="13">
        <f t="shared" si="14"/>
        <v>4</v>
      </c>
      <c r="B395" s="13">
        <f t="shared" si="15"/>
        <v>1</v>
      </c>
      <c r="C395" s="13" t="str">
        <f>VLOOKUP(B395,Correspondance!$D$3:$E$14,2,FALSE)</f>
        <v>Janvier</v>
      </c>
      <c r="D395" s="15" t="str">
        <f>VLOOKUP(G395,Correspondance!$A$3:$B$11,2,FALSE)</f>
        <v>PHONE</v>
      </c>
      <c r="E395" s="1" t="s">
        <v>772</v>
      </c>
      <c r="F395" s="2" t="s">
        <v>169</v>
      </c>
      <c r="G395" s="3" t="s">
        <v>359</v>
      </c>
      <c r="H395" s="4" t="s">
        <v>510</v>
      </c>
      <c r="I395" s="4" t="s">
        <v>511</v>
      </c>
      <c r="J395" s="5" t="s">
        <v>57</v>
      </c>
      <c r="K395" s="6">
        <v>68.656716417910445</v>
      </c>
      <c r="L395" s="4" t="s">
        <v>780</v>
      </c>
      <c r="M395" s="4" t="s">
        <v>174</v>
      </c>
      <c r="N395" s="4" t="s">
        <v>46</v>
      </c>
      <c r="O395" s="4" t="s">
        <v>74</v>
      </c>
      <c r="P395" s="4" t="s">
        <v>361</v>
      </c>
      <c r="Q395" s="4" t="s">
        <v>49</v>
      </c>
      <c r="R395" s="4">
        <v>1</v>
      </c>
      <c r="S395" s="4" t="s">
        <v>140</v>
      </c>
      <c r="T395" s="4" t="s">
        <v>140</v>
      </c>
      <c r="U395" s="4">
        <v>1</v>
      </c>
      <c r="V395" s="4">
        <v>1</v>
      </c>
      <c r="W395" s="4">
        <v>1</v>
      </c>
      <c r="X395" s="4" t="s">
        <v>50</v>
      </c>
      <c r="Y395" s="4" t="s">
        <v>140</v>
      </c>
      <c r="Z395" s="4">
        <v>1</v>
      </c>
      <c r="AA395" s="4" t="s">
        <v>50</v>
      </c>
      <c r="AB395" s="4">
        <v>1</v>
      </c>
      <c r="AC395" s="4">
        <v>0</v>
      </c>
      <c r="AD395" s="4">
        <v>1</v>
      </c>
      <c r="AE395" s="4" t="s">
        <v>140</v>
      </c>
      <c r="AF395" s="4" t="s">
        <v>140</v>
      </c>
      <c r="AG395" s="4" t="s">
        <v>140</v>
      </c>
      <c r="AH395" s="4">
        <v>0</v>
      </c>
      <c r="AI395" s="4" t="s">
        <v>140</v>
      </c>
      <c r="AJ395" s="4" t="s">
        <v>140</v>
      </c>
      <c r="AK395" s="4" t="s">
        <v>140</v>
      </c>
      <c r="AL395" s="4" t="s">
        <v>140</v>
      </c>
      <c r="AM395" s="4" t="s">
        <v>140</v>
      </c>
      <c r="AN395" s="4" t="s">
        <v>140</v>
      </c>
      <c r="AO395" s="4"/>
    </row>
    <row r="396" spans="1:41" hidden="1" x14ac:dyDescent="0.2">
      <c r="A396" s="13">
        <f t="shared" si="14"/>
        <v>4</v>
      </c>
      <c r="B396" s="13">
        <f t="shared" si="15"/>
        <v>1</v>
      </c>
      <c r="C396" s="13" t="str">
        <f>VLOOKUP(B396,Correspondance!$D$3:$E$14,2,FALSE)</f>
        <v>Janvier</v>
      </c>
      <c r="D396" s="15" t="str">
        <f>VLOOKUP(G396,Correspondance!$A$3:$B$11,2,FALSE)</f>
        <v>PHONE</v>
      </c>
      <c r="E396" s="1" t="s">
        <v>772</v>
      </c>
      <c r="F396" s="2" t="s">
        <v>169</v>
      </c>
      <c r="G396" s="3" t="s">
        <v>359</v>
      </c>
      <c r="H396" s="4" t="s">
        <v>510</v>
      </c>
      <c r="I396" s="4" t="s">
        <v>511</v>
      </c>
      <c r="J396" s="5" t="s">
        <v>57</v>
      </c>
      <c r="K396" s="6">
        <v>95.6</v>
      </c>
      <c r="L396" s="4" t="s">
        <v>781</v>
      </c>
      <c r="M396" s="4" t="s">
        <v>237</v>
      </c>
      <c r="N396" s="4" t="s">
        <v>46</v>
      </c>
      <c r="O396" s="4" t="s">
        <v>175</v>
      </c>
      <c r="P396" s="4" t="s">
        <v>782</v>
      </c>
      <c r="Q396" s="4" t="s">
        <v>49</v>
      </c>
      <c r="R396" s="4">
        <v>1</v>
      </c>
      <c r="S396" s="4">
        <v>1</v>
      </c>
      <c r="T396" s="4">
        <v>1</v>
      </c>
      <c r="U396" s="4">
        <v>1</v>
      </c>
      <c r="V396" s="4">
        <v>1</v>
      </c>
      <c r="W396" s="4">
        <v>1</v>
      </c>
      <c r="X396" s="4" t="s">
        <v>50</v>
      </c>
      <c r="Y396" s="4" t="s">
        <v>140</v>
      </c>
      <c r="Z396" s="4">
        <v>1</v>
      </c>
      <c r="AA396" s="4" t="s">
        <v>50</v>
      </c>
      <c r="AB396" s="4">
        <v>1</v>
      </c>
      <c r="AC396" s="4">
        <v>1</v>
      </c>
      <c r="AD396" s="4">
        <v>1</v>
      </c>
      <c r="AE396" s="4">
        <v>1</v>
      </c>
      <c r="AF396" s="4" t="s">
        <v>140</v>
      </c>
      <c r="AG396" s="4">
        <v>1</v>
      </c>
      <c r="AH396" s="4">
        <v>1</v>
      </c>
      <c r="AI396" s="4">
        <v>0</v>
      </c>
      <c r="AJ396" s="4">
        <v>1</v>
      </c>
      <c r="AK396" s="4">
        <v>1</v>
      </c>
      <c r="AL396" s="4">
        <v>1</v>
      </c>
      <c r="AM396" s="4" t="s">
        <v>140</v>
      </c>
      <c r="AN396" s="4">
        <v>1</v>
      </c>
      <c r="AO396" s="4"/>
    </row>
    <row r="397" spans="1:41" hidden="1" x14ac:dyDescent="0.2">
      <c r="A397" s="13">
        <f t="shared" si="14"/>
        <v>4</v>
      </c>
      <c r="B397" s="13">
        <f t="shared" si="15"/>
        <v>1</v>
      </c>
      <c r="C397" s="13" t="str">
        <f>VLOOKUP(B397,Correspondance!$D$3:$E$14,2,FALSE)</f>
        <v>Janvier</v>
      </c>
      <c r="D397" s="15" t="str">
        <f>VLOOKUP(G397,Correspondance!$A$3:$B$11,2,FALSE)</f>
        <v>PHONE</v>
      </c>
      <c r="E397" s="1" t="s">
        <v>772</v>
      </c>
      <c r="F397" s="2" t="s">
        <v>169</v>
      </c>
      <c r="G397" s="3" t="s">
        <v>255</v>
      </c>
      <c r="H397" s="4" t="s">
        <v>289</v>
      </c>
      <c r="I397" s="4" t="s">
        <v>256</v>
      </c>
      <c r="J397" s="5" t="s">
        <v>57</v>
      </c>
      <c r="K397" s="6">
        <v>100</v>
      </c>
      <c r="L397" s="4" t="s">
        <v>783</v>
      </c>
      <c r="M397" s="4" t="s">
        <v>174</v>
      </c>
      <c r="N397" s="4" t="s">
        <v>46</v>
      </c>
      <c r="O397" s="4" t="s">
        <v>74</v>
      </c>
      <c r="P397" s="4" t="s">
        <v>577</v>
      </c>
      <c r="Q397" s="4" t="s">
        <v>49</v>
      </c>
      <c r="R397" s="4">
        <v>1</v>
      </c>
      <c r="S397" s="4">
        <v>1</v>
      </c>
      <c r="T397" s="4">
        <v>1</v>
      </c>
      <c r="U397" s="4">
        <v>1</v>
      </c>
      <c r="V397" s="4">
        <v>1</v>
      </c>
      <c r="W397" s="4">
        <v>1</v>
      </c>
      <c r="X397" s="4" t="s">
        <v>50</v>
      </c>
      <c r="Y397" s="4" t="s">
        <v>140</v>
      </c>
      <c r="Z397" s="4">
        <v>1</v>
      </c>
      <c r="AA397" s="4" t="s">
        <v>50</v>
      </c>
      <c r="AB397" s="4">
        <v>1</v>
      </c>
      <c r="AC397" s="4">
        <v>1</v>
      </c>
      <c r="AD397" s="4">
        <v>1</v>
      </c>
      <c r="AE397" s="4">
        <v>1</v>
      </c>
      <c r="AF397" s="4" t="s">
        <v>140</v>
      </c>
      <c r="AG397" s="4">
        <v>1</v>
      </c>
      <c r="AH397" s="4">
        <v>1</v>
      </c>
      <c r="AI397" s="4">
        <v>1</v>
      </c>
      <c r="AJ397" s="4">
        <v>1</v>
      </c>
      <c r="AK397" s="4">
        <v>1</v>
      </c>
      <c r="AL397" s="4">
        <v>1</v>
      </c>
      <c r="AM397" s="4">
        <v>1</v>
      </c>
      <c r="AN397" s="4">
        <v>1</v>
      </c>
      <c r="AO397" s="4"/>
    </row>
    <row r="398" spans="1:41" hidden="1" x14ac:dyDescent="0.2">
      <c r="A398" s="13">
        <f t="shared" si="14"/>
        <v>4</v>
      </c>
      <c r="B398" s="13">
        <f t="shared" si="15"/>
        <v>1</v>
      </c>
      <c r="C398" s="13" t="str">
        <f>VLOOKUP(B398,Correspondance!$D$3:$E$14,2,FALSE)</f>
        <v>Janvier</v>
      </c>
      <c r="D398" s="15" t="str">
        <f>VLOOKUP(G398,Correspondance!$A$3:$B$11,2,FALSE)</f>
        <v>PHONE</v>
      </c>
      <c r="E398" s="1" t="s">
        <v>772</v>
      </c>
      <c r="F398" s="2" t="s">
        <v>169</v>
      </c>
      <c r="G398" s="3" t="s">
        <v>255</v>
      </c>
      <c r="H398" s="4" t="s">
        <v>289</v>
      </c>
      <c r="I398" s="4" t="s">
        <v>256</v>
      </c>
      <c r="J398" s="5" t="s">
        <v>57</v>
      </c>
      <c r="K398" s="6">
        <v>100</v>
      </c>
      <c r="L398" s="4" t="s">
        <v>784</v>
      </c>
      <c r="M398" s="4" t="s">
        <v>785</v>
      </c>
      <c r="N398" s="4" t="s">
        <v>46</v>
      </c>
      <c r="O398" s="4" t="s">
        <v>47</v>
      </c>
      <c r="P398" s="4" t="s">
        <v>786</v>
      </c>
      <c r="Q398" s="4" t="s">
        <v>49</v>
      </c>
      <c r="R398" s="4">
        <v>1</v>
      </c>
      <c r="S398" s="4">
        <v>1</v>
      </c>
      <c r="T398" s="4">
        <v>1</v>
      </c>
      <c r="U398" s="4">
        <v>1</v>
      </c>
      <c r="V398" s="4">
        <v>1</v>
      </c>
      <c r="W398" s="4">
        <v>1</v>
      </c>
      <c r="X398" s="4" t="s">
        <v>50</v>
      </c>
      <c r="Y398" s="4" t="s">
        <v>140</v>
      </c>
      <c r="Z398" s="4">
        <v>1</v>
      </c>
      <c r="AA398" s="4" t="s">
        <v>50</v>
      </c>
      <c r="AB398" s="4">
        <v>1</v>
      </c>
      <c r="AC398" s="4">
        <v>1</v>
      </c>
      <c r="AD398" s="4">
        <v>1</v>
      </c>
      <c r="AE398" s="4">
        <v>1</v>
      </c>
      <c r="AF398" s="4" t="s">
        <v>140</v>
      </c>
      <c r="AG398" s="4">
        <v>1</v>
      </c>
      <c r="AH398" s="4">
        <v>1</v>
      </c>
      <c r="AI398" s="4">
        <v>1</v>
      </c>
      <c r="AJ398" s="4">
        <v>1</v>
      </c>
      <c r="AK398" s="4">
        <v>1</v>
      </c>
      <c r="AL398" s="4">
        <v>1</v>
      </c>
      <c r="AM398" s="4">
        <v>1</v>
      </c>
      <c r="AN398" s="4">
        <v>1</v>
      </c>
      <c r="AO398" s="4"/>
    </row>
    <row r="399" spans="1:41" hidden="1" x14ac:dyDescent="0.2">
      <c r="A399" s="13">
        <f t="shared" si="14"/>
        <v>4</v>
      </c>
      <c r="B399" s="13">
        <f t="shared" si="15"/>
        <v>1</v>
      </c>
      <c r="C399" s="13" t="str">
        <f>VLOOKUP(B399,Correspondance!$D$3:$E$14,2,FALSE)</f>
        <v>Janvier</v>
      </c>
      <c r="D399" s="15" t="str">
        <f>VLOOKUP(G399,Correspondance!$A$3:$B$11,2,FALSE)</f>
        <v>PHONE</v>
      </c>
      <c r="E399" s="1" t="s">
        <v>772</v>
      </c>
      <c r="F399" s="2" t="s">
        <v>169</v>
      </c>
      <c r="G399" s="3" t="s">
        <v>255</v>
      </c>
      <c r="H399" s="4" t="s">
        <v>289</v>
      </c>
      <c r="I399" s="4" t="s">
        <v>256</v>
      </c>
      <c r="J399" s="5" t="s">
        <v>57</v>
      </c>
      <c r="K399" s="6">
        <v>100</v>
      </c>
      <c r="L399" s="4" t="s">
        <v>787</v>
      </c>
      <c r="M399" s="4" t="s">
        <v>525</v>
      </c>
      <c r="N399" s="4" t="s">
        <v>46</v>
      </c>
      <c r="O399" s="4" t="s">
        <v>47</v>
      </c>
      <c r="P399" s="4" t="s">
        <v>539</v>
      </c>
      <c r="Q399" s="4" t="s">
        <v>49</v>
      </c>
      <c r="R399" s="4">
        <v>1</v>
      </c>
      <c r="S399" s="4">
        <v>1</v>
      </c>
      <c r="T399" s="4">
        <v>1</v>
      </c>
      <c r="U399" s="4">
        <v>1</v>
      </c>
      <c r="V399" s="4">
        <v>1</v>
      </c>
      <c r="W399" s="4">
        <v>1</v>
      </c>
      <c r="X399" s="4" t="s">
        <v>50</v>
      </c>
      <c r="Y399" s="4" t="s">
        <v>140</v>
      </c>
      <c r="Z399" s="4">
        <v>1</v>
      </c>
      <c r="AA399" s="4" t="s">
        <v>50</v>
      </c>
      <c r="AB399" s="4">
        <v>1</v>
      </c>
      <c r="AC399" s="4">
        <v>1</v>
      </c>
      <c r="AD399" s="4">
        <v>1</v>
      </c>
      <c r="AE399" s="4">
        <v>1</v>
      </c>
      <c r="AF399" s="4" t="s">
        <v>140</v>
      </c>
      <c r="AG399" s="4">
        <v>1</v>
      </c>
      <c r="AH399" s="4">
        <v>1</v>
      </c>
      <c r="AI399" s="4">
        <v>1</v>
      </c>
      <c r="AJ399" s="4">
        <v>1</v>
      </c>
      <c r="AK399" s="4">
        <v>1</v>
      </c>
      <c r="AL399" s="4">
        <v>1</v>
      </c>
      <c r="AM399" s="4">
        <v>1</v>
      </c>
      <c r="AN399" s="4">
        <v>1</v>
      </c>
      <c r="AO399" s="4"/>
    </row>
    <row r="400" spans="1:41" hidden="1" x14ac:dyDescent="0.2">
      <c r="A400" s="13">
        <f t="shared" si="14"/>
        <v>4</v>
      </c>
      <c r="B400" s="13">
        <f t="shared" si="15"/>
        <v>1</v>
      </c>
      <c r="C400" s="13" t="str">
        <f>VLOOKUP(B400,Correspondance!$D$3:$E$14,2,FALSE)</f>
        <v>Janvier</v>
      </c>
      <c r="D400" s="15" t="str">
        <f>VLOOKUP(G400,Correspondance!$A$3:$B$11,2,FALSE)</f>
        <v>PHONE</v>
      </c>
      <c r="E400" s="1" t="s">
        <v>772</v>
      </c>
      <c r="F400" s="2" t="s">
        <v>169</v>
      </c>
      <c r="G400" s="3" t="s">
        <v>255</v>
      </c>
      <c r="H400" s="4" t="s">
        <v>289</v>
      </c>
      <c r="I400" s="4" t="s">
        <v>256</v>
      </c>
      <c r="J400" s="5" t="s">
        <v>57</v>
      </c>
      <c r="K400" s="6">
        <v>100</v>
      </c>
      <c r="L400" s="4" t="s">
        <v>788</v>
      </c>
      <c r="M400" s="4" t="s">
        <v>789</v>
      </c>
      <c r="N400" s="4" t="s">
        <v>46</v>
      </c>
      <c r="O400" s="4" t="s">
        <v>47</v>
      </c>
      <c r="P400" s="4" t="s">
        <v>507</v>
      </c>
      <c r="Q400" s="4" t="s">
        <v>49</v>
      </c>
      <c r="R400" s="4">
        <v>1</v>
      </c>
      <c r="S400" s="4">
        <v>1</v>
      </c>
      <c r="T400" s="4">
        <v>1</v>
      </c>
      <c r="U400" s="4">
        <v>1</v>
      </c>
      <c r="V400" s="4">
        <v>1</v>
      </c>
      <c r="W400" s="4">
        <v>1</v>
      </c>
      <c r="X400" s="4" t="s">
        <v>50</v>
      </c>
      <c r="Y400" s="4" t="s">
        <v>140</v>
      </c>
      <c r="Z400" s="4">
        <v>1</v>
      </c>
      <c r="AA400" s="4" t="s">
        <v>50</v>
      </c>
      <c r="AB400" s="4">
        <v>1</v>
      </c>
      <c r="AC400" s="4">
        <v>1</v>
      </c>
      <c r="AD400" s="4">
        <v>1</v>
      </c>
      <c r="AE400" s="4">
        <v>1</v>
      </c>
      <c r="AF400" s="4" t="s">
        <v>140</v>
      </c>
      <c r="AG400" s="4">
        <v>1</v>
      </c>
      <c r="AH400" s="4">
        <v>1</v>
      </c>
      <c r="AI400" s="4">
        <v>1</v>
      </c>
      <c r="AJ400" s="4">
        <v>1</v>
      </c>
      <c r="AK400" s="4">
        <v>1</v>
      </c>
      <c r="AL400" s="4">
        <v>1</v>
      </c>
      <c r="AM400" s="4">
        <v>1</v>
      </c>
      <c r="AN400" s="4">
        <v>1</v>
      </c>
      <c r="AO400" s="4"/>
    </row>
  </sheetData>
  <autoFilter ref="A1:AO400">
    <filterColumn colId="28">
      <filters>
        <filter val="0"/>
      </filters>
    </filterColumn>
  </autoFilter>
  <pageMargins left="0.78740157480314965" right="0.78740157480314965" top="0.78740157480314965" bottom="0.79781811023622051" header="0.78740157480314965" footer="0.78740157480314965"/>
  <pageSetup paperSize="9" orientation="portrait" verticalDpi="0" r:id="rId1"/>
  <headerFooter alignWithMargins="0">
    <oddFooter>&amp;L&amp;C&amp;R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171450</xdr:colOff>
                    <xdr:row>0</xdr:row>
                    <xdr:rowOff>180975</xdr:rowOff>
                  </from>
                  <to>
                    <xdr:col>4</xdr:col>
                    <xdr:colOff>409575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3:M8"/>
  <sheetViews>
    <sheetView zoomScale="130" zoomScaleNormal="130" workbookViewId="0">
      <selection activeCell="J7" sqref="J7"/>
    </sheetView>
  </sheetViews>
  <sheetFormatPr baseColWidth="10" defaultRowHeight="12.75" x14ac:dyDescent="0.2"/>
  <cols>
    <col min="1" max="1" width="21.140625" bestFit="1" customWidth="1"/>
    <col min="2" max="2" width="8.140625" bestFit="1" customWidth="1"/>
    <col min="3" max="3" width="3" bestFit="1" customWidth="1"/>
    <col min="4" max="4" width="8.140625" bestFit="1" customWidth="1"/>
    <col min="5" max="5" width="3" bestFit="1" customWidth="1"/>
    <col min="6" max="6" width="8.140625" bestFit="1" customWidth="1"/>
    <col min="7" max="7" width="3" bestFit="1" customWidth="1"/>
    <col min="8" max="8" width="8.140625" bestFit="1" customWidth="1"/>
    <col min="9" max="9" width="3" bestFit="1" customWidth="1"/>
    <col min="10" max="10" width="13.28515625" customWidth="1"/>
    <col min="11" max="11" width="7.5703125" customWidth="1"/>
    <col min="12" max="12" width="13.28515625" customWidth="1"/>
    <col min="13" max="13" width="7.5703125" customWidth="1"/>
    <col min="14" max="14" width="21.85546875" customWidth="1"/>
    <col min="15" max="15" width="20.85546875" customWidth="1"/>
    <col min="16" max="16" width="23.140625" customWidth="1"/>
    <col min="17" max="24" width="24" bestFit="1" customWidth="1"/>
    <col min="25" max="25" width="21.85546875" customWidth="1"/>
    <col min="26" max="26" width="20.85546875" customWidth="1"/>
    <col min="27" max="27" width="23.140625" customWidth="1"/>
    <col min="28" max="46" width="24" bestFit="1" customWidth="1"/>
    <col min="47" max="47" width="13.140625" bestFit="1" customWidth="1"/>
  </cols>
  <sheetData>
    <row r="3" spans="1:13" s="12" customFormat="1" ht="114" x14ac:dyDescent="0.2">
      <c r="B3" s="121" t="s">
        <v>1395</v>
      </c>
      <c r="L3"/>
      <c r="M3"/>
    </row>
    <row r="4" spans="1:13" x14ac:dyDescent="0.2">
      <c r="A4" s="12"/>
      <c r="B4" t="s">
        <v>74</v>
      </c>
      <c r="D4" t="s">
        <v>99</v>
      </c>
      <c r="F4" t="s">
        <v>175</v>
      </c>
      <c r="H4" t="s">
        <v>47</v>
      </c>
      <c r="J4" s="14" t="s">
        <v>1396</v>
      </c>
      <c r="K4" s="14" t="s">
        <v>1398</v>
      </c>
    </row>
    <row r="5" spans="1:13" s="14" customFormat="1" x14ac:dyDescent="0.2">
      <c r="A5" s="122" t="s">
        <v>424</v>
      </c>
      <c r="B5" s="14" t="s">
        <v>1397</v>
      </c>
      <c r="C5" s="14" t="s">
        <v>1399</v>
      </c>
      <c r="D5" s="14" t="s">
        <v>1397</v>
      </c>
      <c r="E5" s="14" t="s">
        <v>1399</v>
      </c>
      <c r="F5" s="14" t="s">
        <v>1397</v>
      </c>
      <c r="G5" s="14" t="s">
        <v>1399</v>
      </c>
      <c r="H5" s="14" t="s">
        <v>1397</v>
      </c>
      <c r="I5" s="14" t="s">
        <v>1399</v>
      </c>
      <c r="L5"/>
      <c r="M5"/>
    </row>
    <row r="6" spans="1:13" x14ac:dyDescent="0.2">
      <c r="A6" s="10" t="s">
        <v>411</v>
      </c>
      <c r="B6" s="107">
        <v>20</v>
      </c>
      <c r="C6" s="109">
        <v>96.102835820895535</v>
      </c>
      <c r="D6" s="107">
        <v>48</v>
      </c>
      <c r="E6" s="109">
        <v>98.662500000000009</v>
      </c>
      <c r="F6" s="107">
        <v>20</v>
      </c>
      <c r="G6" s="109">
        <v>97.319642857142853</v>
      </c>
      <c r="H6" s="107">
        <v>34</v>
      </c>
      <c r="I6" s="109">
        <v>95.661419878296144</v>
      </c>
      <c r="J6" s="107">
        <v>122</v>
      </c>
      <c r="K6" s="109">
        <v>97.1863758149413</v>
      </c>
    </row>
    <row r="7" spans="1:13" x14ac:dyDescent="0.2">
      <c r="A7" s="10" t="s">
        <v>412</v>
      </c>
      <c r="B7" s="107">
        <v>22</v>
      </c>
      <c r="C7" s="109">
        <v>95.187028493894161</v>
      </c>
      <c r="D7" s="107">
        <v>29</v>
      </c>
      <c r="E7" s="109">
        <v>97.776551724137931</v>
      </c>
      <c r="F7" s="107">
        <v>23</v>
      </c>
      <c r="G7" s="109">
        <v>95.405465838509315</v>
      </c>
      <c r="H7" s="107">
        <v>30</v>
      </c>
      <c r="I7" s="109">
        <v>96.574000000000012</v>
      </c>
      <c r="J7" s="107">
        <v>104</v>
      </c>
      <c r="K7" s="109">
        <v>96.357503280301771</v>
      </c>
    </row>
    <row r="8" spans="1:13" x14ac:dyDescent="0.2">
      <c r="A8" s="10" t="s">
        <v>141</v>
      </c>
      <c r="B8" s="107">
        <v>42</v>
      </c>
      <c r="C8" s="109">
        <v>95.623127221037677</v>
      </c>
      <c r="D8" s="107">
        <v>77</v>
      </c>
      <c r="E8" s="109">
        <v>98.328831168831158</v>
      </c>
      <c r="F8" s="107">
        <v>43</v>
      </c>
      <c r="G8" s="109">
        <v>96.295780730897008</v>
      </c>
      <c r="H8" s="107">
        <v>64</v>
      </c>
      <c r="I8" s="109">
        <v>96.089191810344829</v>
      </c>
      <c r="J8" s="107">
        <v>226</v>
      </c>
      <c r="K8" s="109">
        <v>96.804947745903632</v>
      </c>
    </row>
  </sheetData>
  <pageMargins left="0.7" right="0.7" top="0.75" bottom="0.75" header="0.3" footer="0.3"/>
  <pageSetup paperSize="9" orientation="portrait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Y172"/>
  <sheetViews>
    <sheetView workbookViewId="0">
      <selection activeCell="H24" sqref="H24"/>
    </sheetView>
  </sheetViews>
  <sheetFormatPr baseColWidth="10" defaultRowHeight="12.75" x14ac:dyDescent="0.2"/>
  <cols>
    <col min="1" max="1" width="30.42578125" style="8" customWidth="1"/>
    <col min="2" max="2" width="7.85546875" style="8" customWidth="1"/>
    <col min="3" max="24" width="5.7109375" style="8" customWidth="1"/>
    <col min="25" max="25" width="16.85546875" style="8" customWidth="1"/>
    <col min="26" max="27" width="5.7109375" style="8" customWidth="1"/>
    <col min="28" max="28" width="4.7109375" style="8" customWidth="1"/>
    <col min="29" max="29" width="35.140625" style="8" customWidth="1"/>
    <col min="30" max="30" width="23.85546875" style="8" customWidth="1"/>
    <col min="31" max="31" width="23.85546875" style="8" bestFit="1" customWidth="1"/>
    <col min="32" max="32" width="23.85546875" style="8" customWidth="1"/>
    <col min="33" max="33" width="16.85546875" style="8" customWidth="1"/>
    <col min="34" max="34" width="25.85546875" style="8" customWidth="1"/>
    <col min="35" max="35" width="5" style="8" customWidth="1"/>
    <col min="36" max="36" width="3" style="8" customWidth="1"/>
    <col min="37" max="37" width="6" style="8" customWidth="1"/>
    <col min="38" max="38" width="3" style="8" customWidth="1"/>
    <col min="39" max="39" width="5" style="8" customWidth="1"/>
    <col min="40" max="40" width="6" style="8" customWidth="1"/>
    <col min="41" max="41" width="4" style="8" customWidth="1"/>
    <col min="42" max="42" width="12.5703125" style="8" customWidth="1"/>
    <col min="43" max="43" width="12.5703125" style="8" bestFit="1" customWidth="1"/>
    <col min="44" max="16384" width="11.42578125" style="8"/>
  </cols>
  <sheetData>
    <row r="1" spans="1:25" x14ac:dyDescent="0.2">
      <c r="A1"/>
      <c r="B1"/>
    </row>
    <row r="2" spans="1:25" x14ac:dyDescent="0.2">
      <c r="A2"/>
      <c r="B2"/>
    </row>
    <row r="4" spans="1:25" x14ac:dyDescent="0.2">
      <c r="A4"/>
      <c r="B4" s="9" t="s">
        <v>351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</row>
    <row r="5" spans="1:25" ht="363" x14ac:dyDescent="0.2">
      <c r="A5" s="9" t="s">
        <v>424</v>
      </c>
      <c r="B5" s="12" t="s">
        <v>433</v>
      </c>
      <c r="C5" s="12" t="s">
        <v>439</v>
      </c>
      <c r="D5" s="12" t="s">
        <v>437</v>
      </c>
      <c r="E5" s="12" t="s">
        <v>430</v>
      </c>
      <c r="F5" s="12" t="s">
        <v>447</v>
      </c>
      <c r="G5" s="12" t="s">
        <v>434</v>
      </c>
      <c r="H5" s="12" t="s">
        <v>450</v>
      </c>
      <c r="I5" s="12" t="s">
        <v>451</v>
      </c>
      <c r="J5" s="12" t="s">
        <v>431</v>
      </c>
      <c r="K5" s="12" t="s">
        <v>452</v>
      </c>
      <c r="L5" s="12" t="s">
        <v>448</v>
      </c>
      <c r="M5" s="12" t="s">
        <v>438</v>
      </c>
      <c r="N5" s="12" t="s">
        <v>435</v>
      </c>
      <c r="O5" s="12" t="s">
        <v>440</v>
      </c>
      <c r="P5" s="12" t="s">
        <v>436</v>
      </c>
      <c r="Q5" s="12" t="s">
        <v>441</v>
      </c>
      <c r="R5" s="12" t="s">
        <v>432</v>
      </c>
      <c r="S5" s="12" t="s">
        <v>442</v>
      </c>
      <c r="T5" s="12" t="s">
        <v>449</v>
      </c>
      <c r="U5" s="12" t="s">
        <v>443</v>
      </c>
      <c r="V5" s="12" t="s">
        <v>444</v>
      </c>
      <c r="W5" s="12" t="s">
        <v>445</v>
      </c>
      <c r="X5" s="12" t="s">
        <v>446</v>
      </c>
      <c r="Y5" t="s">
        <v>453</v>
      </c>
    </row>
    <row r="6" spans="1:25" x14ac:dyDescent="0.2">
      <c r="A6" s="10" t="s">
        <v>144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48"/>
    </row>
    <row r="7" spans="1:25" x14ac:dyDescent="0.2">
      <c r="A7" s="35" t="s">
        <v>144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48"/>
    </row>
    <row r="8" spans="1:25" x14ac:dyDescent="0.2">
      <c r="A8" s="10" t="s">
        <v>410</v>
      </c>
      <c r="B8" s="11">
        <v>0.96511627906976749</v>
      </c>
      <c r="C8" s="11">
        <v>0.97484276729559749</v>
      </c>
      <c r="D8" s="11">
        <v>0.98136645962732916</v>
      </c>
      <c r="E8" s="11">
        <v>1</v>
      </c>
      <c r="F8" s="11">
        <v>0.96531791907514453</v>
      </c>
      <c r="G8" s="11">
        <v>0.97674418604651159</v>
      </c>
      <c r="H8" s="11">
        <v>0.97333333333333338</v>
      </c>
      <c r="I8" s="11">
        <v>1</v>
      </c>
      <c r="J8" s="11">
        <v>0.97916666666666663</v>
      </c>
      <c r="K8" s="11">
        <v>0.96</v>
      </c>
      <c r="L8" s="11">
        <v>0.97687861271676302</v>
      </c>
      <c r="M8" s="11">
        <v>0.85882352941176465</v>
      </c>
      <c r="N8" s="11">
        <v>0.96932515337423308</v>
      </c>
      <c r="O8" s="11">
        <v>0.96855345911949686</v>
      </c>
      <c r="P8" s="11">
        <v>1</v>
      </c>
      <c r="Q8" s="11">
        <v>1</v>
      </c>
      <c r="R8" s="11">
        <v>0.84313725490196079</v>
      </c>
      <c r="S8" s="11">
        <v>0.94339622641509435</v>
      </c>
      <c r="T8" s="11">
        <v>0.98717948717948723</v>
      </c>
      <c r="U8" s="11">
        <v>0.98550724637681164</v>
      </c>
      <c r="V8" s="11">
        <v>1</v>
      </c>
      <c r="W8" s="11">
        <v>1</v>
      </c>
      <c r="X8" s="11">
        <v>1</v>
      </c>
      <c r="Y8" s="48">
        <v>95.427330774138511</v>
      </c>
    </row>
    <row r="9" spans="1:25" x14ac:dyDescent="0.2">
      <c r="A9" s="35" t="s">
        <v>356</v>
      </c>
      <c r="B9" s="11">
        <v>1</v>
      </c>
      <c r="C9" s="11">
        <v>1</v>
      </c>
      <c r="D9" s="11">
        <v>1</v>
      </c>
      <c r="E9" s="11">
        <v>1</v>
      </c>
      <c r="F9" s="11">
        <v>0.9</v>
      </c>
      <c r="G9" s="11">
        <v>1</v>
      </c>
      <c r="H9" s="11">
        <v>1</v>
      </c>
      <c r="I9" s="11" t="s">
        <v>51</v>
      </c>
      <c r="J9" s="11">
        <v>1</v>
      </c>
      <c r="K9" s="11">
        <v>0.5714285714285714</v>
      </c>
      <c r="L9" s="11">
        <v>1</v>
      </c>
      <c r="M9" s="11">
        <v>0.9</v>
      </c>
      <c r="N9" s="11">
        <v>1</v>
      </c>
      <c r="O9" s="11">
        <v>0.8</v>
      </c>
      <c r="P9" s="11" t="s">
        <v>51</v>
      </c>
      <c r="Q9" s="11">
        <v>1</v>
      </c>
      <c r="R9" s="11">
        <v>0.7142857142857143</v>
      </c>
      <c r="S9" s="11">
        <v>0.9</v>
      </c>
      <c r="T9" s="11">
        <v>1</v>
      </c>
      <c r="U9" s="11">
        <v>0.88888888888888884</v>
      </c>
      <c r="V9" s="11">
        <v>1</v>
      </c>
      <c r="W9" s="11">
        <v>1</v>
      </c>
      <c r="X9" s="11">
        <v>1</v>
      </c>
      <c r="Y9" s="48">
        <v>96.035714285714292</v>
      </c>
    </row>
    <row r="10" spans="1:25" x14ac:dyDescent="0.2">
      <c r="A10" s="35" t="s">
        <v>96</v>
      </c>
      <c r="B10" s="11">
        <v>0.875</v>
      </c>
      <c r="C10" s="11">
        <v>0.8571428571428571</v>
      </c>
      <c r="D10" s="11">
        <v>0.875</v>
      </c>
      <c r="E10" s="11">
        <v>1</v>
      </c>
      <c r="F10" s="11">
        <v>1</v>
      </c>
      <c r="G10" s="11">
        <v>1</v>
      </c>
      <c r="H10" s="11">
        <v>1</v>
      </c>
      <c r="I10" s="11">
        <v>1</v>
      </c>
      <c r="J10" s="11">
        <v>1</v>
      </c>
      <c r="K10" s="11">
        <v>1</v>
      </c>
      <c r="L10" s="11">
        <v>0.875</v>
      </c>
      <c r="M10" s="11">
        <v>0.75</v>
      </c>
      <c r="N10" s="11">
        <v>1</v>
      </c>
      <c r="O10" s="11">
        <v>1</v>
      </c>
      <c r="P10" s="11" t="s">
        <v>51</v>
      </c>
      <c r="Q10" s="11">
        <v>1</v>
      </c>
      <c r="R10" s="11">
        <v>1</v>
      </c>
      <c r="S10" s="11">
        <v>0.8571428571428571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48">
        <v>88.153888888888886</v>
      </c>
    </row>
    <row r="11" spans="1:25" x14ac:dyDescent="0.2">
      <c r="A11" s="35" t="s">
        <v>197</v>
      </c>
      <c r="B11" s="11">
        <v>1</v>
      </c>
      <c r="C11" s="11">
        <v>1</v>
      </c>
      <c r="D11" s="11">
        <v>1</v>
      </c>
      <c r="E11" s="11">
        <v>1</v>
      </c>
      <c r="F11" s="11">
        <v>1</v>
      </c>
      <c r="G11" s="11">
        <v>1</v>
      </c>
      <c r="H11" s="11">
        <v>1</v>
      </c>
      <c r="I11" s="11">
        <v>1</v>
      </c>
      <c r="J11" s="11" t="s">
        <v>51</v>
      </c>
      <c r="K11" s="11">
        <v>0.75</v>
      </c>
      <c r="L11" s="11">
        <v>1</v>
      </c>
      <c r="M11" s="11">
        <v>1</v>
      </c>
      <c r="N11" s="11">
        <v>1</v>
      </c>
      <c r="O11" s="11">
        <v>1</v>
      </c>
      <c r="P11" s="11" t="s">
        <v>51</v>
      </c>
      <c r="Q11" s="11">
        <v>1</v>
      </c>
      <c r="R11" s="11">
        <v>1</v>
      </c>
      <c r="S11" s="11">
        <v>0.75</v>
      </c>
      <c r="T11" s="11">
        <v>1</v>
      </c>
      <c r="U11" s="11">
        <v>1</v>
      </c>
      <c r="V11" s="11" t="s">
        <v>51</v>
      </c>
      <c r="W11" s="11" t="s">
        <v>51</v>
      </c>
      <c r="X11" s="11">
        <v>1</v>
      </c>
      <c r="Y11" s="48">
        <v>98.68</v>
      </c>
    </row>
    <row r="12" spans="1:25" x14ac:dyDescent="0.2">
      <c r="A12" s="35" t="s">
        <v>290</v>
      </c>
      <c r="B12" s="11">
        <v>1</v>
      </c>
      <c r="C12" s="11">
        <v>1</v>
      </c>
      <c r="D12" s="11">
        <v>1</v>
      </c>
      <c r="E12" s="11">
        <v>1</v>
      </c>
      <c r="F12" s="11">
        <v>1</v>
      </c>
      <c r="G12" s="11">
        <v>1</v>
      </c>
      <c r="H12" s="11" t="s">
        <v>51</v>
      </c>
      <c r="I12" s="11" t="s">
        <v>51</v>
      </c>
      <c r="J12" s="11">
        <v>1</v>
      </c>
      <c r="K12" s="11" t="s">
        <v>51</v>
      </c>
      <c r="L12" s="11">
        <v>1</v>
      </c>
      <c r="M12" s="11">
        <v>1</v>
      </c>
      <c r="N12" s="11">
        <v>1</v>
      </c>
      <c r="O12" s="11">
        <v>1</v>
      </c>
      <c r="P12" s="11" t="s">
        <v>51</v>
      </c>
      <c r="Q12" s="11">
        <v>1</v>
      </c>
      <c r="R12" s="11">
        <v>0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48">
        <v>98</v>
      </c>
    </row>
    <row r="13" spans="1:25" x14ac:dyDescent="0.2">
      <c r="A13" s="35" t="s">
        <v>201</v>
      </c>
      <c r="B13" s="11">
        <v>1</v>
      </c>
      <c r="C13" s="11">
        <v>1</v>
      </c>
      <c r="D13" s="11">
        <v>1</v>
      </c>
      <c r="E13" s="11">
        <v>1</v>
      </c>
      <c r="F13" s="11">
        <v>1</v>
      </c>
      <c r="G13" s="11">
        <v>1</v>
      </c>
      <c r="H13" s="11">
        <v>1</v>
      </c>
      <c r="I13" s="11" t="s">
        <v>51</v>
      </c>
      <c r="J13" s="11">
        <v>1</v>
      </c>
      <c r="K13" s="11">
        <v>1</v>
      </c>
      <c r="L13" s="11">
        <v>1</v>
      </c>
      <c r="M13" s="11">
        <v>1</v>
      </c>
      <c r="N13" s="11">
        <v>1</v>
      </c>
      <c r="O13" s="11">
        <v>1</v>
      </c>
      <c r="P13" s="11" t="s">
        <v>51</v>
      </c>
      <c r="Q13" s="11">
        <v>1</v>
      </c>
      <c r="R13" s="11">
        <v>1</v>
      </c>
      <c r="S13" s="11">
        <v>0.8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48">
        <v>99.12</v>
      </c>
    </row>
    <row r="14" spans="1:25" x14ac:dyDescent="0.2">
      <c r="A14" s="35" t="s">
        <v>247</v>
      </c>
      <c r="B14" s="11">
        <v>1</v>
      </c>
      <c r="C14" s="11">
        <v>1</v>
      </c>
      <c r="D14" s="11">
        <v>1</v>
      </c>
      <c r="E14" s="11">
        <v>1</v>
      </c>
      <c r="F14" s="11">
        <v>1</v>
      </c>
      <c r="G14" s="11">
        <v>1</v>
      </c>
      <c r="H14" s="11">
        <v>1</v>
      </c>
      <c r="I14" s="11">
        <v>1</v>
      </c>
      <c r="J14" s="11" t="s">
        <v>51</v>
      </c>
      <c r="K14" s="11">
        <v>0.75</v>
      </c>
      <c r="L14" s="11">
        <v>0.75</v>
      </c>
      <c r="M14" s="11">
        <v>1</v>
      </c>
      <c r="N14" s="11">
        <v>1</v>
      </c>
      <c r="O14" s="11">
        <v>1</v>
      </c>
      <c r="P14" s="11">
        <v>1</v>
      </c>
      <c r="Q14" s="11">
        <v>1</v>
      </c>
      <c r="R14" s="11" t="s">
        <v>51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48">
        <v>99</v>
      </c>
    </row>
    <row r="15" spans="1:25" x14ac:dyDescent="0.2">
      <c r="A15" s="35" t="s">
        <v>233</v>
      </c>
      <c r="B15" s="11">
        <v>1</v>
      </c>
      <c r="C15" s="11">
        <v>0.8</v>
      </c>
      <c r="D15" s="11">
        <v>1</v>
      </c>
      <c r="E15" s="11">
        <v>1</v>
      </c>
      <c r="F15" s="11">
        <v>1</v>
      </c>
      <c r="G15" s="11">
        <v>1</v>
      </c>
      <c r="H15" s="11">
        <v>1</v>
      </c>
      <c r="I15" s="11">
        <v>1</v>
      </c>
      <c r="J15" s="11">
        <v>1</v>
      </c>
      <c r="K15" s="11">
        <v>1</v>
      </c>
      <c r="L15" s="11">
        <v>1</v>
      </c>
      <c r="M15" s="11">
        <v>1</v>
      </c>
      <c r="N15" s="11">
        <v>1</v>
      </c>
      <c r="O15" s="11">
        <v>1</v>
      </c>
      <c r="P15" s="11">
        <v>1</v>
      </c>
      <c r="Q15" s="11">
        <v>1</v>
      </c>
      <c r="R15" s="11">
        <v>0.66666666666666663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48">
        <v>98.08</v>
      </c>
    </row>
    <row r="16" spans="1:25" x14ac:dyDescent="0.2">
      <c r="A16" s="35" t="s">
        <v>323</v>
      </c>
      <c r="B16" s="11">
        <v>1</v>
      </c>
      <c r="C16" s="11">
        <v>1</v>
      </c>
      <c r="D16" s="11">
        <v>1</v>
      </c>
      <c r="E16" s="11">
        <v>1</v>
      </c>
      <c r="F16" s="11">
        <v>1</v>
      </c>
      <c r="G16" s="11">
        <v>1</v>
      </c>
      <c r="H16" s="11">
        <v>1</v>
      </c>
      <c r="I16" s="11" t="s">
        <v>51</v>
      </c>
      <c r="J16" s="11">
        <v>1</v>
      </c>
      <c r="K16" s="11">
        <v>1</v>
      </c>
      <c r="L16" s="11">
        <v>1</v>
      </c>
      <c r="M16" s="11">
        <v>1</v>
      </c>
      <c r="N16" s="11">
        <v>1</v>
      </c>
      <c r="O16" s="11">
        <v>1</v>
      </c>
      <c r="P16" s="11" t="s">
        <v>51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48">
        <v>100</v>
      </c>
    </row>
    <row r="17" spans="1:25" x14ac:dyDescent="0.2">
      <c r="A17" s="35" t="s">
        <v>300</v>
      </c>
      <c r="B17" s="11">
        <v>1</v>
      </c>
      <c r="C17" s="11">
        <v>1</v>
      </c>
      <c r="D17" s="11">
        <v>1</v>
      </c>
      <c r="E17" s="11">
        <v>1</v>
      </c>
      <c r="F17" s="11">
        <v>1</v>
      </c>
      <c r="G17" s="11">
        <v>1</v>
      </c>
      <c r="H17" s="11">
        <v>1</v>
      </c>
      <c r="I17" s="11" t="s">
        <v>51</v>
      </c>
      <c r="J17" s="11">
        <v>1</v>
      </c>
      <c r="K17" s="11">
        <v>1</v>
      </c>
      <c r="L17" s="11">
        <v>1</v>
      </c>
      <c r="M17" s="11">
        <v>1</v>
      </c>
      <c r="N17" s="11">
        <v>0.75</v>
      </c>
      <c r="O17" s="11">
        <v>1</v>
      </c>
      <c r="P17" s="11" t="s">
        <v>51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 t="s">
        <v>51</v>
      </c>
      <c r="W17" s="11" t="s">
        <v>51</v>
      </c>
      <c r="X17" s="11" t="s">
        <v>51</v>
      </c>
      <c r="Y17" s="48">
        <v>95.895522388059703</v>
      </c>
    </row>
    <row r="18" spans="1:25" x14ac:dyDescent="0.2">
      <c r="A18" s="35" t="s">
        <v>42</v>
      </c>
      <c r="B18" s="11">
        <v>1</v>
      </c>
      <c r="C18" s="11">
        <v>1</v>
      </c>
      <c r="D18" s="11">
        <v>1</v>
      </c>
      <c r="E18" s="11">
        <v>1</v>
      </c>
      <c r="F18" s="11">
        <v>1</v>
      </c>
      <c r="G18" s="11">
        <v>1</v>
      </c>
      <c r="H18" s="11">
        <v>1</v>
      </c>
      <c r="I18" s="11" t="s">
        <v>51</v>
      </c>
      <c r="J18" s="11">
        <v>1</v>
      </c>
      <c r="K18" s="11">
        <v>1</v>
      </c>
      <c r="L18" s="11">
        <v>1</v>
      </c>
      <c r="M18" s="11">
        <v>1</v>
      </c>
      <c r="N18" s="11">
        <v>1</v>
      </c>
      <c r="O18" s="11">
        <v>1</v>
      </c>
      <c r="P18" s="11" t="s">
        <v>51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48">
        <v>100</v>
      </c>
    </row>
    <row r="19" spans="1:25" x14ac:dyDescent="0.2">
      <c r="A19" s="35" t="s">
        <v>360</v>
      </c>
      <c r="B19" s="11">
        <v>1</v>
      </c>
      <c r="C19" s="11" t="s">
        <v>51</v>
      </c>
      <c r="D19" s="11" t="s">
        <v>51</v>
      </c>
      <c r="E19" s="11">
        <v>1</v>
      </c>
      <c r="F19" s="11">
        <v>1</v>
      </c>
      <c r="G19" s="11">
        <v>1</v>
      </c>
      <c r="H19" s="11">
        <v>0.75</v>
      </c>
      <c r="I19" s="11" t="s">
        <v>51</v>
      </c>
      <c r="J19" s="11">
        <v>1</v>
      </c>
      <c r="K19" s="11">
        <v>1</v>
      </c>
      <c r="L19" s="11">
        <v>1</v>
      </c>
      <c r="M19" s="11">
        <v>0.25</v>
      </c>
      <c r="N19" s="11">
        <v>1</v>
      </c>
      <c r="O19" s="11" t="s">
        <v>51</v>
      </c>
      <c r="P19" s="11" t="s">
        <v>51</v>
      </c>
      <c r="Q19" s="11" t="s">
        <v>51</v>
      </c>
      <c r="R19" s="11">
        <v>0</v>
      </c>
      <c r="S19" s="11" t="s">
        <v>51</v>
      </c>
      <c r="T19" s="11" t="s">
        <v>51</v>
      </c>
      <c r="U19" s="11" t="s">
        <v>51</v>
      </c>
      <c r="V19" s="11" t="s">
        <v>51</v>
      </c>
      <c r="W19" s="11" t="s">
        <v>51</v>
      </c>
      <c r="X19" s="11" t="s">
        <v>51</v>
      </c>
      <c r="Y19" s="48">
        <v>76.492537313432834</v>
      </c>
    </row>
    <row r="20" spans="1:25" x14ac:dyDescent="0.2">
      <c r="A20" s="35" t="s">
        <v>266</v>
      </c>
      <c r="B20" s="11">
        <v>1</v>
      </c>
      <c r="C20" s="11">
        <v>1</v>
      </c>
      <c r="D20" s="11">
        <v>1</v>
      </c>
      <c r="E20" s="11">
        <v>1</v>
      </c>
      <c r="F20" s="11">
        <v>1</v>
      </c>
      <c r="G20" s="11">
        <v>0.83333333333333337</v>
      </c>
      <c r="H20" s="11">
        <v>1</v>
      </c>
      <c r="I20" s="11">
        <v>1</v>
      </c>
      <c r="J20" s="11">
        <v>1</v>
      </c>
      <c r="K20" s="11">
        <v>1</v>
      </c>
      <c r="L20" s="11">
        <v>1</v>
      </c>
      <c r="M20" s="11">
        <v>0.83333333333333337</v>
      </c>
      <c r="N20" s="11">
        <v>1</v>
      </c>
      <c r="O20" s="11">
        <v>1</v>
      </c>
      <c r="P20" s="11" t="s">
        <v>51</v>
      </c>
      <c r="Q20" s="11">
        <v>1</v>
      </c>
      <c r="R20" s="11">
        <v>0.8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48">
        <v>96.166666666666671</v>
      </c>
    </row>
    <row r="21" spans="1:25" x14ac:dyDescent="0.2">
      <c r="A21" s="35" t="s">
        <v>278</v>
      </c>
      <c r="B21" s="11">
        <v>0.83333333333333337</v>
      </c>
      <c r="C21" s="11">
        <v>1</v>
      </c>
      <c r="D21" s="11">
        <v>0.83333333333333337</v>
      </c>
      <c r="E21" s="11">
        <v>1</v>
      </c>
      <c r="F21" s="11">
        <v>1</v>
      </c>
      <c r="G21" s="11">
        <v>1</v>
      </c>
      <c r="H21" s="11">
        <v>1</v>
      </c>
      <c r="I21" s="11" t="s">
        <v>51</v>
      </c>
      <c r="J21" s="11">
        <v>1</v>
      </c>
      <c r="K21" s="11">
        <v>1</v>
      </c>
      <c r="L21" s="11">
        <v>1</v>
      </c>
      <c r="M21" s="11">
        <v>0.66666666666666663</v>
      </c>
      <c r="N21" s="11">
        <v>1</v>
      </c>
      <c r="O21" s="11">
        <v>0.83333333333333337</v>
      </c>
      <c r="P21" s="11" t="s">
        <v>51</v>
      </c>
      <c r="Q21" s="11">
        <v>1</v>
      </c>
      <c r="R21" s="11">
        <v>1</v>
      </c>
      <c r="S21" s="11">
        <v>1</v>
      </c>
      <c r="T21" s="11">
        <v>1</v>
      </c>
      <c r="U21" s="11">
        <v>0.75</v>
      </c>
      <c r="V21" s="11">
        <v>1</v>
      </c>
      <c r="W21" s="11">
        <v>1</v>
      </c>
      <c r="X21" s="11">
        <v>1</v>
      </c>
      <c r="Y21" s="48">
        <v>91.488148148148142</v>
      </c>
    </row>
    <row r="22" spans="1:25" x14ac:dyDescent="0.2">
      <c r="A22" s="35" t="s">
        <v>272</v>
      </c>
      <c r="B22" s="11">
        <v>1</v>
      </c>
      <c r="C22" s="11">
        <v>1</v>
      </c>
      <c r="D22" s="11">
        <v>1</v>
      </c>
      <c r="E22" s="11">
        <v>1</v>
      </c>
      <c r="F22" s="11">
        <v>1</v>
      </c>
      <c r="G22" s="11">
        <v>1</v>
      </c>
      <c r="H22" s="11">
        <v>0.75</v>
      </c>
      <c r="I22" s="11" t="s">
        <v>51</v>
      </c>
      <c r="J22" s="11">
        <v>1</v>
      </c>
      <c r="K22" s="11">
        <v>1</v>
      </c>
      <c r="L22" s="11">
        <v>1</v>
      </c>
      <c r="M22" s="11">
        <v>1</v>
      </c>
      <c r="N22" s="11">
        <v>1</v>
      </c>
      <c r="O22" s="11">
        <v>0.6</v>
      </c>
      <c r="P22" s="11" t="s">
        <v>51</v>
      </c>
      <c r="Q22" s="11">
        <v>1</v>
      </c>
      <c r="R22" s="11">
        <v>1</v>
      </c>
      <c r="S22" s="11">
        <v>0.8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48">
        <v>97.05714285714285</v>
      </c>
    </row>
    <row r="23" spans="1:25" x14ac:dyDescent="0.2">
      <c r="A23" s="35" t="s">
        <v>78</v>
      </c>
      <c r="B23" s="11">
        <v>1</v>
      </c>
      <c r="C23" s="11">
        <v>1</v>
      </c>
      <c r="D23" s="11">
        <v>1</v>
      </c>
      <c r="E23" s="11">
        <v>1</v>
      </c>
      <c r="F23" s="11">
        <v>1</v>
      </c>
      <c r="G23" s="11">
        <v>1</v>
      </c>
      <c r="H23" s="11">
        <v>1</v>
      </c>
      <c r="I23" s="11">
        <v>1</v>
      </c>
      <c r="J23" s="11">
        <v>1</v>
      </c>
      <c r="K23" s="11">
        <v>1</v>
      </c>
      <c r="L23" s="11">
        <v>1</v>
      </c>
      <c r="M23" s="11">
        <v>1</v>
      </c>
      <c r="N23" s="11">
        <v>1</v>
      </c>
      <c r="O23" s="11">
        <v>1</v>
      </c>
      <c r="P23" s="11" t="s">
        <v>51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48">
        <v>100</v>
      </c>
    </row>
    <row r="24" spans="1:25" x14ac:dyDescent="0.2">
      <c r="A24" s="35" t="s">
        <v>289</v>
      </c>
      <c r="B24" s="11">
        <v>1</v>
      </c>
      <c r="C24" s="11">
        <v>1</v>
      </c>
      <c r="D24" s="11">
        <v>1</v>
      </c>
      <c r="E24" s="11">
        <v>1</v>
      </c>
      <c r="F24" s="11">
        <v>1</v>
      </c>
      <c r="G24" s="11">
        <v>1</v>
      </c>
      <c r="H24" s="11" t="s">
        <v>51</v>
      </c>
      <c r="I24" s="11" t="s">
        <v>51</v>
      </c>
      <c r="J24" s="11">
        <v>1</v>
      </c>
      <c r="K24" s="11" t="s">
        <v>51</v>
      </c>
      <c r="L24" s="11">
        <v>1</v>
      </c>
      <c r="M24" s="11">
        <v>1</v>
      </c>
      <c r="N24" s="11">
        <v>1</v>
      </c>
      <c r="O24" s="11">
        <v>1</v>
      </c>
      <c r="P24" s="11" t="s">
        <v>51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48">
        <v>100</v>
      </c>
    </row>
    <row r="25" spans="1:25" x14ac:dyDescent="0.2">
      <c r="A25" s="35" t="s">
        <v>353</v>
      </c>
      <c r="B25" s="11">
        <v>1</v>
      </c>
      <c r="C25" s="11">
        <v>1</v>
      </c>
      <c r="D25" s="11">
        <v>1</v>
      </c>
      <c r="E25" s="11">
        <v>1</v>
      </c>
      <c r="F25" s="11">
        <v>1</v>
      </c>
      <c r="G25" s="11">
        <v>1</v>
      </c>
      <c r="H25" s="11">
        <v>1</v>
      </c>
      <c r="I25" s="11" t="s">
        <v>51</v>
      </c>
      <c r="J25" s="11">
        <v>1</v>
      </c>
      <c r="K25" s="11">
        <v>1</v>
      </c>
      <c r="L25" s="11">
        <v>0.875</v>
      </c>
      <c r="M25" s="11">
        <v>0.75</v>
      </c>
      <c r="N25" s="11">
        <v>0.875</v>
      </c>
      <c r="O25" s="11">
        <v>1</v>
      </c>
      <c r="P25" s="11" t="s">
        <v>51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48">
        <v>95.625</v>
      </c>
    </row>
    <row r="26" spans="1:25" x14ac:dyDescent="0.2">
      <c r="A26" s="35" t="s">
        <v>283</v>
      </c>
      <c r="B26" s="11">
        <v>1</v>
      </c>
      <c r="C26" s="11">
        <v>1</v>
      </c>
      <c r="D26" s="11">
        <v>1</v>
      </c>
      <c r="E26" s="11">
        <v>1</v>
      </c>
      <c r="F26" s="11">
        <v>1</v>
      </c>
      <c r="G26" s="11">
        <v>1</v>
      </c>
      <c r="H26" s="11">
        <v>1</v>
      </c>
      <c r="I26" s="11" t="s">
        <v>51</v>
      </c>
      <c r="J26" s="11" t="s">
        <v>51</v>
      </c>
      <c r="K26" s="11">
        <v>1</v>
      </c>
      <c r="L26" s="11">
        <v>0</v>
      </c>
      <c r="M26" s="11">
        <v>1</v>
      </c>
      <c r="N26" s="11" t="s">
        <v>51</v>
      </c>
      <c r="O26" s="11">
        <v>1</v>
      </c>
      <c r="P26" s="11" t="s">
        <v>51</v>
      </c>
      <c r="Q26" s="11">
        <v>1</v>
      </c>
      <c r="R26" s="11" t="s">
        <v>51</v>
      </c>
      <c r="S26" s="11">
        <v>1</v>
      </c>
      <c r="T26" s="11">
        <v>1</v>
      </c>
      <c r="U26" s="11" t="s">
        <v>51</v>
      </c>
      <c r="V26" s="11" t="s">
        <v>51</v>
      </c>
      <c r="W26" s="11">
        <v>1</v>
      </c>
      <c r="X26" s="11">
        <v>1</v>
      </c>
      <c r="Y26" s="48">
        <v>96</v>
      </c>
    </row>
    <row r="27" spans="1:25" x14ac:dyDescent="0.2">
      <c r="A27" s="35" t="s">
        <v>179</v>
      </c>
      <c r="B27" s="11">
        <v>1</v>
      </c>
      <c r="C27" s="11">
        <v>1</v>
      </c>
      <c r="D27" s="11">
        <v>1</v>
      </c>
      <c r="E27" s="11">
        <v>1</v>
      </c>
      <c r="F27" s="11">
        <v>1</v>
      </c>
      <c r="G27" s="11">
        <v>1</v>
      </c>
      <c r="H27" s="11">
        <v>1</v>
      </c>
      <c r="I27" s="11">
        <v>1</v>
      </c>
      <c r="J27" s="11">
        <v>0</v>
      </c>
      <c r="K27" s="11">
        <v>1</v>
      </c>
      <c r="L27" s="11">
        <v>1</v>
      </c>
      <c r="M27" s="11">
        <v>1</v>
      </c>
      <c r="N27" s="11">
        <v>1</v>
      </c>
      <c r="O27" s="11">
        <v>1</v>
      </c>
      <c r="P27" s="11">
        <v>1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48">
        <v>99.6</v>
      </c>
    </row>
    <row r="28" spans="1:25" x14ac:dyDescent="0.2">
      <c r="A28" s="35" t="s">
        <v>191</v>
      </c>
      <c r="B28" s="11">
        <v>1</v>
      </c>
      <c r="C28" s="11">
        <v>1</v>
      </c>
      <c r="D28" s="11">
        <v>1</v>
      </c>
      <c r="E28" s="11">
        <v>1</v>
      </c>
      <c r="F28" s="11">
        <v>1</v>
      </c>
      <c r="G28" s="11">
        <v>1</v>
      </c>
      <c r="H28" s="11">
        <v>1</v>
      </c>
      <c r="I28" s="11" t="s">
        <v>51</v>
      </c>
      <c r="J28" s="11">
        <v>1</v>
      </c>
      <c r="K28" s="11">
        <v>1</v>
      </c>
      <c r="L28" s="11">
        <v>1</v>
      </c>
      <c r="M28" s="11">
        <v>1</v>
      </c>
      <c r="N28" s="11">
        <v>1</v>
      </c>
      <c r="O28" s="11">
        <v>1</v>
      </c>
      <c r="P28" s="11" t="s">
        <v>51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48">
        <v>100</v>
      </c>
    </row>
    <row r="29" spans="1:25" x14ac:dyDescent="0.2">
      <c r="A29" s="35" t="s">
        <v>229</v>
      </c>
      <c r="B29" s="11">
        <v>1</v>
      </c>
      <c r="C29" s="11">
        <v>1</v>
      </c>
      <c r="D29" s="11">
        <v>1</v>
      </c>
      <c r="E29" s="11">
        <v>1</v>
      </c>
      <c r="F29" s="11">
        <v>0.66666666666666663</v>
      </c>
      <c r="G29" s="11">
        <v>1</v>
      </c>
      <c r="H29" s="11">
        <v>1</v>
      </c>
      <c r="I29" s="11">
        <v>1</v>
      </c>
      <c r="J29" s="11">
        <v>1</v>
      </c>
      <c r="K29" s="11">
        <v>1</v>
      </c>
      <c r="L29" s="11">
        <v>1</v>
      </c>
      <c r="M29" s="11">
        <v>0.66666666666666663</v>
      </c>
      <c r="N29" s="11">
        <v>1</v>
      </c>
      <c r="O29" s="11">
        <v>1</v>
      </c>
      <c r="P29" s="11" t="s">
        <v>51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48">
        <v>95.333333333333329</v>
      </c>
    </row>
    <row r="30" spans="1:25" x14ac:dyDescent="0.2">
      <c r="A30" s="35" t="s">
        <v>53</v>
      </c>
      <c r="B30" s="11">
        <v>1</v>
      </c>
      <c r="C30" s="11">
        <v>1</v>
      </c>
      <c r="D30" s="11">
        <v>1</v>
      </c>
      <c r="E30" s="11">
        <v>1</v>
      </c>
      <c r="F30" s="11">
        <v>1</v>
      </c>
      <c r="G30" s="11">
        <v>1</v>
      </c>
      <c r="H30" s="11">
        <v>1</v>
      </c>
      <c r="I30" s="11">
        <v>1</v>
      </c>
      <c r="J30" s="11">
        <v>1</v>
      </c>
      <c r="K30" s="11">
        <v>1</v>
      </c>
      <c r="L30" s="11">
        <v>1</v>
      </c>
      <c r="M30" s="11">
        <v>1</v>
      </c>
      <c r="N30" s="11">
        <v>1</v>
      </c>
      <c r="O30" s="11">
        <v>1</v>
      </c>
      <c r="P30" s="11" t="s">
        <v>51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48">
        <v>100</v>
      </c>
    </row>
    <row r="31" spans="1:25" x14ac:dyDescent="0.2">
      <c r="A31" s="35" t="s">
        <v>82</v>
      </c>
      <c r="B31" s="11">
        <v>1</v>
      </c>
      <c r="C31" s="11">
        <v>1</v>
      </c>
      <c r="D31" s="11">
        <v>1</v>
      </c>
      <c r="E31" s="11">
        <v>1</v>
      </c>
      <c r="F31" s="11">
        <v>1</v>
      </c>
      <c r="G31" s="11">
        <v>1</v>
      </c>
      <c r="H31" s="11">
        <v>1</v>
      </c>
      <c r="I31" s="11">
        <v>1</v>
      </c>
      <c r="J31" s="11">
        <v>1</v>
      </c>
      <c r="K31" s="11">
        <v>1</v>
      </c>
      <c r="L31" s="11">
        <v>1</v>
      </c>
      <c r="M31" s="11">
        <v>1</v>
      </c>
      <c r="N31" s="11">
        <v>1</v>
      </c>
      <c r="O31" s="11">
        <v>1</v>
      </c>
      <c r="P31" s="11" t="s">
        <v>51</v>
      </c>
      <c r="Q31" s="11">
        <v>1</v>
      </c>
      <c r="R31" s="11">
        <v>0.75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48">
        <v>99.5</v>
      </c>
    </row>
    <row r="32" spans="1:25" x14ac:dyDescent="0.2">
      <c r="A32" s="35" t="s">
        <v>510</v>
      </c>
      <c r="B32" s="11">
        <v>1</v>
      </c>
      <c r="C32" s="11">
        <v>1</v>
      </c>
      <c r="D32" s="11">
        <v>1</v>
      </c>
      <c r="E32" s="11">
        <v>1</v>
      </c>
      <c r="F32" s="11">
        <v>1</v>
      </c>
      <c r="G32" s="11">
        <v>1</v>
      </c>
      <c r="H32" s="11" t="s">
        <v>51</v>
      </c>
      <c r="I32" s="11" t="s">
        <v>51</v>
      </c>
      <c r="J32" s="11">
        <v>1</v>
      </c>
      <c r="K32" s="11" t="s">
        <v>51</v>
      </c>
      <c r="L32" s="11">
        <v>1</v>
      </c>
      <c r="M32" s="11">
        <v>0.66666666666666663</v>
      </c>
      <c r="N32" s="11">
        <v>1</v>
      </c>
      <c r="O32" s="11">
        <v>1</v>
      </c>
      <c r="P32" s="11" t="s">
        <v>51</v>
      </c>
      <c r="Q32" s="11">
        <v>1</v>
      </c>
      <c r="R32" s="11">
        <v>0.5</v>
      </c>
      <c r="S32" s="11">
        <v>0.5</v>
      </c>
      <c r="T32" s="11">
        <v>0.5</v>
      </c>
      <c r="U32" s="11">
        <v>1</v>
      </c>
      <c r="V32" s="11">
        <v>1</v>
      </c>
      <c r="W32" s="11">
        <v>1</v>
      </c>
      <c r="X32" s="11">
        <v>1</v>
      </c>
      <c r="Y32" s="48">
        <v>86.752238805970137</v>
      </c>
    </row>
    <row r="33" spans="1:25" x14ac:dyDescent="0.2">
      <c r="A33" s="35" t="s">
        <v>342</v>
      </c>
      <c r="B33" s="11">
        <v>1</v>
      </c>
      <c r="C33" s="11">
        <v>1</v>
      </c>
      <c r="D33" s="11">
        <v>1</v>
      </c>
      <c r="E33" s="11">
        <v>1</v>
      </c>
      <c r="F33" s="11">
        <v>1</v>
      </c>
      <c r="G33" s="11">
        <v>1</v>
      </c>
      <c r="H33" s="11">
        <v>1</v>
      </c>
      <c r="I33" s="11" t="s">
        <v>51</v>
      </c>
      <c r="J33" s="11">
        <v>1</v>
      </c>
      <c r="K33" s="11">
        <v>1</v>
      </c>
      <c r="L33" s="11">
        <v>1</v>
      </c>
      <c r="M33" s="11">
        <v>1</v>
      </c>
      <c r="N33" s="11">
        <v>1</v>
      </c>
      <c r="O33" s="11">
        <v>1</v>
      </c>
      <c r="P33" s="11" t="s">
        <v>51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 t="s">
        <v>51</v>
      </c>
      <c r="W33" s="11" t="s">
        <v>51</v>
      </c>
      <c r="X33" s="11">
        <v>1</v>
      </c>
      <c r="Y33" s="48">
        <v>100</v>
      </c>
    </row>
    <row r="34" spans="1:25" x14ac:dyDescent="0.2">
      <c r="A34" s="35" t="s">
        <v>484</v>
      </c>
      <c r="B34" s="11">
        <v>1</v>
      </c>
      <c r="C34" s="11">
        <v>1</v>
      </c>
      <c r="D34" s="11">
        <v>1</v>
      </c>
      <c r="E34" s="11">
        <v>1</v>
      </c>
      <c r="F34" s="11">
        <v>1</v>
      </c>
      <c r="G34" s="11">
        <v>1</v>
      </c>
      <c r="H34" s="11">
        <v>1</v>
      </c>
      <c r="I34" s="11" t="s">
        <v>51</v>
      </c>
      <c r="J34" s="11" t="s">
        <v>51</v>
      </c>
      <c r="K34" s="11">
        <v>1</v>
      </c>
      <c r="L34" s="11">
        <v>1</v>
      </c>
      <c r="M34" s="11">
        <v>1</v>
      </c>
      <c r="N34" s="11">
        <v>1</v>
      </c>
      <c r="O34" s="11">
        <v>1</v>
      </c>
      <c r="P34" s="11" t="s">
        <v>51</v>
      </c>
      <c r="Q34" s="11">
        <v>1</v>
      </c>
      <c r="R34" s="11" t="s">
        <v>51</v>
      </c>
      <c r="S34" s="11">
        <v>1</v>
      </c>
      <c r="T34" s="11">
        <v>1</v>
      </c>
      <c r="U34" s="11">
        <v>1</v>
      </c>
      <c r="V34" s="11" t="s">
        <v>51</v>
      </c>
      <c r="W34" s="11" t="s">
        <v>51</v>
      </c>
      <c r="X34" s="11">
        <v>1</v>
      </c>
      <c r="Y34" s="48">
        <v>100</v>
      </c>
    </row>
    <row r="35" spans="1:25" x14ac:dyDescent="0.2">
      <c r="A35" s="35" t="s">
        <v>517</v>
      </c>
      <c r="B35" s="11">
        <v>1</v>
      </c>
      <c r="C35" s="11">
        <v>1</v>
      </c>
      <c r="D35" s="11">
        <v>1</v>
      </c>
      <c r="E35" s="11">
        <v>1</v>
      </c>
      <c r="F35" s="11">
        <v>1</v>
      </c>
      <c r="G35" s="11">
        <v>1</v>
      </c>
      <c r="H35" s="11">
        <v>1</v>
      </c>
      <c r="I35" s="11" t="s">
        <v>51</v>
      </c>
      <c r="J35" s="11">
        <v>1</v>
      </c>
      <c r="K35" s="11">
        <v>1</v>
      </c>
      <c r="L35" s="11">
        <v>1</v>
      </c>
      <c r="M35" s="11">
        <v>0.5</v>
      </c>
      <c r="N35" s="11">
        <v>1</v>
      </c>
      <c r="O35" s="11">
        <v>1</v>
      </c>
      <c r="P35" s="11" t="s">
        <v>51</v>
      </c>
      <c r="Q35" s="11">
        <v>1</v>
      </c>
      <c r="R35" s="11">
        <v>0</v>
      </c>
      <c r="S35" s="11">
        <v>1</v>
      </c>
      <c r="T35" s="11">
        <v>1</v>
      </c>
      <c r="U35" s="11">
        <v>1</v>
      </c>
      <c r="V35" s="11">
        <v>1</v>
      </c>
      <c r="W35" s="11">
        <v>1</v>
      </c>
      <c r="X35" s="11">
        <v>1</v>
      </c>
      <c r="Y35" s="48">
        <v>94</v>
      </c>
    </row>
    <row r="36" spans="1:25" x14ac:dyDescent="0.2">
      <c r="A36" s="35" t="s">
        <v>519</v>
      </c>
      <c r="B36" s="11">
        <v>1</v>
      </c>
      <c r="C36" s="11">
        <v>0.66666666666666663</v>
      </c>
      <c r="D36" s="11">
        <v>1</v>
      </c>
      <c r="E36" s="11">
        <v>1</v>
      </c>
      <c r="F36" s="11">
        <v>1</v>
      </c>
      <c r="G36" s="11">
        <v>1</v>
      </c>
      <c r="H36" s="11">
        <v>1</v>
      </c>
      <c r="I36" s="11" t="s">
        <v>51</v>
      </c>
      <c r="J36" s="11">
        <v>1</v>
      </c>
      <c r="K36" s="11">
        <v>1</v>
      </c>
      <c r="L36" s="11">
        <v>1</v>
      </c>
      <c r="M36" s="11">
        <v>1</v>
      </c>
      <c r="N36" s="11">
        <v>0.75</v>
      </c>
      <c r="O36" s="11">
        <v>1</v>
      </c>
      <c r="P36" s="11" t="s">
        <v>51</v>
      </c>
      <c r="Q36" s="11">
        <v>1</v>
      </c>
      <c r="R36" s="11">
        <v>1</v>
      </c>
      <c r="S36" s="11">
        <v>1</v>
      </c>
      <c r="T36" s="11">
        <v>1</v>
      </c>
      <c r="U36" s="11">
        <v>1</v>
      </c>
      <c r="V36" s="11">
        <v>1</v>
      </c>
      <c r="W36" s="11">
        <v>1</v>
      </c>
      <c r="X36" s="11">
        <v>1</v>
      </c>
      <c r="Y36" s="48">
        <v>95.6</v>
      </c>
    </row>
    <row r="37" spans="1:25" x14ac:dyDescent="0.2">
      <c r="A37" s="35" t="s">
        <v>522</v>
      </c>
      <c r="B37" s="11">
        <v>0.4</v>
      </c>
      <c r="C37" s="11">
        <v>1</v>
      </c>
      <c r="D37" s="11">
        <v>1</v>
      </c>
      <c r="E37" s="11">
        <v>1</v>
      </c>
      <c r="F37" s="11">
        <v>1</v>
      </c>
      <c r="G37" s="11">
        <v>0.6</v>
      </c>
      <c r="H37" s="11">
        <v>1</v>
      </c>
      <c r="I37" s="11" t="s">
        <v>51</v>
      </c>
      <c r="J37" s="11">
        <v>1</v>
      </c>
      <c r="K37" s="11">
        <v>1</v>
      </c>
      <c r="L37" s="11">
        <v>1</v>
      </c>
      <c r="M37" s="11">
        <v>0.2</v>
      </c>
      <c r="N37" s="11">
        <v>1</v>
      </c>
      <c r="O37" s="11">
        <v>1</v>
      </c>
      <c r="P37" s="11" t="s">
        <v>51</v>
      </c>
      <c r="Q37" s="11">
        <v>1</v>
      </c>
      <c r="R37" s="11">
        <v>0</v>
      </c>
      <c r="S37" s="11">
        <v>0.75</v>
      </c>
      <c r="T37" s="11">
        <v>1</v>
      </c>
      <c r="U37" s="11">
        <v>1</v>
      </c>
      <c r="V37" s="11" t="s">
        <v>51</v>
      </c>
      <c r="W37" s="11" t="s">
        <v>51</v>
      </c>
      <c r="X37" s="11">
        <v>1</v>
      </c>
      <c r="Y37" s="48">
        <v>75.031343283582089</v>
      </c>
    </row>
    <row r="38" spans="1:25" x14ac:dyDescent="0.2">
      <c r="A38" s="35" t="s">
        <v>527</v>
      </c>
      <c r="B38" s="11">
        <v>0.66666666666666663</v>
      </c>
      <c r="C38" s="11">
        <v>1</v>
      </c>
      <c r="D38" s="11">
        <v>1</v>
      </c>
      <c r="E38" s="11">
        <v>1</v>
      </c>
      <c r="F38" s="11">
        <v>1</v>
      </c>
      <c r="G38" s="11">
        <v>1</v>
      </c>
      <c r="H38" s="11">
        <v>1</v>
      </c>
      <c r="I38" s="11" t="s">
        <v>51</v>
      </c>
      <c r="J38" s="11">
        <v>1</v>
      </c>
      <c r="K38" s="11">
        <v>1</v>
      </c>
      <c r="L38" s="11">
        <v>1</v>
      </c>
      <c r="M38" s="11">
        <v>0.66666666666666663</v>
      </c>
      <c r="N38" s="11">
        <v>1</v>
      </c>
      <c r="O38" s="11">
        <v>1</v>
      </c>
      <c r="P38" s="11" t="s">
        <v>51</v>
      </c>
      <c r="Q38" s="11">
        <v>1</v>
      </c>
      <c r="R38" s="11">
        <v>1</v>
      </c>
      <c r="S38" s="11">
        <v>1</v>
      </c>
      <c r="T38" s="11">
        <v>1</v>
      </c>
      <c r="U38" s="11">
        <v>1</v>
      </c>
      <c r="V38" s="11">
        <v>1</v>
      </c>
      <c r="W38" s="11">
        <v>1</v>
      </c>
      <c r="X38" s="11">
        <v>1</v>
      </c>
      <c r="Y38" s="48">
        <v>92.666666666666671</v>
      </c>
    </row>
    <row r="39" spans="1:25" x14ac:dyDescent="0.2">
      <c r="A39" s="35" t="s">
        <v>529</v>
      </c>
      <c r="B39" s="11">
        <v>1</v>
      </c>
      <c r="C39" s="11">
        <v>1</v>
      </c>
      <c r="D39" s="11">
        <v>1</v>
      </c>
      <c r="E39" s="11">
        <v>1</v>
      </c>
      <c r="F39" s="11">
        <v>0.5</v>
      </c>
      <c r="G39" s="11">
        <v>1</v>
      </c>
      <c r="H39" s="11">
        <v>1</v>
      </c>
      <c r="I39" s="11">
        <v>1</v>
      </c>
      <c r="J39" s="11" t="s">
        <v>51</v>
      </c>
      <c r="K39" s="11">
        <v>1</v>
      </c>
      <c r="L39" s="11">
        <v>1</v>
      </c>
      <c r="M39" s="11">
        <v>1</v>
      </c>
      <c r="N39" s="11">
        <v>1</v>
      </c>
      <c r="O39" s="11">
        <v>1</v>
      </c>
      <c r="P39" s="11">
        <v>1</v>
      </c>
      <c r="Q39" s="11">
        <v>1</v>
      </c>
      <c r="R39" s="11" t="s">
        <v>51</v>
      </c>
      <c r="S39" s="11">
        <v>1</v>
      </c>
      <c r="T39" s="11">
        <v>1</v>
      </c>
      <c r="U39" s="11">
        <v>1</v>
      </c>
      <c r="V39" s="11" t="s">
        <v>51</v>
      </c>
      <c r="W39" s="11" t="s">
        <v>51</v>
      </c>
      <c r="X39" s="11" t="s">
        <v>51</v>
      </c>
      <c r="Y39" s="48">
        <v>98</v>
      </c>
    </row>
    <row r="40" spans="1:25" x14ac:dyDescent="0.2">
      <c r="A40" s="35" t="s">
        <v>93</v>
      </c>
      <c r="B40" s="11">
        <v>1</v>
      </c>
      <c r="C40" s="11">
        <v>1</v>
      </c>
      <c r="D40" s="11">
        <v>1</v>
      </c>
      <c r="E40" s="11">
        <v>1</v>
      </c>
      <c r="F40" s="11">
        <v>1</v>
      </c>
      <c r="G40" s="11">
        <v>1</v>
      </c>
      <c r="H40" s="11">
        <v>1</v>
      </c>
      <c r="I40" s="11" t="s">
        <v>51</v>
      </c>
      <c r="J40" s="11">
        <v>1</v>
      </c>
      <c r="K40" s="11">
        <v>1</v>
      </c>
      <c r="L40" s="11">
        <v>1</v>
      </c>
      <c r="M40" s="11">
        <v>1</v>
      </c>
      <c r="N40" s="11">
        <v>1</v>
      </c>
      <c r="O40" s="11">
        <v>1</v>
      </c>
      <c r="P40" s="11" t="s">
        <v>51</v>
      </c>
      <c r="Q40" s="11">
        <v>1</v>
      </c>
      <c r="R40" s="11">
        <v>1</v>
      </c>
      <c r="S40" s="11">
        <v>1</v>
      </c>
      <c r="T40" s="11">
        <v>1</v>
      </c>
      <c r="U40" s="11">
        <v>1</v>
      </c>
      <c r="V40" s="11">
        <v>1</v>
      </c>
      <c r="W40" s="11">
        <v>1</v>
      </c>
      <c r="X40" s="11">
        <v>1</v>
      </c>
      <c r="Y40" s="48">
        <v>100</v>
      </c>
    </row>
    <row r="41" spans="1:25" x14ac:dyDescent="0.2">
      <c r="A41" s="35" t="s">
        <v>89</v>
      </c>
      <c r="B41" s="11">
        <v>1</v>
      </c>
      <c r="C41" s="11">
        <v>1</v>
      </c>
      <c r="D41" s="11">
        <v>1</v>
      </c>
      <c r="E41" s="11">
        <v>1</v>
      </c>
      <c r="F41" s="11">
        <v>0</v>
      </c>
      <c r="G41" s="11">
        <v>1</v>
      </c>
      <c r="H41" s="11">
        <v>1</v>
      </c>
      <c r="I41" s="11" t="s">
        <v>51</v>
      </c>
      <c r="J41" s="11">
        <v>1</v>
      </c>
      <c r="K41" s="11">
        <v>1</v>
      </c>
      <c r="L41" s="11">
        <v>1</v>
      </c>
      <c r="M41" s="11">
        <v>1</v>
      </c>
      <c r="N41" s="11">
        <v>1</v>
      </c>
      <c r="O41" s="11">
        <v>1</v>
      </c>
      <c r="P41" s="11" t="s">
        <v>51</v>
      </c>
      <c r="Q41" s="11">
        <v>1</v>
      </c>
      <c r="R41" s="11" t="s">
        <v>51</v>
      </c>
      <c r="S41" s="11">
        <v>1</v>
      </c>
      <c r="T41" s="11">
        <v>1</v>
      </c>
      <c r="U41" s="11" t="s">
        <v>51</v>
      </c>
      <c r="V41" s="11" t="s">
        <v>51</v>
      </c>
      <c r="W41" s="11" t="s">
        <v>51</v>
      </c>
      <c r="X41" s="11" t="s">
        <v>51</v>
      </c>
      <c r="Y41" s="48">
        <v>96</v>
      </c>
    </row>
    <row r="42" spans="1:25" x14ac:dyDescent="0.2">
      <c r="A42" s="35" t="s">
        <v>505</v>
      </c>
      <c r="B42" s="11">
        <v>1</v>
      </c>
      <c r="C42" s="11" t="s">
        <v>51</v>
      </c>
      <c r="D42" s="11" t="s">
        <v>51</v>
      </c>
      <c r="E42" s="11">
        <v>1</v>
      </c>
      <c r="F42" s="11">
        <v>1</v>
      </c>
      <c r="G42" s="11">
        <v>1</v>
      </c>
      <c r="H42" s="11">
        <v>1</v>
      </c>
      <c r="I42" s="11" t="s">
        <v>51</v>
      </c>
      <c r="J42" s="11">
        <v>1</v>
      </c>
      <c r="K42" s="11">
        <v>1</v>
      </c>
      <c r="L42" s="11">
        <v>1</v>
      </c>
      <c r="M42" s="11">
        <v>1</v>
      </c>
      <c r="N42" s="11">
        <v>1</v>
      </c>
      <c r="O42" s="11" t="s">
        <v>51</v>
      </c>
      <c r="P42" s="11" t="s">
        <v>51</v>
      </c>
      <c r="Q42" s="11" t="s">
        <v>51</v>
      </c>
      <c r="R42" s="11">
        <v>1</v>
      </c>
      <c r="S42" s="11" t="s">
        <v>51</v>
      </c>
      <c r="T42" s="11" t="s">
        <v>51</v>
      </c>
      <c r="U42" s="11" t="s">
        <v>51</v>
      </c>
      <c r="V42" s="11" t="s">
        <v>51</v>
      </c>
      <c r="W42" s="11" t="s">
        <v>51</v>
      </c>
      <c r="X42" s="11" t="s">
        <v>51</v>
      </c>
      <c r="Y42" s="48">
        <v>100</v>
      </c>
    </row>
    <row r="43" spans="1:25" x14ac:dyDescent="0.2">
      <c r="A43" s="35" t="s">
        <v>905</v>
      </c>
      <c r="B43" s="11">
        <v>1</v>
      </c>
      <c r="C43" s="11">
        <v>1</v>
      </c>
      <c r="D43" s="11">
        <v>1</v>
      </c>
      <c r="E43" s="11">
        <v>1</v>
      </c>
      <c r="F43" s="11">
        <v>1</v>
      </c>
      <c r="G43" s="11">
        <v>1</v>
      </c>
      <c r="H43" s="11">
        <v>1</v>
      </c>
      <c r="I43" s="11">
        <v>1</v>
      </c>
      <c r="J43" s="11" t="s">
        <v>51</v>
      </c>
      <c r="K43" s="11">
        <v>1</v>
      </c>
      <c r="L43" s="11">
        <v>1</v>
      </c>
      <c r="M43" s="11">
        <v>1</v>
      </c>
      <c r="N43" s="11">
        <v>1</v>
      </c>
      <c r="O43" s="11">
        <v>1</v>
      </c>
      <c r="P43" s="11" t="s">
        <v>51</v>
      </c>
      <c r="Q43" s="11">
        <v>1</v>
      </c>
      <c r="R43" s="11">
        <v>1</v>
      </c>
      <c r="S43" s="11">
        <v>1</v>
      </c>
      <c r="T43" s="11">
        <v>1</v>
      </c>
      <c r="U43" s="11">
        <v>1</v>
      </c>
      <c r="V43" s="11">
        <v>1</v>
      </c>
      <c r="W43" s="11" t="s">
        <v>51</v>
      </c>
      <c r="X43" s="11" t="s">
        <v>51</v>
      </c>
      <c r="Y43" s="48">
        <v>100</v>
      </c>
    </row>
    <row r="44" spans="1:25" x14ac:dyDescent="0.2">
      <c r="A44" s="35" t="s">
        <v>1203</v>
      </c>
      <c r="B44" s="11">
        <v>1</v>
      </c>
      <c r="C44" s="11">
        <v>1</v>
      </c>
      <c r="D44" s="11">
        <v>1</v>
      </c>
      <c r="E44" s="11">
        <v>1</v>
      </c>
      <c r="F44" s="11">
        <v>0.75</v>
      </c>
      <c r="G44" s="11">
        <v>1</v>
      </c>
      <c r="H44" s="11">
        <v>0.875</v>
      </c>
      <c r="I44" s="11">
        <v>1</v>
      </c>
      <c r="J44" s="11">
        <v>1</v>
      </c>
      <c r="K44" s="11">
        <v>1</v>
      </c>
      <c r="L44" s="11">
        <v>1</v>
      </c>
      <c r="M44" s="11">
        <v>1</v>
      </c>
      <c r="N44" s="11">
        <v>1</v>
      </c>
      <c r="O44" s="11">
        <v>1</v>
      </c>
      <c r="P44" s="11" t="s">
        <v>51</v>
      </c>
      <c r="Q44" s="11">
        <v>1</v>
      </c>
      <c r="R44" s="11">
        <v>1</v>
      </c>
      <c r="S44" s="11">
        <v>1</v>
      </c>
      <c r="T44" s="11">
        <v>1</v>
      </c>
      <c r="U44" s="11">
        <v>1</v>
      </c>
      <c r="V44" s="11">
        <v>1</v>
      </c>
      <c r="W44" s="11">
        <v>1</v>
      </c>
      <c r="X44" s="11">
        <v>1</v>
      </c>
      <c r="Y44" s="48">
        <v>99</v>
      </c>
    </row>
    <row r="45" spans="1:25" x14ac:dyDescent="0.2">
      <c r="A45" s="35" t="s">
        <v>1204</v>
      </c>
      <c r="B45" s="11">
        <v>1</v>
      </c>
      <c r="C45" s="11">
        <v>1</v>
      </c>
      <c r="D45" s="11">
        <v>1</v>
      </c>
      <c r="E45" s="11">
        <v>1</v>
      </c>
      <c r="F45" s="11">
        <v>1</v>
      </c>
      <c r="G45" s="11">
        <v>1</v>
      </c>
      <c r="H45" s="11">
        <v>1</v>
      </c>
      <c r="I45" s="11">
        <v>1</v>
      </c>
      <c r="J45" s="11">
        <v>1</v>
      </c>
      <c r="K45" s="11">
        <v>1</v>
      </c>
      <c r="L45" s="11">
        <v>1</v>
      </c>
      <c r="M45" s="11">
        <v>1</v>
      </c>
      <c r="N45" s="11">
        <v>1</v>
      </c>
      <c r="O45" s="11">
        <v>1</v>
      </c>
      <c r="P45" s="11" t="s">
        <v>51</v>
      </c>
      <c r="Q45" s="11">
        <v>1</v>
      </c>
      <c r="R45" s="11">
        <v>1</v>
      </c>
      <c r="S45" s="11">
        <v>1</v>
      </c>
      <c r="T45" s="11">
        <v>1</v>
      </c>
      <c r="U45" s="11">
        <v>1</v>
      </c>
      <c r="V45" s="11">
        <v>1</v>
      </c>
      <c r="W45" s="11">
        <v>1</v>
      </c>
      <c r="X45" s="11">
        <v>1</v>
      </c>
      <c r="Y45" s="48">
        <v>100</v>
      </c>
    </row>
    <row r="46" spans="1:25" x14ac:dyDescent="0.2">
      <c r="A46" s="35" t="s">
        <v>1331</v>
      </c>
      <c r="B46" s="11">
        <v>1</v>
      </c>
      <c r="C46" s="11">
        <v>1</v>
      </c>
      <c r="D46" s="11">
        <v>1</v>
      </c>
      <c r="E46" s="11">
        <v>1</v>
      </c>
      <c r="F46" s="11">
        <v>1</v>
      </c>
      <c r="G46" s="11">
        <v>1</v>
      </c>
      <c r="H46" s="11">
        <v>1</v>
      </c>
      <c r="I46" s="11" t="s">
        <v>51</v>
      </c>
      <c r="J46" s="11">
        <v>1</v>
      </c>
      <c r="K46" s="11">
        <v>1</v>
      </c>
      <c r="L46" s="11">
        <v>1</v>
      </c>
      <c r="M46" s="11">
        <v>1</v>
      </c>
      <c r="N46" s="11">
        <v>1</v>
      </c>
      <c r="O46" s="11">
        <v>1</v>
      </c>
      <c r="P46" s="11" t="s">
        <v>51</v>
      </c>
      <c r="Q46" s="11">
        <v>1</v>
      </c>
      <c r="R46" s="11">
        <v>1</v>
      </c>
      <c r="S46" s="11">
        <v>1</v>
      </c>
      <c r="T46" s="11">
        <v>1</v>
      </c>
      <c r="U46" s="11">
        <v>1</v>
      </c>
      <c r="V46" s="11">
        <v>1</v>
      </c>
      <c r="W46" s="11">
        <v>1</v>
      </c>
      <c r="X46" s="11">
        <v>1</v>
      </c>
      <c r="Y46" s="48">
        <v>100</v>
      </c>
    </row>
    <row r="47" spans="1:25" x14ac:dyDescent="0.2">
      <c r="A47" s="35" t="s">
        <v>1332</v>
      </c>
      <c r="B47" s="11">
        <v>1</v>
      </c>
      <c r="C47" s="11">
        <v>1</v>
      </c>
      <c r="D47" s="11">
        <v>0.8</v>
      </c>
      <c r="E47" s="11">
        <v>1</v>
      </c>
      <c r="F47" s="11">
        <v>1</v>
      </c>
      <c r="G47" s="11">
        <v>1</v>
      </c>
      <c r="H47" s="11">
        <v>0.8</v>
      </c>
      <c r="I47" s="11" t="s">
        <v>51</v>
      </c>
      <c r="J47" s="11">
        <v>0.5</v>
      </c>
      <c r="K47" s="11">
        <v>0.8</v>
      </c>
      <c r="L47" s="11">
        <v>1</v>
      </c>
      <c r="M47" s="11">
        <v>0.6</v>
      </c>
      <c r="N47" s="11">
        <v>0.66666666666666663</v>
      </c>
      <c r="O47" s="11">
        <v>1</v>
      </c>
      <c r="P47" s="11" t="s">
        <v>51</v>
      </c>
      <c r="Q47" s="11">
        <v>1</v>
      </c>
      <c r="R47" s="11">
        <v>0.5</v>
      </c>
      <c r="S47" s="11">
        <v>0.8</v>
      </c>
      <c r="T47" s="11">
        <v>1</v>
      </c>
      <c r="U47" s="11">
        <v>1</v>
      </c>
      <c r="V47" s="11">
        <v>1</v>
      </c>
      <c r="W47" s="11">
        <v>1</v>
      </c>
      <c r="X47" s="11">
        <v>1</v>
      </c>
      <c r="Y47" s="48">
        <v>89.876595744680841</v>
      </c>
    </row>
    <row r="48" spans="1:25" x14ac:dyDescent="0.2">
      <c r="A48" s="35" t="s">
        <v>1334</v>
      </c>
      <c r="B48" s="11">
        <v>1</v>
      </c>
      <c r="C48" s="11">
        <v>1</v>
      </c>
      <c r="D48" s="11">
        <v>1</v>
      </c>
      <c r="E48" s="11">
        <v>1</v>
      </c>
      <c r="F48" s="11">
        <v>1</v>
      </c>
      <c r="G48" s="11">
        <v>1</v>
      </c>
      <c r="H48" s="11">
        <v>1</v>
      </c>
      <c r="I48" s="11" t="s">
        <v>51</v>
      </c>
      <c r="J48" s="11">
        <v>1</v>
      </c>
      <c r="K48" s="11">
        <v>1</v>
      </c>
      <c r="L48" s="11">
        <v>1</v>
      </c>
      <c r="M48" s="11">
        <v>0.66666666666666663</v>
      </c>
      <c r="N48" s="11">
        <v>1</v>
      </c>
      <c r="O48" s="11">
        <v>1</v>
      </c>
      <c r="P48" s="11" t="s">
        <v>51</v>
      </c>
      <c r="Q48" s="11">
        <v>1</v>
      </c>
      <c r="R48" s="11">
        <v>0.5</v>
      </c>
      <c r="S48" s="11">
        <v>0.5</v>
      </c>
      <c r="T48" s="11">
        <v>0.5</v>
      </c>
      <c r="U48" s="11">
        <v>1</v>
      </c>
      <c r="V48" s="11">
        <v>1</v>
      </c>
      <c r="W48" s="11">
        <v>1</v>
      </c>
      <c r="X48" s="11">
        <v>1</v>
      </c>
      <c r="Y48" s="48">
        <v>86.752238805970137</v>
      </c>
    </row>
    <row r="49" spans="1:25" x14ac:dyDescent="0.2">
      <c r="A49" s="10" t="s">
        <v>412</v>
      </c>
      <c r="B49" s="11">
        <v>0.96153846153846156</v>
      </c>
      <c r="C49" s="11">
        <v>0.99019607843137258</v>
      </c>
      <c r="D49" s="11">
        <v>0.97115384615384615</v>
      </c>
      <c r="E49" s="11">
        <v>0.99038461538461542</v>
      </c>
      <c r="F49" s="11">
        <v>0.97115384615384615</v>
      </c>
      <c r="G49" s="11">
        <v>1</v>
      </c>
      <c r="H49" s="11">
        <v>1</v>
      </c>
      <c r="I49" s="11">
        <v>1</v>
      </c>
      <c r="J49" s="11">
        <v>0.9859154929577465</v>
      </c>
      <c r="K49" s="11">
        <v>0.99038461538461542</v>
      </c>
      <c r="L49" s="11">
        <v>0.98076923076923073</v>
      </c>
      <c r="M49" s="11">
        <v>0.83333333333333337</v>
      </c>
      <c r="N49" s="11">
        <v>0.99</v>
      </c>
      <c r="O49" s="11">
        <v>0.97058823529411764</v>
      </c>
      <c r="P49" s="11">
        <v>0.83333333333333337</v>
      </c>
      <c r="Q49" s="11">
        <v>1</v>
      </c>
      <c r="R49" s="11">
        <v>0.88732394366197187</v>
      </c>
      <c r="S49" s="11">
        <v>0.94</v>
      </c>
      <c r="T49" s="11">
        <v>0.99</v>
      </c>
      <c r="U49" s="11">
        <v>1</v>
      </c>
      <c r="V49" s="11">
        <v>1</v>
      </c>
      <c r="W49" s="11">
        <v>0.95081967213114749</v>
      </c>
      <c r="X49" s="11">
        <v>1</v>
      </c>
      <c r="Y49" s="48">
        <v>96.357503280301799</v>
      </c>
    </row>
    <row r="50" spans="1:25" x14ac:dyDescent="0.2">
      <c r="A50" s="35" t="s">
        <v>356</v>
      </c>
      <c r="B50" s="11">
        <v>1</v>
      </c>
      <c r="C50" s="11">
        <v>1</v>
      </c>
      <c r="D50" s="11">
        <v>0.8571428571428571</v>
      </c>
      <c r="E50" s="11">
        <v>0.8571428571428571</v>
      </c>
      <c r="F50" s="11">
        <v>1</v>
      </c>
      <c r="G50" s="11">
        <v>1</v>
      </c>
      <c r="H50" s="11">
        <v>1</v>
      </c>
      <c r="I50" s="11">
        <v>1</v>
      </c>
      <c r="J50" s="11">
        <v>1</v>
      </c>
      <c r="K50" s="11">
        <v>1</v>
      </c>
      <c r="L50" s="11">
        <v>0.8571428571428571</v>
      </c>
      <c r="M50" s="11">
        <v>0.8</v>
      </c>
      <c r="N50" s="11">
        <v>1</v>
      </c>
      <c r="O50" s="11">
        <v>0.8571428571428571</v>
      </c>
      <c r="P50" s="11" t="s">
        <v>51</v>
      </c>
      <c r="Q50" s="11">
        <v>1</v>
      </c>
      <c r="R50" s="11">
        <v>1</v>
      </c>
      <c r="S50" s="11">
        <v>1</v>
      </c>
      <c r="T50" s="11">
        <v>1</v>
      </c>
      <c r="U50" s="11">
        <v>1</v>
      </c>
      <c r="V50" s="11">
        <v>1</v>
      </c>
      <c r="W50" s="11">
        <v>0.8</v>
      </c>
      <c r="X50" s="11">
        <v>1</v>
      </c>
      <c r="Y50" s="48">
        <v>94.357142857142861</v>
      </c>
    </row>
    <row r="51" spans="1:25" x14ac:dyDescent="0.2">
      <c r="A51" s="35" t="s">
        <v>96</v>
      </c>
      <c r="B51" s="11">
        <v>1</v>
      </c>
      <c r="C51" s="11">
        <v>1</v>
      </c>
      <c r="D51" s="11">
        <v>1</v>
      </c>
      <c r="E51" s="11">
        <v>1</v>
      </c>
      <c r="F51" s="11">
        <v>1</v>
      </c>
      <c r="G51" s="11">
        <v>1</v>
      </c>
      <c r="H51" s="11">
        <v>1</v>
      </c>
      <c r="I51" s="11" t="s">
        <v>51</v>
      </c>
      <c r="J51" s="11">
        <v>1</v>
      </c>
      <c r="K51" s="11">
        <v>1</v>
      </c>
      <c r="L51" s="11">
        <v>1</v>
      </c>
      <c r="M51" s="11">
        <v>1</v>
      </c>
      <c r="N51" s="11">
        <v>1</v>
      </c>
      <c r="O51" s="11">
        <v>1</v>
      </c>
      <c r="P51" s="11" t="s">
        <v>51</v>
      </c>
      <c r="Q51" s="11">
        <v>1</v>
      </c>
      <c r="R51" s="11">
        <v>1</v>
      </c>
      <c r="S51" s="11">
        <v>1</v>
      </c>
      <c r="T51" s="11">
        <v>1</v>
      </c>
      <c r="U51" s="11">
        <v>1</v>
      </c>
      <c r="V51" s="11">
        <v>1</v>
      </c>
      <c r="W51" s="11">
        <v>1</v>
      </c>
      <c r="X51" s="11">
        <v>1</v>
      </c>
      <c r="Y51" s="48">
        <v>100</v>
      </c>
    </row>
    <row r="52" spans="1:25" x14ac:dyDescent="0.2">
      <c r="A52" s="35" t="s">
        <v>197</v>
      </c>
      <c r="B52" s="11">
        <v>1</v>
      </c>
      <c r="C52" s="11">
        <v>1</v>
      </c>
      <c r="D52" s="11">
        <v>1</v>
      </c>
      <c r="E52" s="11">
        <v>1</v>
      </c>
      <c r="F52" s="11">
        <v>1</v>
      </c>
      <c r="G52" s="11">
        <v>1</v>
      </c>
      <c r="H52" s="11">
        <v>1</v>
      </c>
      <c r="I52" s="11" t="s">
        <v>51</v>
      </c>
      <c r="J52" s="11">
        <v>1</v>
      </c>
      <c r="K52" s="11">
        <v>1</v>
      </c>
      <c r="L52" s="11">
        <v>1</v>
      </c>
      <c r="M52" s="11">
        <v>1</v>
      </c>
      <c r="N52" s="11">
        <v>1</v>
      </c>
      <c r="O52" s="11">
        <v>1</v>
      </c>
      <c r="P52" s="11" t="s">
        <v>51</v>
      </c>
      <c r="Q52" s="11">
        <v>1</v>
      </c>
      <c r="R52" s="11">
        <v>1</v>
      </c>
      <c r="S52" s="11">
        <v>0.5</v>
      </c>
      <c r="T52" s="11">
        <v>1</v>
      </c>
      <c r="U52" s="11">
        <v>1</v>
      </c>
      <c r="V52" s="11">
        <v>1</v>
      </c>
      <c r="W52" s="11">
        <v>1</v>
      </c>
      <c r="X52" s="11">
        <v>1</v>
      </c>
      <c r="Y52" s="48">
        <v>98</v>
      </c>
    </row>
    <row r="53" spans="1:25" x14ac:dyDescent="0.2">
      <c r="A53" s="35" t="s">
        <v>201</v>
      </c>
      <c r="B53" s="11">
        <v>1</v>
      </c>
      <c r="C53" s="11">
        <v>1</v>
      </c>
      <c r="D53" s="11">
        <v>1</v>
      </c>
      <c r="E53" s="11">
        <v>1</v>
      </c>
      <c r="F53" s="11">
        <v>1</v>
      </c>
      <c r="G53" s="11">
        <v>1</v>
      </c>
      <c r="H53" s="11">
        <v>1</v>
      </c>
      <c r="I53" s="11" t="s">
        <v>51</v>
      </c>
      <c r="J53" s="11">
        <v>1</v>
      </c>
      <c r="K53" s="11">
        <v>1</v>
      </c>
      <c r="L53" s="11">
        <v>1</v>
      </c>
      <c r="M53" s="11">
        <v>1</v>
      </c>
      <c r="N53" s="11">
        <v>1</v>
      </c>
      <c r="O53" s="11">
        <v>1</v>
      </c>
      <c r="P53" s="11" t="s">
        <v>51</v>
      </c>
      <c r="Q53" s="11">
        <v>1</v>
      </c>
      <c r="R53" s="11">
        <v>0</v>
      </c>
      <c r="S53" s="11">
        <v>1</v>
      </c>
      <c r="T53" s="11">
        <v>1</v>
      </c>
      <c r="U53" s="11">
        <v>1</v>
      </c>
      <c r="V53" s="11" t="s">
        <v>51</v>
      </c>
      <c r="W53" s="11" t="s">
        <v>51</v>
      </c>
      <c r="X53" s="11" t="s">
        <v>51</v>
      </c>
      <c r="Y53" s="48">
        <v>98</v>
      </c>
    </row>
    <row r="54" spans="1:25" x14ac:dyDescent="0.2">
      <c r="A54" s="35" t="s">
        <v>247</v>
      </c>
      <c r="B54" s="11">
        <v>1</v>
      </c>
      <c r="C54" s="11">
        <v>1</v>
      </c>
      <c r="D54" s="11">
        <v>1</v>
      </c>
      <c r="E54" s="11">
        <v>1</v>
      </c>
      <c r="F54" s="11">
        <v>1</v>
      </c>
      <c r="G54" s="11">
        <v>1</v>
      </c>
      <c r="H54" s="11">
        <v>1</v>
      </c>
      <c r="I54" s="11" t="s">
        <v>51</v>
      </c>
      <c r="J54" s="11">
        <v>1</v>
      </c>
      <c r="K54" s="11">
        <v>1</v>
      </c>
      <c r="L54" s="11">
        <v>1</v>
      </c>
      <c r="M54" s="11">
        <v>0.5</v>
      </c>
      <c r="N54" s="11">
        <v>1</v>
      </c>
      <c r="O54" s="11">
        <v>1</v>
      </c>
      <c r="P54" s="11" t="s">
        <v>51</v>
      </c>
      <c r="Q54" s="11">
        <v>1</v>
      </c>
      <c r="R54" s="11">
        <v>1</v>
      </c>
      <c r="S54" s="11">
        <v>1</v>
      </c>
      <c r="T54" s="11">
        <v>1</v>
      </c>
      <c r="U54" s="11">
        <v>1</v>
      </c>
      <c r="V54" s="11">
        <v>1</v>
      </c>
      <c r="W54" s="11">
        <v>1</v>
      </c>
      <c r="X54" s="11">
        <v>1</v>
      </c>
      <c r="Y54" s="48">
        <v>95</v>
      </c>
    </row>
    <row r="55" spans="1:25" x14ac:dyDescent="0.2">
      <c r="A55" s="35" t="s">
        <v>233</v>
      </c>
      <c r="B55" s="11">
        <v>1</v>
      </c>
      <c r="C55" s="11">
        <v>1</v>
      </c>
      <c r="D55" s="11">
        <v>1</v>
      </c>
      <c r="E55" s="11">
        <v>1</v>
      </c>
      <c r="F55" s="11">
        <v>1</v>
      </c>
      <c r="G55" s="11">
        <v>1</v>
      </c>
      <c r="H55" s="11">
        <v>1</v>
      </c>
      <c r="I55" s="11">
        <v>1</v>
      </c>
      <c r="J55" s="11">
        <v>1</v>
      </c>
      <c r="K55" s="11">
        <v>0.66666666666666663</v>
      </c>
      <c r="L55" s="11">
        <v>1</v>
      </c>
      <c r="M55" s="11">
        <v>1</v>
      </c>
      <c r="N55" s="11">
        <v>1</v>
      </c>
      <c r="O55" s="11">
        <v>1</v>
      </c>
      <c r="P55" s="11">
        <v>1</v>
      </c>
      <c r="Q55" s="11">
        <v>1</v>
      </c>
      <c r="R55" s="11">
        <v>1</v>
      </c>
      <c r="S55" s="11">
        <v>1</v>
      </c>
      <c r="T55" s="11">
        <v>1</v>
      </c>
      <c r="U55" s="11">
        <v>1</v>
      </c>
      <c r="V55" s="11">
        <v>1</v>
      </c>
      <c r="W55" s="11">
        <v>1</v>
      </c>
      <c r="X55" s="11">
        <v>1</v>
      </c>
      <c r="Y55" s="48">
        <v>100</v>
      </c>
    </row>
    <row r="56" spans="1:25" x14ac:dyDescent="0.2">
      <c r="A56" s="35" t="s">
        <v>323</v>
      </c>
      <c r="B56" s="11">
        <v>1</v>
      </c>
      <c r="C56" s="11">
        <v>1</v>
      </c>
      <c r="D56" s="11">
        <v>1</v>
      </c>
      <c r="E56" s="11">
        <v>1</v>
      </c>
      <c r="F56" s="11">
        <v>1</v>
      </c>
      <c r="G56" s="11">
        <v>1</v>
      </c>
      <c r="H56" s="11">
        <v>1</v>
      </c>
      <c r="I56" s="11" t="s">
        <v>51</v>
      </c>
      <c r="J56" s="11" t="s">
        <v>51</v>
      </c>
      <c r="K56" s="11">
        <v>1</v>
      </c>
      <c r="L56" s="11">
        <v>1</v>
      </c>
      <c r="M56" s="11">
        <v>1</v>
      </c>
      <c r="N56" s="11">
        <v>1</v>
      </c>
      <c r="O56" s="11">
        <v>1</v>
      </c>
      <c r="P56" s="11" t="s">
        <v>51</v>
      </c>
      <c r="Q56" s="11">
        <v>1</v>
      </c>
      <c r="R56" s="11" t="s">
        <v>51</v>
      </c>
      <c r="S56" s="11">
        <v>1</v>
      </c>
      <c r="T56" s="11">
        <v>1</v>
      </c>
      <c r="U56" s="11" t="s">
        <v>51</v>
      </c>
      <c r="V56" s="11" t="s">
        <v>51</v>
      </c>
      <c r="W56" s="11" t="s">
        <v>51</v>
      </c>
      <c r="X56" s="11" t="s">
        <v>51</v>
      </c>
      <c r="Y56" s="48">
        <v>100</v>
      </c>
    </row>
    <row r="57" spans="1:25" x14ac:dyDescent="0.2">
      <c r="A57" s="35" t="s">
        <v>300</v>
      </c>
      <c r="B57" s="11">
        <v>1</v>
      </c>
      <c r="C57" s="11">
        <v>1</v>
      </c>
      <c r="D57" s="11">
        <v>1</v>
      </c>
      <c r="E57" s="11">
        <v>1</v>
      </c>
      <c r="F57" s="11">
        <v>1</v>
      </c>
      <c r="G57" s="11">
        <v>1</v>
      </c>
      <c r="H57" s="11">
        <v>1</v>
      </c>
      <c r="I57" s="11">
        <v>1</v>
      </c>
      <c r="J57" s="11">
        <v>1</v>
      </c>
      <c r="K57" s="11">
        <v>1</v>
      </c>
      <c r="L57" s="11">
        <v>1</v>
      </c>
      <c r="M57" s="11">
        <v>1</v>
      </c>
      <c r="N57" s="11">
        <v>1</v>
      </c>
      <c r="O57" s="11">
        <v>0.8</v>
      </c>
      <c r="P57" s="11">
        <v>1</v>
      </c>
      <c r="Q57" s="11">
        <v>1</v>
      </c>
      <c r="R57" s="11">
        <v>1</v>
      </c>
      <c r="S57" s="11">
        <v>1</v>
      </c>
      <c r="T57" s="11">
        <v>1</v>
      </c>
      <c r="U57" s="11">
        <v>1</v>
      </c>
      <c r="V57" s="11">
        <v>1</v>
      </c>
      <c r="W57" s="11">
        <v>1</v>
      </c>
      <c r="X57" s="11">
        <v>1</v>
      </c>
      <c r="Y57" s="48">
        <v>98.679999999999993</v>
      </c>
    </row>
    <row r="58" spans="1:25" x14ac:dyDescent="0.2">
      <c r="A58" s="35" t="s">
        <v>42</v>
      </c>
      <c r="B58" s="11">
        <v>0.66666666666666663</v>
      </c>
      <c r="C58" s="11">
        <v>1</v>
      </c>
      <c r="D58" s="11">
        <v>1</v>
      </c>
      <c r="E58" s="11">
        <v>1</v>
      </c>
      <c r="F58" s="11">
        <v>1</v>
      </c>
      <c r="G58" s="11">
        <v>1</v>
      </c>
      <c r="H58" s="11">
        <v>1</v>
      </c>
      <c r="I58" s="11" t="s">
        <v>51</v>
      </c>
      <c r="J58" s="11">
        <v>1</v>
      </c>
      <c r="K58" s="11">
        <v>1</v>
      </c>
      <c r="L58" s="11">
        <v>1</v>
      </c>
      <c r="M58" s="11">
        <v>0.33333333333333331</v>
      </c>
      <c r="N58" s="11">
        <v>1</v>
      </c>
      <c r="O58" s="11">
        <v>1</v>
      </c>
      <c r="P58" s="11" t="s">
        <v>51</v>
      </c>
      <c r="Q58" s="11">
        <v>1</v>
      </c>
      <c r="R58" s="11">
        <v>1</v>
      </c>
      <c r="S58" s="11">
        <v>1</v>
      </c>
      <c r="T58" s="11">
        <v>1</v>
      </c>
      <c r="U58" s="11">
        <v>1</v>
      </c>
      <c r="V58" s="11">
        <v>1</v>
      </c>
      <c r="W58" s="11">
        <v>0.5</v>
      </c>
      <c r="X58" s="11">
        <v>1</v>
      </c>
      <c r="Y58" s="48">
        <v>88.013333333333335</v>
      </c>
    </row>
    <row r="59" spans="1:25" x14ac:dyDescent="0.2">
      <c r="A59" s="35" t="s">
        <v>360</v>
      </c>
      <c r="B59" s="11">
        <v>1</v>
      </c>
      <c r="C59" s="11">
        <v>1</v>
      </c>
      <c r="D59" s="11">
        <v>1</v>
      </c>
      <c r="E59" s="11">
        <v>1</v>
      </c>
      <c r="F59" s="11">
        <v>1</v>
      </c>
      <c r="G59" s="11">
        <v>1</v>
      </c>
      <c r="H59" s="11">
        <v>1</v>
      </c>
      <c r="I59" s="11" t="s">
        <v>51</v>
      </c>
      <c r="J59" s="11">
        <v>1</v>
      </c>
      <c r="K59" s="11">
        <v>1</v>
      </c>
      <c r="L59" s="11">
        <v>1</v>
      </c>
      <c r="M59" s="11">
        <v>0.6</v>
      </c>
      <c r="N59" s="11">
        <v>1</v>
      </c>
      <c r="O59" s="11">
        <v>1</v>
      </c>
      <c r="P59" s="11" t="s">
        <v>51</v>
      </c>
      <c r="Q59" s="11">
        <v>1</v>
      </c>
      <c r="R59" s="11">
        <v>1</v>
      </c>
      <c r="S59" s="11">
        <v>0.66666666666666663</v>
      </c>
      <c r="T59" s="11">
        <v>1</v>
      </c>
      <c r="U59" s="11">
        <v>1</v>
      </c>
      <c r="V59" s="11">
        <v>1</v>
      </c>
      <c r="W59" s="11">
        <v>1</v>
      </c>
      <c r="X59" s="11">
        <v>1</v>
      </c>
      <c r="Y59" s="48">
        <v>94.214925373134321</v>
      </c>
    </row>
    <row r="60" spans="1:25" x14ac:dyDescent="0.2">
      <c r="A60" s="35" t="s">
        <v>266</v>
      </c>
      <c r="B60" s="11">
        <v>1</v>
      </c>
      <c r="C60" s="11">
        <v>1</v>
      </c>
      <c r="D60" s="11">
        <v>1</v>
      </c>
      <c r="E60" s="11">
        <v>1</v>
      </c>
      <c r="F60" s="11">
        <v>1</v>
      </c>
      <c r="G60" s="11">
        <v>1</v>
      </c>
      <c r="H60" s="11">
        <v>1</v>
      </c>
      <c r="I60" s="11" t="s">
        <v>51</v>
      </c>
      <c r="J60" s="11">
        <v>1</v>
      </c>
      <c r="K60" s="11">
        <v>1</v>
      </c>
      <c r="L60" s="11">
        <v>1</v>
      </c>
      <c r="M60" s="11">
        <v>1</v>
      </c>
      <c r="N60" s="11">
        <v>0.8571428571428571</v>
      </c>
      <c r="O60" s="11">
        <v>1</v>
      </c>
      <c r="P60" s="11" t="s">
        <v>51</v>
      </c>
      <c r="Q60" s="11">
        <v>1</v>
      </c>
      <c r="R60" s="11">
        <v>1</v>
      </c>
      <c r="S60" s="11">
        <v>1</v>
      </c>
      <c r="T60" s="11">
        <v>1</v>
      </c>
      <c r="U60" s="11">
        <v>1</v>
      </c>
      <c r="V60" s="11">
        <v>1</v>
      </c>
      <c r="W60" s="11">
        <v>1</v>
      </c>
      <c r="X60" s="11">
        <v>1</v>
      </c>
      <c r="Y60" s="48">
        <v>98.428571428571431</v>
      </c>
    </row>
    <row r="61" spans="1:25" x14ac:dyDescent="0.2">
      <c r="A61" s="35" t="s">
        <v>278</v>
      </c>
      <c r="B61" s="11">
        <v>1</v>
      </c>
      <c r="C61" s="11">
        <v>1</v>
      </c>
      <c r="D61" s="11">
        <v>0.875</v>
      </c>
      <c r="E61" s="11">
        <v>1</v>
      </c>
      <c r="F61" s="11">
        <v>1</v>
      </c>
      <c r="G61" s="11">
        <v>1</v>
      </c>
      <c r="H61" s="11">
        <v>1</v>
      </c>
      <c r="I61" s="11" t="s">
        <v>51</v>
      </c>
      <c r="J61" s="11">
        <v>1</v>
      </c>
      <c r="K61" s="11">
        <v>1</v>
      </c>
      <c r="L61" s="11">
        <v>1</v>
      </c>
      <c r="M61" s="11">
        <v>0.75</v>
      </c>
      <c r="N61" s="11">
        <v>1</v>
      </c>
      <c r="O61" s="11">
        <v>1</v>
      </c>
      <c r="P61" s="11">
        <v>0</v>
      </c>
      <c r="Q61" s="11">
        <v>1</v>
      </c>
      <c r="R61" s="11">
        <v>1</v>
      </c>
      <c r="S61" s="11">
        <v>1</v>
      </c>
      <c r="T61" s="11">
        <v>1</v>
      </c>
      <c r="U61" s="11">
        <v>1</v>
      </c>
      <c r="V61" s="11">
        <v>1</v>
      </c>
      <c r="W61" s="11">
        <v>1</v>
      </c>
      <c r="X61" s="11">
        <v>1</v>
      </c>
      <c r="Y61" s="48">
        <v>95.625</v>
      </c>
    </row>
    <row r="62" spans="1:25" x14ac:dyDescent="0.2">
      <c r="A62" s="35" t="s">
        <v>272</v>
      </c>
      <c r="B62" s="11">
        <v>1</v>
      </c>
      <c r="C62" s="11">
        <v>1</v>
      </c>
      <c r="D62" s="11">
        <v>1</v>
      </c>
      <c r="E62" s="11">
        <v>1</v>
      </c>
      <c r="F62" s="11">
        <v>0.75</v>
      </c>
      <c r="G62" s="11">
        <v>1</v>
      </c>
      <c r="H62" s="11">
        <v>1</v>
      </c>
      <c r="I62" s="11" t="s">
        <v>51</v>
      </c>
      <c r="J62" s="11">
        <v>1</v>
      </c>
      <c r="K62" s="11">
        <v>1</v>
      </c>
      <c r="L62" s="11">
        <v>1</v>
      </c>
      <c r="M62" s="11">
        <v>1</v>
      </c>
      <c r="N62" s="11">
        <v>1</v>
      </c>
      <c r="O62" s="11">
        <v>1</v>
      </c>
      <c r="P62" s="11" t="s">
        <v>51</v>
      </c>
      <c r="Q62" s="11">
        <v>1</v>
      </c>
      <c r="R62" s="11">
        <v>1</v>
      </c>
      <c r="S62" s="11">
        <v>1</v>
      </c>
      <c r="T62" s="11">
        <v>1</v>
      </c>
      <c r="U62" s="11">
        <v>1</v>
      </c>
      <c r="V62" s="11">
        <v>1</v>
      </c>
      <c r="W62" s="11">
        <v>1</v>
      </c>
      <c r="X62" s="11">
        <v>1</v>
      </c>
      <c r="Y62" s="48">
        <v>99</v>
      </c>
    </row>
    <row r="63" spans="1:25" x14ac:dyDescent="0.2">
      <c r="A63" s="35" t="s">
        <v>78</v>
      </c>
      <c r="B63" s="11">
        <v>1</v>
      </c>
      <c r="C63" s="11">
        <v>1</v>
      </c>
      <c r="D63" s="11">
        <v>1</v>
      </c>
      <c r="E63" s="11">
        <v>1</v>
      </c>
      <c r="F63" s="11">
        <v>1</v>
      </c>
      <c r="G63" s="11">
        <v>1</v>
      </c>
      <c r="H63" s="11">
        <v>1</v>
      </c>
      <c r="I63" s="11" t="s">
        <v>51</v>
      </c>
      <c r="J63" s="11">
        <v>1</v>
      </c>
      <c r="K63" s="11">
        <v>1</v>
      </c>
      <c r="L63" s="11">
        <v>1</v>
      </c>
      <c r="M63" s="11">
        <v>1</v>
      </c>
      <c r="N63" s="11">
        <v>1</v>
      </c>
      <c r="O63" s="11">
        <v>1</v>
      </c>
      <c r="P63" s="11" t="s">
        <v>51</v>
      </c>
      <c r="Q63" s="11">
        <v>1</v>
      </c>
      <c r="R63" s="11">
        <v>1</v>
      </c>
      <c r="S63" s="11">
        <v>0.75</v>
      </c>
      <c r="T63" s="11">
        <v>1</v>
      </c>
      <c r="U63" s="11">
        <v>1</v>
      </c>
      <c r="V63" s="11">
        <v>1</v>
      </c>
      <c r="W63" s="11">
        <v>1</v>
      </c>
      <c r="X63" s="11">
        <v>1</v>
      </c>
      <c r="Y63" s="48">
        <v>98.821428571428569</v>
      </c>
    </row>
    <row r="64" spans="1:25" x14ac:dyDescent="0.2">
      <c r="A64" s="35" t="s">
        <v>179</v>
      </c>
      <c r="B64" s="11">
        <v>1</v>
      </c>
      <c r="C64" s="11">
        <v>1</v>
      </c>
      <c r="D64" s="11">
        <v>1</v>
      </c>
      <c r="E64" s="11">
        <v>1</v>
      </c>
      <c r="F64" s="11">
        <v>1</v>
      </c>
      <c r="G64" s="11">
        <v>1</v>
      </c>
      <c r="H64" s="11">
        <v>1</v>
      </c>
      <c r="I64" s="11">
        <v>1</v>
      </c>
      <c r="J64" s="11">
        <v>1</v>
      </c>
      <c r="K64" s="11">
        <v>1</v>
      </c>
      <c r="L64" s="11">
        <v>1</v>
      </c>
      <c r="M64" s="11">
        <v>1</v>
      </c>
      <c r="N64" s="11">
        <v>1</v>
      </c>
      <c r="O64" s="11">
        <v>1</v>
      </c>
      <c r="P64" s="11">
        <v>1</v>
      </c>
      <c r="Q64" s="11">
        <v>1</v>
      </c>
      <c r="R64" s="11">
        <v>1</v>
      </c>
      <c r="S64" s="11">
        <v>1</v>
      </c>
      <c r="T64" s="11">
        <v>1</v>
      </c>
      <c r="U64" s="11">
        <v>1</v>
      </c>
      <c r="V64" s="11">
        <v>1</v>
      </c>
      <c r="W64" s="11">
        <v>1</v>
      </c>
      <c r="X64" s="11">
        <v>1</v>
      </c>
      <c r="Y64" s="48">
        <v>100</v>
      </c>
    </row>
    <row r="65" spans="1:25" x14ac:dyDescent="0.2">
      <c r="A65" s="35" t="s">
        <v>53</v>
      </c>
      <c r="B65" s="11">
        <v>1</v>
      </c>
      <c r="C65" s="11">
        <v>1</v>
      </c>
      <c r="D65" s="11">
        <v>1</v>
      </c>
      <c r="E65" s="11">
        <v>1</v>
      </c>
      <c r="F65" s="11">
        <v>1</v>
      </c>
      <c r="G65" s="11">
        <v>1</v>
      </c>
      <c r="H65" s="11">
        <v>1</v>
      </c>
      <c r="I65" s="11" t="s">
        <v>51</v>
      </c>
      <c r="J65" s="11">
        <v>1</v>
      </c>
      <c r="K65" s="11">
        <v>1</v>
      </c>
      <c r="L65" s="11">
        <v>1</v>
      </c>
      <c r="M65" s="11">
        <v>1</v>
      </c>
      <c r="N65" s="11">
        <v>1</v>
      </c>
      <c r="O65" s="11">
        <v>1</v>
      </c>
      <c r="P65" s="11" t="s">
        <v>51</v>
      </c>
      <c r="Q65" s="11">
        <v>1</v>
      </c>
      <c r="R65" s="11">
        <v>1</v>
      </c>
      <c r="S65" s="11">
        <v>1</v>
      </c>
      <c r="T65" s="11">
        <v>1</v>
      </c>
      <c r="U65" s="11">
        <v>1</v>
      </c>
      <c r="V65" s="11">
        <v>1</v>
      </c>
      <c r="W65" s="11">
        <v>1</v>
      </c>
      <c r="X65" s="11">
        <v>1</v>
      </c>
      <c r="Y65" s="48">
        <v>100</v>
      </c>
    </row>
    <row r="66" spans="1:25" x14ac:dyDescent="0.2">
      <c r="A66" s="35" t="s">
        <v>82</v>
      </c>
      <c r="B66" s="11">
        <v>1</v>
      </c>
      <c r="C66" s="11">
        <v>1</v>
      </c>
      <c r="D66" s="11">
        <v>1</v>
      </c>
      <c r="E66" s="11">
        <v>1</v>
      </c>
      <c r="F66" s="11">
        <v>0</v>
      </c>
      <c r="G66" s="11">
        <v>1</v>
      </c>
      <c r="H66" s="11">
        <v>1</v>
      </c>
      <c r="I66" s="11" t="s">
        <v>51</v>
      </c>
      <c r="J66" s="11" t="s">
        <v>51</v>
      </c>
      <c r="K66" s="11">
        <v>1</v>
      </c>
      <c r="L66" s="11">
        <v>1</v>
      </c>
      <c r="M66" s="11">
        <v>1</v>
      </c>
      <c r="N66" s="11">
        <v>1</v>
      </c>
      <c r="O66" s="11">
        <v>1</v>
      </c>
      <c r="P66" s="11" t="s">
        <v>51</v>
      </c>
      <c r="Q66" s="11">
        <v>1</v>
      </c>
      <c r="R66" s="11" t="s">
        <v>51</v>
      </c>
      <c r="S66" s="11">
        <v>1</v>
      </c>
      <c r="T66" s="11">
        <v>1</v>
      </c>
      <c r="U66" s="11">
        <v>1</v>
      </c>
      <c r="V66" s="11" t="s">
        <v>51</v>
      </c>
      <c r="W66" s="11">
        <v>1</v>
      </c>
      <c r="X66" s="11">
        <v>1</v>
      </c>
      <c r="Y66" s="48">
        <v>96</v>
      </c>
    </row>
    <row r="67" spans="1:25" x14ac:dyDescent="0.2">
      <c r="A67" s="35" t="s">
        <v>342</v>
      </c>
      <c r="B67" s="11">
        <v>1</v>
      </c>
      <c r="C67" s="11">
        <v>1</v>
      </c>
      <c r="D67" s="11">
        <v>1</v>
      </c>
      <c r="E67" s="11">
        <v>1</v>
      </c>
      <c r="F67" s="11">
        <v>1</v>
      </c>
      <c r="G67" s="11">
        <v>1</v>
      </c>
      <c r="H67" s="11">
        <v>1</v>
      </c>
      <c r="I67" s="11" t="s">
        <v>51</v>
      </c>
      <c r="J67" s="11">
        <v>0.5</v>
      </c>
      <c r="K67" s="11">
        <v>1</v>
      </c>
      <c r="L67" s="11">
        <v>1</v>
      </c>
      <c r="M67" s="11">
        <v>1</v>
      </c>
      <c r="N67" s="11">
        <v>1</v>
      </c>
      <c r="O67" s="11">
        <v>1</v>
      </c>
      <c r="P67" s="11" t="s">
        <v>51</v>
      </c>
      <c r="Q67" s="11">
        <v>1</v>
      </c>
      <c r="R67" s="11">
        <v>1</v>
      </c>
      <c r="S67" s="11">
        <v>1</v>
      </c>
      <c r="T67" s="11">
        <v>1</v>
      </c>
      <c r="U67" s="11">
        <v>1</v>
      </c>
      <c r="V67" s="11">
        <v>1</v>
      </c>
      <c r="W67" s="11">
        <v>1</v>
      </c>
      <c r="X67" s="11">
        <v>1</v>
      </c>
      <c r="Y67" s="48">
        <v>99</v>
      </c>
    </row>
    <row r="68" spans="1:25" x14ac:dyDescent="0.2">
      <c r="A68" s="35" t="s">
        <v>519</v>
      </c>
      <c r="B68" s="11">
        <v>1</v>
      </c>
      <c r="C68" s="11">
        <v>1</v>
      </c>
      <c r="D68" s="11">
        <v>1</v>
      </c>
      <c r="E68" s="11">
        <v>1</v>
      </c>
      <c r="F68" s="11">
        <v>1</v>
      </c>
      <c r="G68" s="11">
        <v>1</v>
      </c>
      <c r="H68" s="11">
        <v>1</v>
      </c>
      <c r="I68" s="11" t="s">
        <v>51</v>
      </c>
      <c r="J68" s="11">
        <v>1</v>
      </c>
      <c r="K68" s="11">
        <v>1</v>
      </c>
      <c r="L68" s="11">
        <v>1</v>
      </c>
      <c r="M68" s="11">
        <v>1</v>
      </c>
      <c r="N68" s="11">
        <v>1</v>
      </c>
      <c r="O68" s="11">
        <v>1</v>
      </c>
      <c r="P68" s="11" t="s">
        <v>51</v>
      </c>
      <c r="Q68" s="11">
        <v>1</v>
      </c>
      <c r="R68" s="11">
        <v>1</v>
      </c>
      <c r="S68" s="11">
        <v>1</v>
      </c>
      <c r="T68" s="11">
        <v>1</v>
      </c>
      <c r="U68" s="11">
        <v>1</v>
      </c>
      <c r="V68" s="11">
        <v>1</v>
      </c>
      <c r="W68" s="11">
        <v>1</v>
      </c>
      <c r="X68" s="11">
        <v>1</v>
      </c>
      <c r="Y68" s="48">
        <v>100</v>
      </c>
    </row>
    <row r="69" spans="1:25" x14ac:dyDescent="0.2">
      <c r="A69" s="35" t="s">
        <v>522</v>
      </c>
      <c r="B69" s="11">
        <v>1</v>
      </c>
      <c r="C69" s="11">
        <v>1</v>
      </c>
      <c r="D69" s="11">
        <v>1</v>
      </c>
      <c r="E69" s="11">
        <v>1</v>
      </c>
      <c r="F69" s="11">
        <v>1</v>
      </c>
      <c r="G69" s="11">
        <v>1</v>
      </c>
      <c r="H69" s="11">
        <v>1</v>
      </c>
      <c r="I69" s="11" t="s">
        <v>51</v>
      </c>
      <c r="J69" s="11">
        <v>1</v>
      </c>
      <c r="K69" s="11">
        <v>1</v>
      </c>
      <c r="L69" s="11">
        <v>0.83333333333333337</v>
      </c>
      <c r="M69" s="11">
        <v>0.83333333333333337</v>
      </c>
      <c r="N69" s="11">
        <v>1</v>
      </c>
      <c r="O69" s="11">
        <v>0.83333333333333337</v>
      </c>
      <c r="P69" s="11" t="s">
        <v>51</v>
      </c>
      <c r="Q69" s="11">
        <v>1</v>
      </c>
      <c r="R69" s="11">
        <v>0.16666666666666666</v>
      </c>
      <c r="S69" s="11">
        <v>0.6</v>
      </c>
      <c r="T69" s="11">
        <v>1</v>
      </c>
      <c r="U69" s="11">
        <v>1</v>
      </c>
      <c r="V69" s="11">
        <v>1</v>
      </c>
      <c r="W69" s="11">
        <v>1</v>
      </c>
      <c r="X69" s="11">
        <v>1</v>
      </c>
      <c r="Y69" s="48">
        <v>93.833333333333329</v>
      </c>
    </row>
    <row r="70" spans="1:25" x14ac:dyDescent="0.2">
      <c r="A70" s="35" t="s">
        <v>527</v>
      </c>
      <c r="B70" s="11">
        <v>1</v>
      </c>
      <c r="C70" s="11">
        <v>1</v>
      </c>
      <c r="D70" s="11">
        <v>1</v>
      </c>
      <c r="E70" s="11">
        <v>1</v>
      </c>
      <c r="F70" s="11">
        <v>1</v>
      </c>
      <c r="G70" s="11">
        <v>1</v>
      </c>
      <c r="H70" s="11">
        <v>1</v>
      </c>
      <c r="I70" s="11">
        <v>1</v>
      </c>
      <c r="J70" s="11" t="s">
        <v>51</v>
      </c>
      <c r="K70" s="11">
        <v>1</v>
      </c>
      <c r="L70" s="11">
        <v>1</v>
      </c>
      <c r="M70" s="11">
        <v>0.66666666666666663</v>
      </c>
      <c r="N70" s="11">
        <v>1</v>
      </c>
      <c r="O70" s="11">
        <v>1</v>
      </c>
      <c r="P70" s="11">
        <v>1</v>
      </c>
      <c r="Q70" s="11">
        <v>1</v>
      </c>
      <c r="R70" s="11">
        <v>1</v>
      </c>
      <c r="S70" s="11">
        <v>1</v>
      </c>
      <c r="T70" s="11">
        <v>0.66666666666666663</v>
      </c>
      <c r="U70" s="11">
        <v>1</v>
      </c>
      <c r="V70" s="11" t="s">
        <v>51</v>
      </c>
      <c r="W70" s="11">
        <v>1</v>
      </c>
      <c r="X70" s="11">
        <v>1</v>
      </c>
      <c r="Y70" s="48">
        <v>94.90666666666668</v>
      </c>
    </row>
    <row r="71" spans="1:25" x14ac:dyDescent="0.2">
      <c r="A71" s="35" t="s">
        <v>529</v>
      </c>
      <c r="B71" s="11">
        <v>0.75</v>
      </c>
      <c r="C71" s="11">
        <v>1</v>
      </c>
      <c r="D71" s="11">
        <v>1</v>
      </c>
      <c r="E71" s="11">
        <v>1</v>
      </c>
      <c r="F71" s="11">
        <v>1</v>
      </c>
      <c r="G71" s="11">
        <v>1</v>
      </c>
      <c r="H71" s="11">
        <v>1</v>
      </c>
      <c r="I71" s="11">
        <v>1</v>
      </c>
      <c r="J71" s="11" t="s">
        <v>51</v>
      </c>
      <c r="K71" s="11">
        <v>1</v>
      </c>
      <c r="L71" s="11">
        <v>1</v>
      </c>
      <c r="M71" s="11">
        <v>0.75</v>
      </c>
      <c r="N71" s="11">
        <v>1</v>
      </c>
      <c r="O71" s="11">
        <v>1</v>
      </c>
      <c r="P71" s="11" t="s">
        <v>51</v>
      </c>
      <c r="Q71" s="11">
        <v>1</v>
      </c>
      <c r="R71" s="11">
        <v>1</v>
      </c>
      <c r="S71" s="11">
        <v>1</v>
      </c>
      <c r="T71" s="11">
        <v>1</v>
      </c>
      <c r="U71" s="11">
        <v>1</v>
      </c>
      <c r="V71" s="11" t="s">
        <v>51</v>
      </c>
      <c r="W71" s="11" t="s">
        <v>51</v>
      </c>
      <c r="X71" s="11">
        <v>1</v>
      </c>
      <c r="Y71" s="48">
        <v>94.5</v>
      </c>
    </row>
    <row r="72" spans="1:25" x14ac:dyDescent="0.2">
      <c r="A72" s="35" t="s">
        <v>532</v>
      </c>
      <c r="B72" s="11">
        <v>1</v>
      </c>
      <c r="C72" s="11">
        <v>1</v>
      </c>
      <c r="D72" s="11">
        <v>1</v>
      </c>
      <c r="E72" s="11">
        <v>1</v>
      </c>
      <c r="F72" s="11">
        <v>1</v>
      </c>
      <c r="G72" s="11">
        <v>1</v>
      </c>
      <c r="H72" s="11">
        <v>1</v>
      </c>
      <c r="I72" s="11">
        <v>1</v>
      </c>
      <c r="J72" s="11">
        <v>1</v>
      </c>
      <c r="K72" s="11">
        <v>1</v>
      </c>
      <c r="L72" s="11">
        <v>1</v>
      </c>
      <c r="M72" s="11">
        <v>1</v>
      </c>
      <c r="N72" s="11">
        <v>1</v>
      </c>
      <c r="O72" s="11">
        <v>1</v>
      </c>
      <c r="P72" s="11" t="s">
        <v>51</v>
      </c>
      <c r="Q72" s="11">
        <v>1</v>
      </c>
      <c r="R72" s="11" t="s">
        <v>51</v>
      </c>
      <c r="S72" s="11">
        <v>1</v>
      </c>
      <c r="T72" s="11" t="s">
        <v>51</v>
      </c>
      <c r="U72" s="11" t="s">
        <v>51</v>
      </c>
      <c r="V72" s="11">
        <v>1</v>
      </c>
      <c r="W72" s="11">
        <v>1</v>
      </c>
      <c r="X72" s="11" t="s">
        <v>51</v>
      </c>
      <c r="Y72" s="48">
        <v>100</v>
      </c>
    </row>
    <row r="73" spans="1:25" x14ac:dyDescent="0.2">
      <c r="A73" s="35" t="s">
        <v>93</v>
      </c>
      <c r="B73" s="11">
        <v>1</v>
      </c>
      <c r="C73" s="11">
        <v>1</v>
      </c>
      <c r="D73" s="11">
        <v>1</v>
      </c>
      <c r="E73" s="11">
        <v>1</v>
      </c>
      <c r="F73" s="11">
        <v>0.66666666666666663</v>
      </c>
      <c r="G73" s="11">
        <v>1</v>
      </c>
      <c r="H73" s="11">
        <v>1</v>
      </c>
      <c r="I73" s="11" t="s">
        <v>51</v>
      </c>
      <c r="J73" s="11">
        <v>1</v>
      </c>
      <c r="K73" s="11">
        <v>1</v>
      </c>
      <c r="L73" s="11">
        <v>1</v>
      </c>
      <c r="M73" s="11">
        <v>0.33333333333333331</v>
      </c>
      <c r="N73" s="11">
        <v>1</v>
      </c>
      <c r="O73" s="11">
        <v>1</v>
      </c>
      <c r="P73" s="11" t="s">
        <v>51</v>
      </c>
      <c r="Q73" s="11">
        <v>1</v>
      </c>
      <c r="R73" s="11" t="s">
        <v>51</v>
      </c>
      <c r="S73" s="11">
        <v>1</v>
      </c>
      <c r="T73" s="11">
        <v>1</v>
      </c>
      <c r="U73" s="11">
        <v>1</v>
      </c>
      <c r="V73" s="11">
        <v>1</v>
      </c>
      <c r="W73" s="11">
        <v>1</v>
      </c>
      <c r="X73" s="11">
        <v>1</v>
      </c>
      <c r="Y73" s="48">
        <v>92</v>
      </c>
    </row>
    <row r="74" spans="1:25" x14ac:dyDescent="0.2">
      <c r="A74" s="35" t="s">
        <v>821</v>
      </c>
      <c r="B74" s="11">
        <v>0.6</v>
      </c>
      <c r="C74" s="11">
        <v>1</v>
      </c>
      <c r="D74" s="11">
        <v>0.8</v>
      </c>
      <c r="E74" s="11">
        <v>1</v>
      </c>
      <c r="F74" s="11">
        <v>1</v>
      </c>
      <c r="G74" s="11">
        <v>1</v>
      </c>
      <c r="H74" s="11">
        <v>1</v>
      </c>
      <c r="I74" s="11" t="s">
        <v>51</v>
      </c>
      <c r="J74" s="11">
        <v>1</v>
      </c>
      <c r="K74" s="11">
        <v>1</v>
      </c>
      <c r="L74" s="11">
        <v>1</v>
      </c>
      <c r="M74" s="11">
        <v>0.4</v>
      </c>
      <c r="N74" s="11">
        <v>1</v>
      </c>
      <c r="O74" s="11">
        <v>1</v>
      </c>
      <c r="P74" s="11" t="s">
        <v>51</v>
      </c>
      <c r="Q74" s="11">
        <v>1</v>
      </c>
      <c r="R74" s="11">
        <v>1</v>
      </c>
      <c r="S74" s="11">
        <v>1</v>
      </c>
      <c r="T74" s="11">
        <v>1</v>
      </c>
      <c r="U74" s="11">
        <v>1</v>
      </c>
      <c r="V74" s="11">
        <v>1</v>
      </c>
      <c r="W74" s="11">
        <v>0.66666666666666663</v>
      </c>
      <c r="X74" s="11">
        <v>1</v>
      </c>
      <c r="Y74" s="48">
        <v>86.608000000000004</v>
      </c>
    </row>
    <row r="75" spans="1:25" x14ac:dyDescent="0.2">
      <c r="A75" s="35" t="s">
        <v>905</v>
      </c>
      <c r="B75" s="11">
        <v>1</v>
      </c>
      <c r="C75" s="11">
        <v>1</v>
      </c>
      <c r="D75" s="11">
        <v>1</v>
      </c>
      <c r="E75" s="11">
        <v>1</v>
      </c>
      <c r="F75" s="11">
        <v>1</v>
      </c>
      <c r="G75" s="11">
        <v>1</v>
      </c>
      <c r="H75" s="11">
        <v>1</v>
      </c>
      <c r="I75" s="11" t="s">
        <v>51</v>
      </c>
      <c r="J75" s="11">
        <v>1</v>
      </c>
      <c r="K75" s="11">
        <v>1</v>
      </c>
      <c r="L75" s="11">
        <v>1</v>
      </c>
      <c r="M75" s="11">
        <v>1</v>
      </c>
      <c r="N75" s="11">
        <v>1</v>
      </c>
      <c r="O75" s="11">
        <v>1</v>
      </c>
      <c r="P75" s="11" t="s">
        <v>51</v>
      </c>
      <c r="Q75" s="11">
        <v>1</v>
      </c>
      <c r="R75" s="11">
        <v>1</v>
      </c>
      <c r="S75" s="11">
        <v>1</v>
      </c>
      <c r="T75" s="11">
        <v>1</v>
      </c>
      <c r="U75" s="11">
        <v>1</v>
      </c>
      <c r="V75" s="11">
        <v>1</v>
      </c>
      <c r="W75" s="11">
        <v>1</v>
      </c>
      <c r="X75" s="11">
        <v>1</v>
      </c>
      <c r="Y75" s="48">
        <v>100</v>
      </c>
    </row>
    <row r="76" spans="1:25" x14ac:dyDescent="0.2">
      <c r="A76" s="35" t="s">
        <v>1203</v>
      </c>
      <c r="B76" s="11">
        <v>1</v>
      </c>
      <c r="C76" s="11">
        <v>0.5</v>
      </c>
      <c r="D76" s="11">
        <v>1</v>
      </c>
      <c r="E76" s="11">
        <v>1</v>
      </c>
      <c r="F76" s="11">
        <v>1</v>
      </c>
      <c r="G76" s="11">
        <v>1</v>
      </c>
      <c r="H76" s="11">
        <v>1</v>
      </c>
      <c r="I76" s="11">
        <v>1</v>
      </c>
      <c r="J76" s="11" t="s">
        <v>51</v>
      </c>
      <c r="K76" s="11">
        <v>1</v>
      </c>
      <c r="L76" s="11">
        <v>1</v>
      </c>
      <c r="M76" s="11">
        <v>1</v>
      </c>
      <c r="N76" s="11">
        <v>1</v>
      </c>
      <c r="O76" s="11">
        <v>1</v>
      </c>
      <c r="P76" s="11">
        <v>1</v>
      </c>
      <c r="Q76" s="11">
        <v>1</v>
      </c>
      <c r="R76" s="11">
        <v>1</v>
      </c>
      <c r="S76" s="11">
        <v>1</v>
      </c>
      <c r="T76" s="11">
        <v>1</v>
      </c>
      <c r="U76" s="11">
        <v>1</v>
      </c>
      <c r="V76" s="11" t="s">
        <v>51</v>
      </c>
      <c r="W76" s="11" t="s">
        <v>51</v>
      </c>
      <c r="X76" s="11" t="s">
        <v>51</v>
      </c>
      <c r="Y76" s="48">
        <v>96.7</v>
      </c>
    </row>
    <row r="77" spans="1:25" x14ac:dyDescent="0.2">
      <c r="A77" s="35" t="s">
        <v>1204</v>
      </c>
      <c r="B77" s="11">
        <v>1</v>
      </c>
      <c r="C77" s="11">
        <v>1</v>
      </c>
      <c r="D77" s="11">
        <v>1</v>
      </c>
      <c r="E77" s="11">
        <v>1</v>
      </c>
      <c r="F77" s="11">
        <v>1</v>
      </c>
      <c r="G77" s="11">
        <v>1</v>
      </c>
      <c r="H77" s="11">
        <v>1</v>
      </c>
      <c r="I77" s="11">
        <v>1</v>
      </c>
      <c r="J77" s="11">
        <v>1</v>
      </c>
      <c r="K77" s="11">
        <v>1</v>
      </c>
      <c r="L77" s="11">
        <v>1</v>
      </c>
      <c r="M77" s="11">
        <v>1</v>
      </c>
      <c r="N77" s="11">
        <v>1</v>
      </c>
      <c r="O77" s="11">
        <v>1</v>
      </c>
      <c r="P77" s="11" t="s">
        <v>51</v>
      </c>
      <c r="Q77" s="11">
        <v>1</v>
      </c>
      <c r="R77" s="11">
        <v>1</v>
      </c>
      <c r="S77" s="11">
        <v>1</v>
      </c>
      <c r="T77" s="11">
        <v>1</v>
      </c>
      <c r="U77" s="11">
        <v>1</v>
      </c>
      <c r="V77" s="11">
        <v>1</v>
      </c>
      <c r="W77" s="11">
        <v>1</v>
      </c>
      <c r="X77" s="11">
        <v>1</v>
      </c>
      <c r="Y77" s="48">
        <v>100</v>
      </c>
    </row>
    <row r="78" spans="1:25" x14ac:dyDescent="0.2">
      <c r="A78" s="35" t="s">
        <v>1332</v>
      </c>
      <c r="B78" s="11">
        <v>1</v>
      </c>
      <c r="C78" s="11">
        <v>1</v>
      </c>
      <c r="D78" s="11">
        <v>1</v>
      </c>
      <c r="E78" s="11">
        <v>1</v>
      </c>
      <c r="F78" s="11">
        <v>1</v>
      </c>
      <c r="G78" s="11">
        <v>1</v>
      </c>
      <c r="H78" s="11">
        <v>1</v>
      </c>
      <c r="I78" s="11">
        <v>1</v>
      </c>
      <c r="J78" s="11">
        <v>1</v>
      </c>
      <c r="K78" s="11">
        <v>1</v>
      </c>
      <c r="L78" s="11">
        <v>1</v>
      </c>
      <c r="M78" s="11">
        <v>0.83333333333333337</v>
      </c>
      <c r="N78" s="11">
        <v>1</v>
      </c>
      <c r="O78" s="11">
        <v>1</v>
      </c>
      <c r="P78" s="11" t="s">
        <v>51</v>
      </c>
      <c r="Q78" s="11">
        <v>1</v>
      </c>
      <c r="R78" s="11">
        <v>0.8</v>
      </c>
      <c r="S78" s="11">
        <v>0.83333333333333337</v>
      </c>
      <c r="T78" s="11">
        <v>1</v>
      </c>
      <c r="U78" s="11">
        <v>1</v>
      </c>
      <c r="V78" s="11">
        <v>1</v>
      </c>
      <c r="W78" s="11">
        <v>1</v>
      </c>
      <c r="X78" s="11">
        <v>1</v>
      </c>
      <c r="Y78" s="48">
        <v>97.12</v>
      </c>
    </row>
    <row r="79" spans="1:25" x14ac:dyDescent="0.2">
      <c r="A79" s="35" t="s">
        <v>1334</v>
      </c>
      <c r="B79" s="11">
        <v>1</v>
      </c>
      <c r="C79" s="11">
        <v>1</v>
      </c>
      <c r="D79" s="11">
        <v>1</v>
      </c>
      <c r="E79" s="11">
        <v>1</v>
      </c>
      <c r="F79" s="11">
        <v>1</v>
      </c>
      <c r="G79" s="11">
        <v>1</v>
      </c>
      <c r="H79" s="11">
        <v>1</v>
      </c>
      <c r="I79" s="11" t="s">
        <v>51</v>
      </c>
      <c r="J79" s="11">
        <v>1</v>
      </c>
      <c r="K79" s="11">
        <v>1</v>
      </c>
      <c r="L79" s="11">
        <v>1</v>
      </c>
      <c r="M79" s="11">
        <v>1</v>
      </c>
      <c r="N79" s="11">
        <v>1</v>
      </c>
      <c r="O79" s="11">
        <v>1</v>
      </c>
      <c r="P79" s="11" t="s">
        <v>51</v>
      </c>
      <c r="Q79" s="11">
        <v>1</v>
      </c>
      <c r="R79" s="11">
        <v>0.66666666666666663</v>
      </c>
      <c r="S79" s="11">
        <v>1</v>
      </c>
      <c r="T79" s="11">
        <v>1</v>
      </c>
      <c r="U79" s="11">
        <v>1</v>
      </c>
      <c r="V79" s="11">
        <v>1</v>
      </c>
      <c r="W79" s="11">
        <v>1</v>
      </c>
      <c r="X79" s="11">
        <v>1</v>
      </c>
      <c r="Y79" s="48">
        <v>99.5</v>
      </c>
    </row>
    <row r="80" spans="1:25" x14ac:dyDescent="0.2">
      <c r="A80" s="10" t="s">
        <v>411</v>
      </c>
      <c r="B80" s="11">
        <v>0.97540983606557374</v>
      </c>
      <c r="C80" s="11">
        <v>0.97499999999999998</v>
      </c>
      <c r="D80" s="11">
        <v>0.96610169491525422</v>
      </c>
      <c r="E80" s="11">
        <v>1</v>
      </c>
      <c r="F80" s="11">
        <v>0.99180327868852458</v>
      </c>
      <c r="G80" s="11">
        <v>0.97540983606557374</v>
      </c>
      <c r="H80" s="11">
        <v>0.99180327868852458</v>
      </c>
      <c r="I80" s="11">
        <v>1</v>
      </c>
      <c r="J80" s="11">
        <v>0.96103896103896103</v>
      </c>
      <c r="K80" s="11">
        <v>0.98360655737704916</v>
      </c>
      <c r="L80" s="11">
        <v>1</v>
      </c>
      <c r="M80" s="11">
        <v>0.95</v>
      </c>
      <c r="N80" s="11">
        <v>0.96551724137931039</v>
      </c>
      <c r="O80" s="11">
        <v>0.96666666666666667</v>
      </c>
      <c r="P80" s="11">
        <v>0.94117647058823528</v>
      </c>
      <c r="Q80" s="11">
        <v>1</v>
      </c>
      <c r="R80" s="11">
        <v>0.83116883116883122</v>
      </c>
      <c r="S80" s="11">
        <v>0.95</v>
      </c>
      <c r="T80" s="11">
        <v>1</v>
      </c>
      <c r="U80" s="11">
        <v>0.99047619047619051</v>
      </c>
      <c r="V80" s="11">
        <v>0.96875</v>
      </c>
      <c r="W80" s="11">
        <v>1</v>
      </c>
      <c r="X80" s="11">
        <v>1</v>
      </c>
      <c r="Y80" s="48">
        <v>97.1863758149413</v>
      </c>
    </row>
    <row r="81" spans="1:25" x14ac:dyDescent="0.2">
      <c r="A81" s="35" t="s">
        <v>356</v>
      </c>
      <c r="B81" s="11">
        <v>1</v>
      </c>
      <c r="C81" s="11">
        <v>1</v>
      </c>
      <c r="D81" s="11">
        <v>1</v>
      </c>
      <c r="E81" s="11">
        <v>1</v>
      </c>
      <c r="F81" s="11">
        <v>1</v>
      </c>
      <c r="G81" s="11">
        <v>1</v>
      </c>
      <c r="H81" s="11">
        <v>1</v>
      </c>
      <c r="I81" s="11" t="s">
        <v>51</v>
      </c>
      <c r="J81" s="11">
        <v>1</v>
      </c>
      <c r="K81" s="11">
        <v>1</v>
      </c>
      <c r="L81" s="11">
        <v>1</v>
      </c>
      <c r="M81" s="11">
        <v>1</v>
      </c>
      <c r="N81" s="11">
        <v>1</v>
      </c>
      <c r="O81" s="11">
        <v>1</v>
      </c>
      <c r="P81" s="11" t="s">
        <v>51</v>
      </c>
      <c r="Q81" s="11">
        <v>1</v>
      </c>
      <c r="R81" s="11">
        <v>0.83333333333333337</v>
      </c>
      <c r="S81" s="11">
        <v>1</v>
      </c>
      <c r="T81" s="11">
        <v>1</v>
      </c>
      <c r="U81" s="11">
        <v>1</v>
      </c>
      <c r="V81" s="11">
        <v>1</v>
      </c>
      <c r="W81" s="11">
        <v>1</v>
      </c>
      <c r="X81" s="11">
        <v>1</v>
      </c>
      <c r="Y81" s="48">
        <v>99.666666666666671</v>
      </c>
    </row>
    <row r="82" spans="1:25" x14ac:dyDescent="0.2">
      <c r="A82" s="35" t="s">
        <v>197</v>
      </c>
      <c r="B82" s="11">
        <v>1</v>
      </c>
      <c r="C82" s="11">
        <v>1</v>
      </c>
      <c r="D82" s="11">
        <v>1</v>
      </c>
      <c r="E82" s="11">
        <v>1</v>
      </c>
      <c r="F82" s="11">
        <v>1</v>
      </c>
      <c r="G82" s="11">
        <v>1</v>
      </c>
      <c r="H82" s="11">
        <v>1</v>
      </c>
      <c r="I82" s="11">
        <v>1</v>
      </c>
      <c r="J82" s="11">
        <v>0.5</v>
      </c>
      <c r="K82" s="11">
        <v>1</v>
      </c>
      <c r="L82" s="11">
        <v>1</v>
      </c>
      <c r="M82" s="11">
        <v>1</v>
      </c>
      <c r="N82" s="11">
        <v>1</v>
      </c>
      <c r="O82" s="11">
        <v>1</v>
      </c>
      <c r="P82" s="11">
        <v>1</v>
      </c>
      <c r="Q82" s="11">
        <v>1</v>
      </c>
      <c r="R82" s="11">
        <v>1</v>
      </c>
      <c r="S82" s="11">
        <v>1</v>
      </c>
      <c r="T82" s="11">
        <v>1</v>
      </c>
      <c r="U82" s="11">
        <v>1</v>
      </c>
      <c r="V82" s="11" t="s">
        <v>51</v>
      </c>
      <c r="W82" s="11" t="s">
        <v>51</v>
      </c>
      <c r="X82" s="11">
        <v>1</v>
      </c>
      <c r="Y82" s="48">
        <v>99.6</v>
      </c>
    </row>
    <row r="83" spans="1:25" x14ac:dyDescent="0.2">
      <c r="A83" s="35" t="s">
        <v>201</v>
      </c>
      <c r="B83" s="11">
        <v>1</v>
      </c>
      <c r="C83" s="11">
        <v>1</v>
      </c>
      <c r="D83" s="11">
        <v>1</v>
      </c>
      <c r="E83" s="11">
        <v>1</v>
      </c>
      <c r="F83" s="11">
        <v>1</v>
      </c>
      <c r="G83" s="11">
        <v>1</v>
      </c>
      <c r="H83" s="11">
        <v>1</v>
      </c>
      <c r="I83" s="11" t="s">
        <v>51</v>
      </c>
      <c r="J83" s="11">
        <v>1</v>
      </c>
      <c r="K83" s="11">
        <v>1</v>
      </c>
      <c r="L83" s="11">
        <v>1</v>
      </c>
      <c r="M83" s="11">
        <v>1</v>
      </c>
      <c r="N83" s="11">
        <v>1</v>
      </c>
      <c r="O83" s="11">
        <v>1</v>
      </c>
      <c r="P83" s="11" t="s">
        <v>51</v>
      </c>
      <c r="Q83" s="11">
        <v>1</v>
      </c>
      <c r="R83" s="11">
        <v>1</v>
      </c>
      <c r="S83" s="11">
        <v>1</v>
      </c>
      <c r="T83" s="11">
        <v>1</v>
      </c>
      <c r="U83" s="11">
        <v>1</v>
      </c>
      <c r="V83" s="11">
        <v>1</v>
      </c>
      <c r="W83" s="11">
        <v>1</v>
      </c>
      <c r="X83" s="11">
        <v>1</v>
      </c>
      <c r="Y83" s="48">
        <v>100</v>
      </c>
    </row>
    <row r="84" spans="1:25" x14ac:dyDescent="0.2">
      <c r="A84" s="35" t="s">
        <v>247</v>
      </c>
      <c r="B84" s="11">
        <v>1</v>
      </c>
      <c r="C84" s="11">
        <v>0.8</v>
      </c>
      <c r="D84" s="11">
        <v>1</v>
      </c>
      <c r="E84" s="11">
        <v>1</v>
      </c>
      <c r="F84" s="11">
        <v>1</v>
      </c>
      <c r="G84" s="11">
        <v>1</v>
      </c>
      <c r="H84" s="11">
        <v>1</v>
      </c>
      <c r="I84" s="11">
        <v>1</v>
      </c>
      <c r="J84" s="11">
        <v>1</v>
      </c>
      <c r="K84" s="11">
        <v>1</v>
      </c>
      <c r="L84" s="11">
        <v>1</v>
      </c>
      <c r="M84" s="11">
        <v>1</v>
      </c>
      <c r="N84" s="11">
        <v>1</v>
      </c>
      <c r="O84" s="11">
        <v>1</v>
      </c>
      <c r="P84" s="11">
        <v>1</v>
      </c>
      <c r="Q84" s="11">
        <v>1</v>
      </c>
      <c r="R84" s="11">
        <v>1</v>
      </c>
      <c r="S84" s="11">
        <v>1</v>
      </c>
      <c r="T84" s="11">
        <v>1</v>
      </c>
      <c r="U84" s="11">
        <v>1</v>
      </c>
      <c r="V84" s="11">
        <v>1</v>
      </c>
      <c r="W84" s="11">
        <v>1</v>
      </c>
      <c r="X84" s="11">
        <v>1</v>
      </c>
      <c r="Y84" s="48">
        <v>98.679999999999993</v>
      </c>
    </row>
    <row r="85" spans="1:25" x14ac:dyDescent="0.2">
      <c r="A85" s="35" t="s">
        <v>233</v>
      </c>
      <c r="B85" s="11">
        <v>1</v>
      </c>
      <c r="C85" s="11">
        <v>0.8</v>
      </c>
      <c r="D85" s="11">
        <v>1</v>
      </c>
      <c r="E85" s="11">
        <v>1</v>
      </c>
      <c r="F85" s="11">
        <v>1</v>
      </c>
      <c r="G85" s="11">
        <v>1</v>
      </c>
      <c r="H85" s="11">
        <v>1</v>
      </c>
      <c r="I85" s="11">
        <v>1</v>
      </c>
      <c r="J85" s="11">
        <v>1</v>
      </c>
      <c r="K85" s="11">
        <v>1</v>
      </c>
      <c r="L85" s="11">
        <v>1</v>
      </c>
      <c r="M85" s="11">
        <v>1</v>
      </c>
      <c r="N85" s="11">
        <v>1</v>
      </c>
      <c r="O85" s="11">
        <v>1</v>
      </c>
      <c r="P85" s="11">
        <v>1</v>
      </c>
      <c r="Q85" s="11">
        <v>1</v>
      </c>
      <c r="R85" s="11">
        <v>0.66666666666666663</v>
      </c>
      <c r="S85" s="11">
        <v>1</v>
      </c>
      <c r="T85" s="11">
        <v>1</v>
      </c>
      <c r="U85" s="11">
        <v>1</v>
      </c>
      <c r="V85" s="11">
        <v>1</v>
      </c>
      <c r="W85" s="11">
        <v>1</v>
      </c>
      <c r="X85" s="11">
        <v>1</v>
      </c>
      <c r="Y85" s="48">
        <v>98.08</v>
      </c>
    </row>
    <row r="86" spans="1:25" x14ac:dyDescent="0.2">
      <c r="A86" s="35" t="s">
        <v>323</v>
      </c>
      <c r="B86" s="11">
        <v>1</v>
      </c>
      <c r="C86" s="11">
        <v>1</v>
      </c>
      <c r="D86" s="11">
        <v>1</v>
      </c>
      <c r="E86" s="11">
        <v>1</v>
      </c>
      <c r="F86" s="11">
        <v>1</v>
      </c>
      <c r="G86" s="11">
        <v>1</v>
      </c>
      <c r="H86" s="11">
        <v>1</v>
      </c>
      <c r="I86" s="11" t="s">
        <v>51</v>
      </c>
      <c r="J86" s="11">
        <v>1</v>
      </c>
      <c r="K86" s="11">
        <v>1</v>
      </c>
      <c r="L86" s="11">
        <v>1</v>
      </c>
      <c r="M86" s="11">
        <v>1</v>
      </c>
      <c r="N86" s="11">
        <v>0.75</v>
      </c>
      <c r="O86" s="11">
        <v>0.75</v>
      </c>
      <c r="P86" s="11" t="s">
        <v>51</v>
      </c>
      <c r="Q86" s="11">
        <v>1</v>
      </c>
      <c r="R86" s="11">
        <v>0.75</v>
      </c>
      <c r="S86" s="11">
        <v>0.25</v>
      </c>
      <c r="T86" s="11">
        <v>1</v>
      </c>
      <c r="U86" s="11">
        <v>1</v>
      </c>
      <c r="V86" s="11">
        <v>1</v>
      </c>
      <c r="W86" s="11">
        <v>1</v>
      </c>
      <c r="X86" s="11">
        <v>1</v>
      </c>
      <c r="Y86" s="48">
        <v>91.598214285714278</v>
      </c>
    </row>
    <row r="87" spans="1:25" x14ac:dyDescent="0.2">
      <c r="A87" s="35" t="s">
        <v>300</v>
      </c>
      <c r="B87" s="11">
        <v>0.8</v>
      </c>
      <c r="C87" s="11">
        <v>1</v>
      </c>
      <c r="D87" s="11">
        <v>1</v>
      </c>
      <c r="E87" s="11">
        <v>1</v>
      </c>
      <c r="F87" s="11">
        <v>1</v>
      </c>
      <c r="G87" s="11">
        <v>1</v>
      </c>
      <c r="H87" s="11">
        <v>1</v>
      </c>
      <c r="I87" s="11">
        <v>1</v>
      </c>
      <c r="J87" s="11">
        <v>1</v>
      </c>
      <c r="K87" s="11">
        <v>1</v>
      </c>
      <c r="L87" s="11">
        <v>1</v>
      </c>
      <c r="M87" s="11">
        <v>1</v>
      </c>
      <c r="N87" s="11">
        <v>1</v>
      </c>
      <c r="O87" s="11">
        <v>0.8</v>
      </c>
      <c r="P87" s="11">
        <v>1</v>
      </c>
      <c r="Q87" s="11">
        <v>1</v>
      </c>
      <c r="R87" s="11">
        <v>0.5</v>
      </c>
      <c r="S87" s="11">
        <v>1</v>
      </c>
      <c r="T87" s="11">
        <v>1</v>
      </c>
      <c r="U87" s="11">
        <v>1</v>
      </c>
      <c r="V87" s="11">
        <v>1</v>
      </c>
      <c r="W87" s="11">
        <v>1</v>
      </c>
      <c r="X87" s="11">
        <v>1</v>
      </c>
      <c r="Y87" s="48">
        <v>97.2</v>
      </c>
    </row>
    <row r="88" spans="1:25" x14ac:dyDescent="0.2">
      <c r="A88" s="35" t="s">
        <v>42</v>
      </c>
      <c r="B88" s="11">
        <v>1</v>
      </c>
      <c r="C88" s="11">
        <v>1</v>
      </c>
      <c r="D88" s="11">
        <v>1</v>
      </c>
      <c r="E88" s="11">
        <v>1</v>
      </c>
      <c r="F88" s="11">
        <v>1</v>
      </c>
      <c r="G88" s="11">
        <v>1</v>
      </c>
      <c r="H88" s="11">
        <v>1</v>
      </c>
      <c r="I88" s="11" t="s">
        <v>51</v>
      </c>
      <c r="J88" s="11">
        <v>1</v>
      </c>
      <c r="K88" s="11">
        <v>1</v>
      </c>
      <c r="L88" s="11">
        <v>1</v>
      </c>
      <c r="M88" s="11">
        <v>1</v>
      </c>
      <c r="N88" s="11">
        <v>1</v>
      </c>
      <c r="O88" s="11">
        <v>1</v>
      </c>
      <c r="P88" s="11" t="s">
        <v>51</v>
      </c>
      <c r="Q88" s="11">
        <v>1</v>
      </c>
      <c r="R88" s="11">
        <v>1</v>
      </c>
      <c r="S88" s="11">
        <v>1</v>
      </c>
      <c r="T88" s="11">
        <v>1</v>
      </c>
      <c r="U88" s="11">
        <v>1</v>
      </c>
      <c r="V88" s="11">
        <v>1</v>
      </c>
      <c r="W88" s="11">
        <v>1</v>
      </c>
      <c r="X88" s="11">
        <v>1</v>
      </c>
      <c r="Y88" s="48">
        <v>100</v>
      </c>
    </row>
    <row r="89" spans="1:25" x14ac:dyDescent="0.2">
      <c r="A89" s="35" t="s">
        <v>360</v>
      </c>
      <c r="B89" s="11">
        <v>1</v>
      </c>
      <c r="C89" s="11">
        <v>1</v>
      </c>
      <c r="D89" s="11">
        <v>1</v>
      </c>
      <c r="E89" s="11">
        <v>1</v>
      </c>
      <c r="F89" s="11">
        <v>1</v>
      </c>
      <c r="G89" s="11">
        <v>1</v>
      </c>
      <c r="H89" s="11">
        <v>1</v>
      </c>
      <c r="I89" s="11" t="s">
        <v>51</v>
      </c>
      <c r="J89" s="11">
        <v>1</v>
      </c>
      <c r="K89" s="11">
        <v>1</v>
      </c>
      <c r="L89" s="11">
        <v>1</v>
      </c>
      <c r="M89" s="11">
        <v>0.75</v>
      </c>
      <c r="N89" s="11">
        <v>1</v>
      </c>
      <c r="O89" s="11">
        <v>1</v>
      </c>
      <c r="P89" s="11">
        <v>1</v>
      </c>
      <c r="Q89" s="11">
        <v>1</v>
      </c>
      <c r="R89" s="11">
        <v>0.66666666666666663</v>
      </c>
      <c r="S89" s="11">
        <v>0.66666666666666663</v>
      </c>
      <c r="T89" s="11">
        <v>1</v>
      </c>
      <c r="U89" s="11">
        <v>1</v>
      </c>
      <c r="V89" s="11">
        <v>1</v>
      </c>
      <c r="W89" s="11">
        <v>1</v>
      </c>
      <c r="X89" s="11">
        <v>1</v>
      </c>
      <c r="Y89" s="48">
        <v>91.02624806999485</v>
      </c>
    </row>
    <row r="90" spans="1:25" x14ac:dyDescent="0.2">
      <c r="A90" s="35" t="s">
        <v>266</v>
      </c>
      <c r="B90" s="11">
        <v>0.83333333333333337</v>
      </c>
      <c r="C90" s="11">
        <v>1</v>
      </c>
      <c r="D90" s="11">
        <v>1</v>
      </c>
      <c r="E90" s="11">
        <v>1</v>
      </c>
      <c r="F90" s="11">
        <v>1</v>
      </c>
      <c r="G90" s="11">
        <v>0.83333333333333337</v>
      </c>
      <c r="H90" s="11">
        <v>1</v>
      </c>
      <c r="I90" s="11" t="s">
        <v>51</v>
      </c>
      <c r="J90" s="11">
        <v>1</v>
      </c>
      <c r="K90" s="11">
        <v>1</v>
      </c>
      <c r="L90" s="11">
        <v>1</v>
      </c>
      <c r="M90" s="11">
        <v>0.83333333333333337</v>
      </c>
      <c r="N90" s="11">
        <v>0.83333333333333337</v>
      </c>
      <c r="O90" s="11">
        <v>1</v>
      </c>
      <c r="P90" s="11">
        <v>0</v>
      </c>
      <c r="Q90" s="11">
        <v>1</v>
      </c>
      <c r="R90" s="11">
        <v>1</v>
      </c>
      <c r="S90" s="11">
        <v>1</v>
      </c>
      <c r="T90" s="11">
        <v>1</v>
      </c>
      <c r="U90" s="11">
        <v>1</v>
      </c>
      <c r="V90" s="11">
        <v>1</v>
      </c>
      <c r="W90" s="11">
        <v>1</v>
      </c>
      <c r="X90" s="11">
        <v>1</v>
      </c>
      <c r="Y90" s="48">
        <v>91.666666666666671</v>
      </c>
    </row>
    <row r="91" spans="1:25" x14ac:dyDescent="0.2">
      <c r="A91" s="35" t="s">
        <v>278</v>
      </c>
      <c r="B91" s="11">
        <v>1</v>
      </c>
      <c r="C91" s="11">
        <v>1</v>
      </c>
      <c r="D91" s="11">
        <v>1</v>
      </c>
      <c r="E91" s="11">
        <v>1</v>
      </c>
      <c r="F91" s="11">
        <v>1</v>
      </c>
      <c r="G91" s="11">
        <v>1</v>
      </c>
      <c r="H91" s="11">
        <v>1</v>
      </c>
      <c r="I91" s="11" t="s">
        <v>51</v>
      </c>
      <c r="J91" s="11">
        <v>1</v>
      </c>
      <c r="K91" s="11">
        <v>1</v>
      </c>
      <c r="L91" s="11">
        <v>1</v>
      </c>
      <c r="M91" s="11">
        <v>0.8571428571428571</v>
      </c>
      <c r="N91" s="11">
        <v>0.8571428571428571</v>
      </c>
      <c r="O91" s="11">
        <v>1</v>
      </c>
      <c r="P91" s="11" t="s">
        <v>51</v>
      </c>
      <c r="Q91" s="11">
        <v>1</v>
      </c>
      <c r="R91" s="11">
        <v>1</v>
      </c>
      <c r="S91" s="11">
        <v>0.7142857142857143</v>
      </c>
      <c r="T91" s="11">
        <v>1</v>
      </c>
      <c r="U91" s="11">
        <v>1</v>
      </c>
      <c r="V91" s="11">
        <v>0.83333333333333337</v>
      </c>
      <c r="W91" s="11">
        <v>1</v>
      </c>
      <c r="X91" s="11">
        <v>1</v>
      </c>
      <c r="Y91" s="48">
        <v>95.571428571428569</v>
      </c>
    </row>
    <row r="92" spans="1:25" x14ac:dyDescent="0.2">
      <c r="A92" s="35" t="s">
        <v>272</v>
      </c>
      <c r="B92" s="11">
        <v>1</v>
      </c>
      <c r="C92" s="11">
        <v>1</v>
      </c>
      <c r="D92" s="11">
        <v>1</v>
      </c>
      <c r="E92" s="11">
        <v>1</v>
      </c>
      <c r="F92" s="11">
        <v>1</v>
      </c>
      <c r="G92" s="11">
        <v>1</v>
      </c>
      <c r="H92" s="11">
        <v>1</v>
      </c>
      <c r="I92" s="11" t="s">
        <v>51</v>
      </c>
      <c r="J92" s="11">
        <v>1</v>
      </c>
      <c r="K92" s="11">
        <v>1</v>
      </c>
      <c r="L92" s="11">
        <v>1</v>
      </c>
      <c r="M92" s="11">
        <v>1</v>
      </c>
      <c r="N92" s="11">
        <v>1</v>
      </c>
      <c r="O92" s="11">
        <v>1</v>
      </c>
      <c r="P92" s="11" t="s">
        <v>51</v>
      </c>
      <c r="Q92" s="11">
        <v>1</v>
      </c>
      <c r="R92" s="11">
        <v>1</v>
      </c>
      <c r="S92" s="11">
        <v>1</v>
      </c>
      <c r="T92" s="11">
        <v>1</v>
      </c>
      <c r="U92" s="11">
        <v>1</v>
      </c>
      <c r="V92" s="11">
        <v>1</v>
      </c>
      <c r="W92" s="11">
        <v>1</v>
      </c>
      <c r="X92" s="11">
        <v>1</v>
      </c>
      <c r="Y92" s="48">
        <v>100</v>
      </c>
    </row>
    <row r="93" spans="1:25" x14ac:dyDescent="0.2">
      <c r="A93" s="35" t="s">
        <v>78</v>
      </c>
      <c r="B93" s="11">
        <v>1</v>
      </c>
      <c r="C93" s="11">
        <v>1</v>
      </c>
      <c r="D93" s="11">
        <v>1</v>
      </c>
      <c r="E93" s="11">
        <v>1</v>
      </c>
      <c r="F93" s="11">
        <v>1</v>
      </c>
      <c r="G93" s="11">
        <v>1</v>
      </c>
      <c r="H93" s="11">
        <v>1</v>
      </c>
      <c r="I93" s="11" t="s">
        <v>51</v>
      </c>
      <c r="J93" s="11">
        <v>0.5</v>
      </c>
      <c r="K93" s="11">
        <v>1</v>
      </c>
      <c r="L93" s="11">
        <v>1</v>
      </c>
      <c r="M93" s="11">
        <v>1</v>
      </c>
      <c r="N93" s="11">
        <v>1</v>
      </c>
      <c r="O93" s="11">
        <v>1</v>
      </c>
      <c r="P93" s="11">
        <v>1</v>
      </c>
      <c r="Q93" s="11">
        <v>1</v>
      </c>
      <c r="R93" s="11">
        <v>1</v>
      </c>
      <c r="S93" s="11">
        <v>1</v>
      </c>
      <c r="T93" s="11">
        <v>1</v>
      </c>
      <c r="U93" s="11">
        <v>1</v>
      </c>
      <c r="V93" s="11">
        <v>1</v>
      </c>
      <c r="W93" s="11">
        <v>1</v>
      </c>
      <c r="X93" s="11">
        <v>1</v>
      </c>
      <c r="Y93" s="48">
        <v>99</v>
      </c>
    </row>
    <row r="94" spans="1:25" x14ac:dyDescent="0.2">
      <c r="A94" s="35" t="s">
        <v>179</v>
      </c>
      <c r="B94" s="11">
        <v>1</v>
      </c>
      <c r="C94" s="11">
        <v>1</v>
      </c>
      <c r="D94" s="11">
        <v>1</v>
      </c>
      <c r="E94" s="11">
        <v>1</v>
      </c>
      <c r="F94" s="11">
        <v>1</v>
      </c>
      <c r="G94" s="11">
        <v>1</v>
      </c>
      <c r="H94" s="11">
        <v>1</v>
      </c>
      <c r="I94" s="11">
        <v>1</v>
      </c>
      <c r="J94" s="11">
        <v>1</v>
      </c>
      <c r="K94" s="11">
        <v>1</v>
      </c>
      <c r="L94" s="11">
        <v>1</v>
      </c>
      <c r="M94" s="11">
        <v>1</v>
      </c>
      <c r="N94" s="11">
        <v>1</v>
      </c>
      <c r="O94" s="11">
        <v>1</v>
      </c>
      <c r="P94" s="11">
        <v>1</v>
      </c>
      <c r="Q94" s="11">
        <v>1</v>
      </c>
      <c r="R94" s="11">
        <v>0.66666666666666663</v>
      </c>
      <c r="S94" s="11">
        <v>1</v>
      </c>
      <c r="T94" s="11">
        <v>1</v>
      </c>
      <c r="U94" s="11">
        <v>1</v>
      </c>
      <c r="V94" s="11">
        <v>1</v>
      </c>
      <c r="W94" s="11">
        <v>1</v>
      </c>
      <c r="X94" s="11">
        <v>1</v>
      </c>
      <c r="Y94" s="48">
        <v>99.6</v>
      </c>
    </row>
    <row r="95" spans="1:25" x14ac:dyDescent="0.2">
      <c r="A95" s="35" t="s">
        <v>191</v>
      </c>
      <c r="B95" s="11">
        <v>1</v>
      </c>
      <c r="C95" s="11">
        <v>1</v>
      </c>
      <c r="D95" s="11">
        <v>1</v>
      </c>
      <c r="E95" s="11">
        <v>1</v>
      </c>
      <c r="F95" s="11">
        <v>1</v>
      </c>
      <c r="G95" s="11">
        <v>1</v>
      </c>
      <c r="H95" s="11">
        <v>1</v>
      </c>
      <c r="I95" s="11" t="s">
        <v>51</v>
      </c>
      <c r="J95" s="11">
        <v>1</v>
      </c>
      <c r="K95" s="11">
        <v>1</v>
      </c>
      <c r="L95" s="11">
        <v>1</v>
      </c>
      <c r="M95" s="11">
        <v>1</v>
      </c>
      <c r="N95" s="11">
        <v>1</v>
      </c>
      <c r="O95" s="11">
        <v>1</v>
      </c>
      <c r="P95" s="11" t="s">
        <v>51</v>
      </c>
      <c r="Q95" s="11">
        <v>1</v>
      </c>
      <c r="R95" s="11">
        <v>1</v>
      </c>
      <c r="S95" s="11">
        <v>1</v>
      </c>
      <c r="T95" s="11">
        <v>1</v>
      </c>
      <c r="U95" s="11">
        <v>1</v>
      </c>
      <c r="V95" s="11">
        <v>1</v>
      </c>
      <c r="W95" s="11">
        <v>1</v>
      </c>
      <c r="X95" s="11">
        <v>1</v>
      </c>
      <c r="Y95" s="48">
        <v>100</v>
      </c>
    </row>
    <row r="96" spans="1:25" x14ac:dyDescent="0.2">
      <c r="A96" s="35" t="s">
        <v>53</v>
      </c>
      <c r="B96" s="11">
        <v>1</v>
      </c>
      <c r="C96" s="11">
        <v>1</v>
      </c>
      <c r="D96" s="11">
        <v>1</v>
      </c>
      <c r="E96" s="11">
        <v>1</v>
      </c>
      <c r="F96" s="11">
        <v>1</v>
      </c>
      <c r="G96" s="11">
        <v>1</v>
      </c>
      <c r="H96" s="11">
        <v>1</v>
      </c>
      <c r="I96" s="11" t="s">
        <v>51</v>
      </c>
      <c r="J96" s="11" t="s">
        <v>51</v>
      </c>
      <c r="K96" s="11">
        <v>1</v>
      </c>
      <c r="L96" s="11">
        <v>1</v>
      </c>
      <c r="M96" s="11">
        <v>1</v>
      </c>
      <c r="N96" s="11">
        <v>1</v>
      </c>
      <c r="O96" s="11">
        <v>1</v>
      </c>
      <c r="P96" s="11" t="s">
        <v>51</v>
      </c>
      <c r="Q96" s="11">
        <v>1</v>
      </c>
      <c r="R96" s="11" t="s">
        <v>51</v>
      </c>
      <c r="S96" s="11">
        <v>1</v>
      </c>
      <c r="T96" s="11">
        <v>1</v>
      </c>
      <c r="U96" s="11" t="s">
        <v>51</v>
      </c>
      <c r="V96" s="11" t="s">
        <v>51</v>
      </c>
      <c r="W96" s="11" t="s">
        <v>51</v>
      </c>
      <c r="X96" s="11" t="s">
        <v>51</v>
      </c>
      <c r="Y96" s="48">
        <v>100</v>
      </c>
    </row>
    <row r="97" spans="1:25" x14ac:dyDescent="0.2">
      <c r="A97" s="35" t="s">
        <v>82</v>
      </c>
      <c r="B97" s="11">
        <v>1</v>
      </c>
      <c r="C97" s="11">
        <v>1</v>
      </c>
      <c r="D97" s="11">
        <v>1</v>
      </c>
      <c r="E97" s="11">
        <v>1</v>
      </c>
      <c r="F97" s="11">
        <v>1</v>
      </c>
      <c r="G97" s="11">
        <v>1</v>
      </c>
      <c r="H97" s="11">
        <v>1</v>
      </c>
      <c r="I97" s="11" t="s">
        <v>51</v>
      </c>
      <c r="J97" s="11">
        <v>1</v>
      </c>
      <c r="K97" s="11">
        <v>1</v>
      </c>
      <c r="L97" s="11">
        <v>1</v>
      </c>
      <c r="M97" s="11">
        <v>1</v>
      </c>
      <c r="N97" s="11">
        <v>1</v>
      </c>
      <c r="O97" s="11">
        <v>1</v>
      </c>
      <c r="P97" s="11" t="s">
        <v>51</v>
      </c>
      <c r="Q97" s="11">
        <v>1</v>
      </c>
      <c r="R97" s="11">
        <v>1</v>
      </c>
      <c r="S97" s="11">
        <v>1</v>
      </c>
      <c r="T97" s="11">
        <v>1</v>
      </c>
      <c r="U97" s="11">
        <v>1</v>
      </c>
      <c r="V97" s="11">
        <v>1</v>
      </c>
      <c r="W97" s="11">
        <v>1</v>
      </c>
      <c r="X97" s="11">
        <v>1</v>
      </c>
      <c r="Y97" s="48">
        <v>100</v>
      </c>
    </row>
    <row r="98" spans="1:25" x14ac:dyDescent="0.2">
      <c r="A98" s="35" t="s">
        <v>120</v>
      </c>
      <c r="B98" s="11">
        <v>1</v>
      </c>
      <c r="C98" s="11">
        <v>1</v>
      </c>
      <c r="D98" s="11">
        <v>1</v>
      </c>
      <c r="E98" s="11">
        <v>1</v>
      </c>
      <c r="F98" s="11">
        <v>1</v>
      </c>
      <c r="G98" s="11">
        <v>1</v>
      </c>
      <c r="H98" s="11">
        <v>1</v>
      </c>
      <c r="I98" s="11" t="s">
        <v>51</v>
      </c>
      <c r="J98" s="11">
        <v>1</v>
      </c>
      <c r="K98" s="11">
        <v>1</v>
      </c>
      <c r="L98" s="11">
        <v>1</v>
      </c>
      <c r="M98" s="11">
        <v>1</v>
      </c>
      <c r="N98" s="11">
        <v>0</v>
      </c>
      <c r="O98" s="11">
        <v>1</v>
      </c>
      <c r="P98" s="11" t="s">
        <v>51</v>
      </c>
      <c r="Q98" s="11">
        <v>1</v>
      </c>
      <c r="R98" s="11">
        <v>1</v>
      </c>
      <c r="S98" s="11">
        <v>1</v>
      </c>
      <c r="T98" s="11">
        <v>1</v>
      </c>
      <c r="U98" s="11">
        <v>0</v>
      </c>
      <c r="V98" s="11" t="s">
        <v>51</v>
      </c>
      <c r="W98" s="11" t="s">
        <v>51</v>
      </c>
      <c r="X98" s="11" t="s">
        <v>51</v>
      </c>
      <c r="Y98" s="48">
        <v>85.04</v>
      </c>
    </row>
    <row r="99" spans="1:25" x14ac:dyDescent="0.2">
      <c r="A99" s="35" t="s">
        <v>130</v>
      </c>
      <c r="B99" s="11">
        <v>1</v>
      </c>
      <c r="C99" s="11">
        <v>1</v>
      </c>
      <c r="D99" s="11">
        <v>1</v>
      </c>
      <c r="E99" s="11">
        <v>1</v>
      </c>
      <c r="F99" s="11">
        <v>1</v>
      </c>
      <c r="G99" s="11">
        <v>1</v>
      </c>
      <c r="H99" s="11">
        <v>1</v>
      </c>
      <c r="I99" s="11" t="s">
        <v>51</v>
      </c>
      <c r="J99" s="11">
        <v>1</v>
      </c>
      <c r="K99" s="11">
        <v>1</v>
      </c>
      <c r="L99" s="11">
        <v>1</v>
      </c>
      <c r="M99" s="11">
        <v>1</v>
      </c>
      <c r="N99" s="11">
        <v>1</v>
      </c>
      <c r="O99" s="11">
        <v>1</v>
      </c>
      <c r="P99" s="11" t="s">
        <v>51</v>
      </c>
      <c r="Q99" s="11">
        <v>1</v>
      </c>
      <c r="R99" s="11">
        <v>0</v>
      </c>
      <c r="S99" s="11">
        <v>1</v>
      </c>
      <c r="T99" s="11">
        <v>1</v>
      </c>
      <c r="U99" s="11">
        <v>1</v>
      </c>
      <c r="V99" s="11">
        <v>1</v>
      </c>
      <c r="W99" s="11">
        <v>1</v>
      </c>
      <c r="X99" s="11">
        <v>1</v>
      </c>
      <c r="Y99" s="48">
        <v>98</v>
      </c>
    </row>
    <row r="100" spans="1:25" x14ac:dyDescent="0.2">
      <c r="A100" s="35" t="s">
        <v>68</v>
      </c>
      <c r="B100" s="11">
        <v>1</v>
      </c>
      <c r="C100" s="11">
        <v>1</v>
      </c>
      <c r="D100" s="11">
        <v>1</v>
      </c>
      <c r="E100" s="11">
        <v>1</v>
      </c>
      <c r="F100" s="11">
        <v>1</v>
      </c>
      <c r="G100" s="11">
        <v>1</v>
      </c>
      <c r="H100" s="11">
        <v>1</v>
      </c>
      <c r="I100" s="11" t="s">
        <v>51</v>
      </c>
      <c r="J100" s="11">
        <v>1</v>
      </c>
      <c r="K100" s="11">
        <v>1</v>
      </c>
      <c r="L100" s="11">
        <v>1</v>
      </c>
      <c r="M100" s="11">
        <v>1</v>
      </c>
      <c r="N100" s="11">
        <v>1</v>
      </c>
      <c r="O100" s="11">
        <v>1</v>
      </c>
      <c r="P100" s="11" t="s">
        <v>51</v>
      </c>
      <c r="Q100" s="11">
        <v>1</v>
      </c>
      <c r="R100" s="11" t="s">
        <v>51</v>
      </c>
      <c r="S100" s="11">
        <v>1</v>
      </c>
      <c r="T100" s="11">
        <v>1</v>
      </c>
      <c r="U100" s="11">
        <v>1</v>
      </c>
      <c r="V100" s="11" t="s">
        <v>51</v>
      </c>
      <c r="W100" s="11" t="s">
        <v>51</v>
      </c>
      <c r="X100" s="11" t="s">
        <v>51</v>
      </c>
      <c r="Y100" s="48">
        <v>100</v>
      </c>
    </row>
    <row r="101" spans="1:25" x14ac:dyDescent="0.2">
      <c r="A101" s="35" t="s">
        <v>484</v>
      </c>
      <c r="B101" s="11">
        <v>1</v>
      </c>
      <c r="C101" s="11">
        <v>1</v>
      </c>
      <c r="D101" s="11">
        <v>1</v>
      </c>
      <c r="E101" s="11">
        <v>1</v>
      </c>
      <c r="F101" s="11">
        <v>1</v>
      </c>
      <c r="G101" s="11">
        <v>1</v>
      </c>
      <c r="H101" s="11">
        <v>1</v>
      </c>
      <c r="I101" s="11" t="s">
        <v>51</v>
      </c>
      <c r="J101" s="11" t="s">
        <v>51</v>
      </c>
      <c r="K101" s="11">
        <v>1</v>
      </c>
      <c r="L101" s="11">
        <v>1</v>
      </c>
      <c r="M101" s="11">
        <v>1</v>
      </c>
      <c r="N101" s="11">
        <v>1</v>
      </c>
      <c r="O101" s="11">
        <v>1</v>
      </c>
      <c r="P101" s="11" t="s">
        <v>51</v>
      </c>
      <c r="Q101" s="11">
        <v>1</v>
      </c>
      <c r="R101" s="11" t="s">
        <v>51</v>
      </c>
      <c r="S101" s="11">
        <v>1</v>
      </c>
      <c r="T101" s="11">
        <v>1</v>
      </c>
      <c r="U101" s="11">
        <v>1</v>
      </c>
      <c r="V101" s="11" t="s">
        <v>51</v>
      </c>
      <c r="W101" s="11" t="s">
        <v>51</v>
      </c>
      <c r="X101" s="11" t="s">
        <v>51</v>
      </c>
      <c r="Y101" s="48">
        <v>100</v>
      </c>
    </row>
    <row r="102" spans="1:25" x14ac:dyDescent="0.2">
      <c r="A102" s="35" t="s">
        <v>517</v>
      </c>
      <c r="B102" s="11">
        <v>1</v>
      </c>
      <c r="C102" s="11">
        <v>1</v>
      </c>
      <c r="D102" s="11">
        <v>1</v>
      </c>
      <c r="E102" s="11">
        <v>1</v>
      </c>
      <c r="F102" s="11">
        <v>1</v>
      </c>
      <c r="G102" s="11">
        <v>0</v>
      </c>
      <c r="H102" s="11">
        <v>1</v>
      </c>
      <c r="I102" s="11" t="s">
        <v>51</v>
      </c>
      <c r="J102" s="11">
        <v>1</v>
      </c>
      <c r="K102" s="11">
        <v>1</v>
      </c>
      <c r="L102" s="11">
        <v>1</v>
      </c>
      <c r="M102" s="11">
        <v>1</v>
      </c>
      <c r="N102" s="11">
        <v>1</v>
      </c>
      <c r="O102" s="11">
        <v>1</v>
      </c>
      <c r="P102" s="11" t="s">
        <v>51</v>
      </c>
      <c r="Q102" s="11">
        <v>1</v>
      </c>
      <c r="R102" s="11">
        <v>1</v>
      </c>
      <c r="S102" s="11">
        <v>1</v>
      </c>
      <c r="T102" s="11">
        <v>1</v>
      </c>
      <c r="U102" s="11">
        <v>1</v>
      </c>
      <c r="V102" s="11">
        <v>1</v>
      </c>
      <c r="W102" s="11">
        <v>1</v>
      </c>
      <c r="X102" s="11">
        <v>1</v>
      </c>
      <c r="Y102" s="48">
        <v>89</v>
      </c>
    </row>
    <row r="103" spans="1:25" x14ac:dyDescent="0.2">
      <c r="A103" s="35" t="s">
        <v>519</v>
      </c>
      <c r="B103" s="11">
        <v>1</v>
      </c>
      <c r="C103" s="11">
        <v>1</v>
      </c>
      <c r="D103" s="11">
        <v>0.5</v>
      </c>
      <c r="E103" s="11">
        <v>1</v>
      </c>
      <c r="F103" s="11">
        <v>0.5</v>
      </c>
      <c r="G103" s="11">
        <v>1</v>
      </c>
      <c r="H103" s="11">
        <v>1</v>
      </c>
      <c r="I103" s="11" t="s">
        <v>51</v>
      </c>
      <c r="J103" s="11">
        <v>1</v>
      </c>
      <c r="K103" s="11">
        <v>1</v>
      </c>
      <c r="L103" s="11">
        <v>1</v>
      </c>
      <c r="M103" s="11">
        <v>0.5</v>
      </c>
      <c r="N103" s="11" t="s">
        <v>51</v>
      </c>
      <c r="O103" s="11">
        <v>1</v>
      </c>
      <c r="P103" s="11" t="s">
        <v>51</v>
      </c>
      <c r="Q103" s="11">
        <v>1</v>
      </c>
      <c r="R103" s="11" t="s">
        <v>51</v>
      </c>
      <c r="S103" s="11">
        <v>1</v>
      </c>
      <c r="T103" s="11">
        <v>1</v>
      </c>
      <c r="U103" s="11">
        <v>1</v>
      </c>
      <c r="V103" s="11" t="s">
        <v>51</v>
      </c>
      <c r="W103" s="11" t="s">
        <v>51</v>
      </c>
      <c r="X103" s="11">
        <v>1</v>
      </c>
      <c r="Y103" s="48">
        <v>88.5</v>
      </c>
    </row>
    <row r="104" spans="1:25" x14ac:dyDescent="0.2">
      <c r="A104" s="35" t="s">
        <v>522</v>
      </c>
      <c r="B104" s="11">
        <v>1</v>
      </c>
      <c r="C104" s="11">
        <v>1</v>
      </c>
      <c r="D104" s="11">
        <v>0.66666666666666663</v>
      </c>
      <c r="E104" s="11">
        <v>1</v>
      </c>
      <c r="F104" s="11">
        <v>1</v>
      </c>
      <c r="G104" s="11">
        <v>1</v>
      </c>
      <c r="H104" s="11">
        <v>1</v>
      </c>
      <c r="I104" s="11" t="s">
        <v>51</v>
      </c>
      <c r="J104" s="11">
        <v>1</v>
      </c>
      <c r="K104" s="11">
        <v>1</v>
      </c>
      <c r="L104" s="11">
        <v>1</v>
      </c>
      <c r="M104" s="11">
        <v>1</v>
      </c>
      <c r="N104" s="11">
        <v>1</v>
      </c>
      <c r="O104" s="11">
        <v>1</v>
      </c>
      <c r="P104" s="11" t="s">
        <v>51</v>
      </c>
      <c r="Q104" s="11">
        <v>1</v>
      </c>
      <c r="R104" s="11">
        <v>0.66666666666666663</v>
      </c>
      <c r="S104" s="11">
        <v>1</v>
      </c>
      <c r="T104" s="11">
        <v>1</v>
      </c>
      <c r="U104" s="11">
        <v>1</v>
      </c>
      <c r="V104" s="11">
        <v>0.66666666666666663</v>
      </c>
      <c r="W104" s="11">
        <v>1</v>
      </c>
      <c r="X104" s="11">
        <v>1</v>
      </c>
      <c r="Y104" s="48">
        <v>95.666666666666671</v>
      </c>
    </row>
    <row r="105" spans="1:25" x14ac:dyDescent="0.2">
      <c r="A105" s="35" t="s">
        <v>135</v>
      </c>
      <c r="B105" s="11">
        <v>1</v>
      </c>
      <c r="C105" s="11">
        <v>1</v>
      </c>
      <c r="D105" s="11">
        <v>0.5</v>
      </c>
      <c r="E105" s="11">
        <v>1</v>
      </c>
      <c r="F105" s="11">
        <v>1</v>
      </c>
      <c r="G105" s="11">
        <v>1</v>
      </c>
      <c r="H105" s="11">
        <v>1</v>
      </c>
      <c r="I105" s="11" t="s">
        <v>51</v>
      </c>
      <c r="J105" s="11" t="s">
        <v>51</v>
      </c>
      <c r="K105" s="11">
        <v>1</v>
      </c>
      <c r="L105" s="11">
        <v>1</v>
      </c>
      <c r="M105" s="11">
        <v>0.5</v>
      </c>
      <c r="N105" s="11">
        <v>1</v>
      </c>
      <c r="O105" s="11">
        <v>1</v>
      </c>
      <c r="P105" s="11" t="s">
        <v>51</v>
      </c>
      <c r="Q105" s="11">
        <v>1</v>
      </c>
      <c r="R105" s="11" t="s">
        <v>51</v>
      </c>
      <c r="S105" s="11">
        <v>1</v>
      </c>
      <c r="T105" s="11">
        <v>1</v>
      </c>
      <c r="U105" s="11">
        <v>1</v>
      </c>
      <c r="V105" s="11">
        <v>1</v>
      </c>
      <c r="W105" s="11" t="s">
        <v>51</v>
      </c>
      <c r="X105" s="11" t="s">
        <v>51</v>
      </c>
      <c r="Y105" s="48">
        <v>90.5</v>
      </c>
    </row>
    <row r="106" spans="1:25" x14ac:dyDescent="0.2">
      <c r="A106" s="35" t="s">
        <v>527</v>
      </c>
      <c r="B106" s="11">
        <v>1</v>
      </c>
      <c r="C106" s="11">
        <v>1</v>
      </c>
      <c r="D106" s="11">
        <v>1</v>
      </c>
      <c r="E106" s="11">
        <v>1</v>
      </c>
      <c r="F106" s="11">
        <v>1</v>
      </c>
      <c r="G106" s="11">
        <v>1</v>
      </c>
      <c r="H106" s="11">
        <v>1</v>
      </c>
      <c r="I106" s="11">
        <v>1</v>
      </c>
      <c r="J106" s="11">
        <v>1</v>
      </c>
      <c r="K106" s="11">
        <v>1</v>
      </c>
      <c r="L106" s="11">
        <v>1</v>
      </c>
      <c r="M106" s="11">
        <v>1</v>
      </c>
      <c r="N106" s="11">
        <v>1</v>
      </c>
      <c r="O106" s="11">
        <v>1</v>
      </c>
      <c r="P106" s="11" t="s">
        <v>51</v>
      </c>
      <c r="Q106" s="11">
        <v>1</v>
      </c>
      <c r="R106" s="11">
        <v>0.5</v>
      </c>
      <c r="S106" s="11">
        <v>1</v>
      </c>
      <c r="T106" s="11">
        <v>1</v>
      </c>
      <c r="U106" s="11">
        <v>1</v>
      </c>
      <c r="V106" s="11">
        <v>1</v>
      </c>
      <c r="W106" s="11">
        <v>1</v>
      </c>
      <c r="X106" s="11">
        <v>1</v>
      </c>
      <c r="Y106" s="48">
        <v>99.4</v>
      </c>
    </row>
    <row r="107" spans="1:25" x14ac:dyDescent="0.2">
      <c r="A107" s="35" t="s">
        <v>529</v>
      </c>
      <c r="B107" s="11">
        <v>1</v>
      </c>
      <c r="C107" s="11">
        <v>1</v>
      </c>
      <c r="D107" s="11">
        <v>1</v>
      </c>
      <c r="E107" s="11">
        <v>1</v>
      </c>
      <c r="F107" s="11">
        <v>1</v>
      </c>
      <c r="G107" s="11">
        <v>1</v>
      </c>
      <c r="H107" s="11">
        <v>1</v>
      </c>
      <c r="I107" s="11">
        <v>1</v>
      </c>
      <c r="J107" s="11">
        <v>1</v>
      </c>
      <c r="K107" s="11">
        <v>1</v>
      </c>
      <c r="L107" s="11">
        <v>1</v>
      </c>
      <c r="M107" s="11">
        <v>1</v>
      </c>
      <c r="N107" s="11">
        <v>1</v>
      </c>
      <c r="O107" s="11">
        <v>1</v>
      </c>
      <c r="P107" s="11" t="s">
        <v>51</v>
      </c>
      <c r="Q107" s="11">
        <v>1</v>
      </c>
      <c r="R107" s="11">
        <v>0.75</v>
      </c>
      <c r="S107" s="11">
        <v>1</v>
      </c>
      <c r="T107" s="11">
        <v>1</v>
      </c>
      <c r="U107" s="11">
        <v>1</v>
      </c>
      <c r="V107" s="11">
        <v>1</v>
      </c>
      <c r="W107" s="11">
        <v>1</v>
      </c>
      <c r="X107" s="11">
        <v>1</v>
      </c>
      <c r="Y107" s="48">
        <v>99.666666666666671</v>
      </c>
    </row>
    <row r="108" spans="1:25" x14ac:dyDescent="0.2">
      <c r="A108" s="35" t="s">
        <v>532</v>
      </c>
      <c r="B108" s="11">
        <v>1</v>
      </c>
      <c r="C108" s="11">
        <v>1</v>
      </c>
      <c r="D108" s="11">
        <v>1</v>
      </c>
      <c r="E108" s="11">
        <v>1</v>
      </c>
      <c r="F108" s="11">
        <v>1</v>
      </c>
      <c r="G108" s="11">
        <v>1</v>
      </c>
      <c r="H108" s="11">
        <v>1</v>
      </c>
      <c r="I108" s="11">
        <v>1</v>
      </c>
      <c r="J108" s="11">
        <v>1</v>
      </c>
      <c r="K108" s="11">
        <v>1</v>
      </c>
      <c r="L108" s="11">
        <v>1</v>
      </c>
      <c r="M108" s="11">
        <v>1</v>
      </c>
      <c r="N108" s="11">
        <v>1</v>
      </c>
      <c r="O108" s="11">
        <v>1</v>
      </c>
      <c r="P108" s="11" t="s">
        <v>51</v>
      </c>
      <c r="Q108" s="11">
        <v>1</v>
      </c>
      <c r="R108" s="11">
        <v>1</v>
      </c>
      <c r="S108" s="11">
        <v>1</v>
      </c>
      <c r="T108" s="11">
        <v>1</v>
      </c>
      <c r="U108" s="11">
        <v>1</v>
      </c>
      <c r="V108" s="11">
        <v>1</v>
      </c>
      <c r="W108" s="11">
        <v>1</v>
      </c>
      <c r="X108" s="11">
        <v>1</v>
      </c>
      <c r="Y108" s="48">
        <v>100</v>
      </c>
    </row>
    <row r="109" spans="1:25" x14ac:dyDescent="0.2">
      <c r="A109" s="35" t="s">
        <v>93</v>
      </c>
      <c r="B109" s="11">
        <v>1</v>
      </c>
      <c r="C109" s="11">
        <v>1</v>
      </c>
      <c r="D109" s="11">
        <v>1</v>
      </c>
      <c r="E109" s="11">
        <v>1</v>
      </c>
      <c r="F109" s="11">
        <v>1</v>
      </c>
      <c r="G109" s="11">
        <v>1</v>
      </c>
      <c r="H109" s="11">
        <v>1</v>
      </c>
      <c r="I109" s="11" t="s">
        <v>51</v>
      </c>
      <c r="J109" s="11" t="s">
        <v>51</v>
      </c>
      <c r="K109" s="11">
        <v>1</v>
      </c>
      <c r="L109" s="11">
        <v>1</v>
      </c>
      <c r="M109" s="11">
        <v>1</v>
      </c>
      <c r="N109" s="11" t="s">
        <v>51</v>
      </c>
      <c r="O109" s="11">
        <v>0</v>
      </c>
      <c r="P109" s="11" t="s">
        <v>51</v>
      </c>
      <c r="Q109" s="11">
        <v>1</v>
      </c>
      <c r="R109" s="11" t="s">
        <v>51</v>
      </c>
      <c r="S109" s="11">
        <v>1</v>
      </c>
      <c r="T109" s="11">
        <v>1</v>
      </c>
      <c r="U109" s="11">
        <v>1</v>
      </c>
      <c r="V109" s="11" t="s">
        <v>51</v>
      </c>
      <c r="W109" s="11" t="s">
        <v>51</v>
      </c>
      <c r="X109" s="11" t="s">
        <v>51</v>
      </c>
      <c r="Y109" s="48">
        <v>93.4</v>
      </c>
    </row>
    <row r="110" spans="1:25" x14ac:dyDescent="0.2">
      <c r="A110" s="35" t="s">
        <v>905</v>
      </c>
      <c r="B110" s="11">
        <v>1</v>
      </c>
      <c r="C110" s="11">
        <v>0.75</v>
      </c>
      <c r="D110" s="11">
        <v>1</v>
      </c>
      <c r="E110" s="11">
        <v>1</v>
      </c>
      <c r="F110" s="11">
        <v>1</v>
      </c>
      <c r="G110" s="11">
        <v>1</v>
      </c>
      <c r="H110" s="11">
        <v>0.75</v>
      </c>
      <c r="I110" s="11">
        <v>1</v>
      </c>
      <c r="J110" s="11">
        <v>1</v>
      </c>
      <c r="K110" s="11">
        <v>0.75</v>
      </c>
      <c r="L110" s="11">
        <v>1</v>
      </c>
      <c r="M110" s="11">
        <v>1</v>
      </c>
      <c r="N110" s="11">
        <v>1</v>
      </c>
      <c r="O110" s="11">
        <v>0.75</v>
      </c>
      <c r="P110" s="11">
        <v>1</v>
      </c>
      <c r="Q110" s="11">
        <v>1</v>
      </c>
      <c r="R110" s="11">
        <v>0.5</v>
      </c>
      <c r="S110" s="11">
        <v>1</v>
      </c>
      <c r="T110" s="11">
        <v>1</v>
      </c>
      <c r="U110" s="11">
        <v>1</v>
      </c>
      <c r="V110" s="11">
        <v>1</v>
      </c>
      <c r="W110" s="11">
        <v>1</v>
      </c>
      <c r="X110" s="11">
        <v>1</v>
      </c>
      <c r="Y110" s="48">
        <v>96.75</v>
      </c>
    </row>
    <row r="111" spans="1:25" x14ac:dyDescent="0.2">
      <c r="A111" s="35" t="s">
        <v>1203</v>
      </c>
      <c r="B111" s="11">
        <v>0.75</v>
      </c>
      <c r="C111" s="11">
        <v>1</v>
      </c>
      <c r="D111" s="11">
        <v>1</v>
      </c>
      <c r="E111" s="11">
        <v>1</v>
      </c>
      <c r="F111" s="11">
        <v>1</v>
      </c>
      <c r="G111" s="11">
        <v>1</v>
      </c>
      <c r="H111" s="11">
        <v>1</v>
      </c>
      <c r="I111" s="11">
        <v>1</v>
      </c>
      <c r="J111" s="11" t="s">
        <v>51</v>
      </c>
      <c r="K111" s="11">
        <v>1</v>
      </c>
      <c r="L111" s="11">
        <v>1</v>
      </c>
      <c r="M111" s="11">
        <v>1</v>
      </c>
      <c r="N111" s="11">
        <v>1</v>
      </c>
      <c r="O111" s="11">
        <v>1</v>
      </c>
      <c r="P111" s="11">
        <v>1</v>
      </c>
      <c r="Q111" s="11">
        <v>1</v>
      </c>
      <c r="R111" s="11">
        <v>1</v>
      </c>
      <c r="S111" s="11">
        <v>1</v>
      </c>
      <c r="T111" s="11">
        <v>1</v>
      </c>
      <c r="U111" s="11">
        <v>1</v>
      </c>
      <c r="V111" s="11">
        <v>1</v>
      </c>
      <c r="W111" s="11">
        <v>1</v>
      </c>
      <c r="X111" s="11">
        <v>1</v>
      </c>
      <c r="Y111" s="48">
        <v>97</v>
      </c>
    </row>
    <row r="112" spans="1:25" x14ac:dyDescent="0.2">
      <c r="A112" s="35" t="s">
        <v>1204</v>
      </c>
      <c r="B112" s="11">
        <v>1</v>
      </c>
      <c r="C112" s="11">
        <v>1</v>
      </c>
      <c r="D112" s="11">
        <v>1</v>
      </c>
      <c r="E112" s="11">
        <v>1</v>
      </c>
      <c r="F112" s="11">
        <v>1</v>
      </c>
      <c r="G112" s="11">
        <v>1</v>
      </c>
      <c r="H112" s="11">
        <v>1</v>
      </c>
      <c r="I112" s="11">
        <v>1</v>
      </c>
      <c r="J112" s="11" t="s">
        <v>51</v>
      </c>
      <c r="K112" s="11">
        <v>1</v>
      </c>
      <c r="L112" s="11">
        <v>1</v>
      </c>
      <c r="M112" s="11">
        <v>1</v>
      </c>
      <c r="N112" s="11">
        <v>1</v>
      </c>
      <c r="O112" s="11">
        <v>1</v>
      </c>
      <c r="P112" s="11">
        <v>1</v>
      </c>
      <c r="Q112" s="11">
        <v>1</v>
      </c>
      <c r="R112" s="11" t="s">
        <v>51</v>
      </c>
      <c r="S112" s="11">
        <v>1</v>
      </c>
      <c r="T112" s="11">
        <v>1</v>
      </c>
      <c r="U112" s="11">
        <v>1</v>
      </c>
      <c r="V112" s="11" t="s">
        <v>51</v>
      </c>
      <c r="W112" s="11" t="s">
        <v>51</v>
      </c>
      <c r="X112" s="11" t="s">
        <v>51</v>
      </c>
      <c r="Y112" s="48">
        <v>100</v>
      </c>
    </row>
    <row r="113" spans="1:25" x14ac:dyDescent="0.2">
      <c r="A113" s="35" t="s">
        <v>1293</v>
      </c>
      <c r="B113" s="11">
        <v>1</v>
      </c>
      <c r="C113" s="11">
        <v>1</v>
      </c>
      <c r="D113" s="11">
        <v>1</v>
      </c>
      <c r="E113" s="11">
        <v>1</v>
      </c>
      <c r="F113" s="11">
        <v>1</v>
      </c>
      <c r="G113" s="11">
        <v>1</v>
      </c>
      <c r="H113" s="11">
        <v>1</v>
      </c>
      <c r="I113" s="11">
        <v>1</v>
      </c>
      <c r="J113" s="11">
        <v>1</v>
      </c>
      <c r="K113" s="11">
        <v>1</v>
      </c>
      <c r="L113" s="11">
        <v>1</v>
      </c>
      <c r="M113" s="11">
        <v>1</v>
      </c>
      <c r="N113" s="11">
        <v>1</v>
      </c>
      <c r="O113" s="11">
        <v>1</v>
      </c>
      <c r="P113" s="11" t="s">
        <v>51</v>
      </c>
      <c r="Q113" s="11">
        <v>1</v>
      </c>
      <c r="R113" s="11" t="s">
        <v>51</v>
      </c>
      <c r="S113" s="11">
        <v>1</v>
      </c>
      <c r="T113" s="11">
        <v>1</v>
      </c>
      <c r="U113" s="11">
        <v>1</v>
      </c>
      <c r="V113" s="11">
        <v>1</v>
      </c>
      <c r="W113" s="11">
        <v>1</v>
      </c>
      <c r="X113" s="11" t="s">
        <v>51</v>
      </c>
      <c r="Y113" s="48">
        <v>100</v>
      </c>
    </row>
    <row r="114" spans="1:25" x14ac:dyDescent="0.2">
      <c r="A114" s="35" t="s">
        <v>1331</v>
      </c>
      <c r="B114" s="11">
        <v>1</v>
      </c>
      <c r="C114" s="11">
        <v>1</v>
      </c>
      <c r="D114" s="11">
        <v>1</v>
      </c>
      <c r="E114" s="11">
        <v>1</v>
      </c>
      <c r="F114" s="11">
        <v>1</v>
      </c>
      <c r="G114" s="11">
        <v>1</v>
      </c>
      <c r="H114" s="11">
        <v>1</v>
      </c>
      <c r="I114" s="11" t="s">
        <v>51</v>
      </c>
      <c r="J114" s="11">
        <v>1</v>
      </c>
      <c r="K114" s="11">
        <v>0.5</v>
      </c>
      <c r="L114" s="11">
        <v>1</v>
      </c>
      <c r="M114" s="11">
        <v>1</v>
      </c>
      <c r="N114" s="11">
        <v>1</v>
      </c>
      <c r="O114" s="11">
        <v>1</v>
      </c>
      <c r="P114" s="11" t="s">
        <v>51</v>
      </c>
      <c r="Q114" s="11">
        <v>1</v>
      </c>
      <c r="R114" s="11">
        <v>1</v>
      </c>
      <c r="S114" s="11">
        <v>1</v>
      </c>
      <c r="T114" s="11">
        <v>1</v>
      </c>
      <c r="U114" s="11">
        <v>1</v>
      </c>
      <c r="V114" s="11">
        <v>1</v>
      </c>
      <c r="W114" s="11">
        <v>1</v>
      </c>
      <c r="X114" s="11">
        <v>1</v>
      </c>
      <c r="Y114" s="48">
        <v>100</v>
      </c>
    </row>
    <row r="115" spans="1:25" x14ac:dyDescent="0.2">
      <c r="A115" s="35" t="s">
        <v>1332</v>
      </c>
      <c r="B115" s="11">
        <v>1</v>
      </c>
      <c r="C115" s="11">
        <v>1</v>
      </c>
      <c r="D115" s="11">
        <v>1</v>
      </c>
      <c r="E115" s="11">
        <v>1</v>
      </c>
      <c r="F115" s="11">
        <v>1</v>
      </c>
      <c r="G115" s="11">
        <v>0.83333333333333337</v>
      </c>
      <c r="H115" s="11">
        <v>1</v>
      </c>
      <c r="I115" s="11" t="s">
        <v>51</v>
      </c>
      <c r="J115" s="11">
        <v>1</v>
      </c>
      <c r="K115" s="11">
        <v>1</v>
      </c>
      <c r="L115" s="11">
        <v>1</v>
      </c>
      <c r="M115" s="11">
        <v>1</v>
      </c>
      <c r="N115" s="11">
        <v>1</v>
      </c>
      <c r="O115" s="11">
        <v>1</v>
      </c>
      <c r="P115" s="11">
        <v>1</v>
      </c>
      <c r="Q115" s="11">
        <v>1</v>
      </c>
      <c r="R115" s="11">
        <v>0.66666666666666663</v>
      </c>
      <c r="S115" s="11">
        <v>1</v>
      </c>
      <c r="T115" s="11">
        <v>1</v>
      </c>
      <c r="U115" s="11">
        <v>1</v>
      </c>
      <c r="V115" s="11">
        <v>1</v>
      </c>
      <c r="W115" s="11">
        <v>1</v>
      </c>
      <c r="X115" s="11">
        <v>1</v>
      </c>
      <c r="Y115" s="48">
        <v>98</v>
      </c>
    </row>
    <row r="116" spans="1:25" x14ac:dyDescent="0.2">
      <c r="A116" s="35" t="s">
        <v>1334</v>
      </c>
      <c r="B116" s="11">
        <v>1</v>
      </c>
      <c r="C116" s="11">
        <v>1</v>
      </c>
      <c r="D116" s="11">
        <v>0.5</v>
      </c>
      <c r="E116" s="11">
        <v>1</v>
      </c>
      <c r="F116" s="11">
        <v>1</v>
      </c>
      <c r="G116" s="11">
        <v>1</v>
      </c>
      <c r="H116" s="11">
        <v>1</v>
      </c>
      <c r="I116" s="11" t="s">
        <v>51</v>
      </c>
      <c r="J116" s="11">
        <v>0</v>
      </c>
      <c r="K116" s="11">
        <v>1</v>
      </c>
      <c r="L116" s="11">
        <v>1</v>
      </c>
      <c r="M116" s="11">
        <v>0.5</v>
      </c>
      <c r="N116" s="11" t="s">
        <v>51</v>
      </c>
      <c r="O116" s="11">
        <v>1</v>
      </c>
      <c r="P116" s="11" t="s">
        <v>51</v>
      </c>
      <c r="Q116" s="11">
        <v>1</v>
      </c>
      <c r="R116" s="11" t="s">
        <v>51</v>
      </c>
      <c r="S116" s="11">
        <v>1</v>
      </c>
      <c r="T116" s="11">
        <v>1</v>
      </c>
      <c r="U116" s="11">
        <v>1</v>
      </c>
      <c r="V116" s="11" t="s">
        <v>51</v>
      </c>
      <c r="W116" s="11" t="s">
        <v>51</v>
      </c>
      <c r="X116" s="11">
        <v>1</v>
      </c>
      <c r="Y116" s="48">
        <v>89</v>
      </c>
    </row>
    <row r="117" spans="1:25" x14ac:dyDescent="0.2">
      <c r="A117" s="10" t="s">
        <v>141</v>
      </c>
      <c r="B117" s="11">
        <v>0.96733668341708545</v>
      </c>
      <c r="C117" s="11">
        <v>0.97900262467191601</v>
      </c>
      <c r="D117" s="11">
        <v>0.97389033942558745</v>
      </c>
      <c r="E117" s="11">
        <v>0.99748743718592969</v>
      </c>
      <c r="F117" s="11">
        <v>0.97493734335839599</v>
      </c>
      <c r="G117" s="11">
        <v>0.98241206030150752</v>
      </c>
      <c r="H117" s="11">
        <v>0.98670212765957444</v>
      </c>
      <c r="I117" s="11">
        <v>1</v>
      </c>
      <c r="J117" s="11">
        <v>0.97540983606557374</v>
      </c>
      <c r="K117" s="11">
        <v>0.97606382978723405</v>
      </c>
      <c r="L117" s="11">
        <v>0.98496240601503759</v>
      </c>
      <c r="M117" s="11">
        <v>0.88010204081632648</v>
      </c>
      <c r="N117" s="11">
        <v>0.97361477572559363</v>
      </c>
      <c r="O117" s="11">
        <v>0.96850393700787396</v>
      </c>
      <c r="P117" s="11">
        <v>0.93103448275862066</v>
      </c>
      <c r="Q117" s="11">
        <v>1</v>
      </c>
      <c r="R117" s="11">
        <v>0.85199999999999998</v>
      </c>
      <c r="S117" s="11">
        <v>0.9445910290237467</v>
      </c>
      <c r="T117" s="11">
        <v>0.99197860962566842</v>
      </c>
      <c r="U117" s="11">
        <v>0.99101796407185627</v>
      </c>
      <c r="V117" s="11">
        <v>0.99019607843137258</v>
      </c>
      <c r="W117" s="11">
        <v>0.98421052631578942</v>
      </c>
      <c r="X117" s="11">
        <v>1</v>
      </c>
      <c r="Y117" s="48">
        <v>96.207635124060658</v>
      </c>
    </row>
    <row r="118" spans="1:25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</row>
    <row r="119" spans="1:25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</row>
    <row r="120" spans="1:25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</row>
    <row r="121" spans="1:25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</row>
    <row r="122" spans="1:25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</row>
    <row r="123" spans="1:25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</row>
    <row r="124" spans="1:25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</row>
    <row r="125" spans="1:25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</row>
    <row r="126" spans="1:25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</row>
    <row r="127" spans="1:25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</row>
    <row r="128" spans="1:25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</row>
    <row r="129" spans="1:25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</row>
    <row r="130" spans="1:25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</row>
    <row r="131" spans="1:25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</row>
    <row r="132" spans="1:25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</row>
    <row r="133" spans="1:25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</row>
    <row r="134" spans="1:25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</row>
    <row r="135" spans="1:25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</row>
    <row r="136" spans="1:25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</row>
    <row r="137" spans="1:25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</row>
    <row r="138" spans="1:25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</row>
    <row r="139" spans="1:25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</row>
    <row r="140" spans="1:25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</row>
    <row r="141" spans="1:25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</row>
    <row r="142" spans="1:25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</row>
    <row r="143" spans="1:25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</row>
    <row r="144" spans="1:25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</row>
    <row r="145" spans="1:25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</row>
    <row r="146" spans="1:25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</row>
    <row r="147" spans="1:25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</row>
    <row r="148" spans="1:25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</row>
    <row r="149" spans="1:25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</row>
    <row r="150" spans="1:25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</row>
    <row r="151" spans="1:25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</row>
    <row r="152" spans="1:25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</row>
    <row r="153" spans="1:25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</row>
    <row r="154" spans="1:25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</row>
    <row r="155" spans="1:25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</row>
    <row r="156" spans="1:25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</row>
    <row r="157" spans="1:25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</row>
    <row r="158" spans="1:25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</row>
    <row r="159" spans="1:25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</row>
    <row r="160" spans="1:25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</row>
    <row r="161" spans="1:25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</row>
    <row r="162" spans="1:25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</row>
    <row r="163" spans="1:25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</row>
    <row r="164" spans="1:25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</row>
    <row r="165" spans="1:25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</row>
    <row r="166" spans="1:25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</row>
    <row r="167" spans="1:25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</row>
    <row r="168" spans="1:25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</row>
    <row r="169" spans="1:25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</row>
    <row r="170" spans="1:25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</row>
    <row r="171" spans="1:25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</row>
    <row r="172" spans="1:25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2:Y33"/>
  <sheetViews>
    <sheetView topLeftCell="A4" workbookViewId="0">
      <selection activeCell="Y11" sqref="Y11"/>
    </sheetView>
  </sheetViews>
  <sheetFormatPr baseColWidth="10" defaultRowHeight="12.75" x14ac:dyDescent="0.2"/>
  <cols>
    <col min="1" max="1" width="21.140625" style="8" customWidth="1"/>
    <col min="2" max="2" width="7.85546875" style="8" bestFit="1" customWidth="1"/>
    <col min="3" max="24" width="5.7109375" style="8" customWidth="1"/>
    <col min="25" max="25" width="16.85546875" style="8" customWidth="1"/>
    <col min="26" max="27" width="5.7109375" style="8" customWidth="1"/>
    <col min="28" max="28" width="4.7109375" style="8" customWidth="1"/>
    <col min="29" max="29" width="35.140625" style="8" customWidth="1"/>
    <col min="30" max="30" width="23.85546875" style="8" customWidth="1"/>
    <col min="31" max="31" width="23.85546875" style="8" bestFit="1" customWidth="1"/>
    <col min="32" max="32" width="23.85546875" style="8" customWidth="1"/>
    <col min="33" max="33" width="16.85546875" style="8" customWidth="1"/>
    <col min="34" max="34" width="25.85546875" style="8" customWidth="1"/>
    <col min="35" max="35" width="5" style="8" customWidth="1"/>
    <col min="36" max="36" width="3" style="8" customWidth="1"/>
    <col min="37" max="37" width="6" style="8" customWidth="1"/>
    <col min="38" max="38" width="3" style="8" customWidth="1"/>
    <col min="39" max="39" width="5" style="8" customWidth="1"/>
    <col min="40" max="40" width="6" style="8" customWidth="1"/>
    <col min="41" max="41" width="4" style="8" customWidth="1"/>
    <col min="42" max="42" width="12.5703125" style="8" customWidth="1"/>
    <col min="43" max="43" width="12.5703125" style="8" bestFit="1" customWidth="1"/>
    <col min="44" max="16384" width="11.42578125" style="8"/>
  </cols>
  <sheetData>
    <row r="2" spans="1:25" x14ac:dyDescent="0.2">
      <c r="A2"/>
      <c r="B2"/>
    </row>
    <row r="4" spans="1:25" x14ac:dyDescent="0.2">
      <c r="A4"/>
      <c r="B4" s="9" t="s">
        <v>351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</row>
    <row r="5" spans="1:25" ht="363" x14ac:dyDescent="0.2">
      <c r="A5" s="9" t="s">
        <v>424</v>
      </c>
      <c r="B5" s="12" t="s">
        <v>433</v>
      </c>
      <c r="C5" s="12" t="s">
        <v>439</v>
      </c>
      <c r="D5" s="12" t="s">
        <v>437</v>
      </c>
      <c r="E5" s="12" t="s">
        <v>430</v>
      </c>
      <c r="F5" s="12" t="s">
        <v>447</v>
      </c>
      <c r="G5" s="12" t="s">
        <v>434</v>
      </c>
      <c r="H5" s="12" t="s">
        <v>450</v>
      </c>
      <c r="I5" s="12" t="s">
        <v>451</v>
      </c>
      <c r="J5" s="12" t="s">
        <v>431</v>
      </c>
      <c r="K5" s="12" t="s">
        <v>452</v>
      </c>
      <c r="L5" s="12" t="s">
        <v>448</v>
      </c>
      <c r="M5" s="12" t="s">
        <v>438</v>
      </c>
      <c r="N5" s="12" t="s">
        <v>435</v>
      </c>
      <c r="O5" s="12" t="s">
        <v>440</v>
      </c>
      <c r="P5" s="12" t="s">
        <v>436</v>
      </c>
      <c r="Q5" s="12" t="s">
        <v>441</v>
      </c>
      <c r="R5" s="12" t="s">
        <v>432</v>
      </c>
      <c r="S5" s="12" t="s">
        <v>442</v>
      </c>
      <c r="T5" s="12" t="s">
        <v>449</v>
      </c>
      <c r="U5" s="12" t="s">
        <v>443</v>
      </c>
      <c r="V5" s="12" t="s">
        <v>444</v>
      </c>
      <c r="W5" s="12" t="s">
        <v>445</v>
      </c>
      <c r="X5" s="12" t="s">
        <v>446</v>
      </c>
      <c r="Y5" t="s">
        <v>453</v>
      </c>
    </row>
    <row r="6" spans="1:25" x14ac:dyDescent="0.2">
      <c r="A6" s="10" t="s">
        <v>144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48"/>
    </row>
    <row r="7" spans="1:25" x14ac:dyDescent="0.2">
      <c r="A7" s="35" t="s">
        <v>144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48"/>
    </row>
    <row r="8" spans="1:25" x14ac:dyDescent="0.2">
      <c r="A8" s="10" t="s">
        <v>410</v>
      </c>
      <c r="B8" s="11">
        <v>0.96511627906976749</v>
      </c>
      <c r="C8" s="11">
        <v>0.97484276729559749</v>
      </c>
      <c r="D8" s="11">
        <v>0.98136645962732916</v>
      </c>
      <c r="E8" s="11">
        <v>1</v>
      </c>
      <c r="F8" s="11">
        <v>0.96531791907514453</v>
      </c>
      <c r="G8" s="11">
        <v>0.97674418604651159</v>
      </c>
      <c r="H8" s="11">
        <v>0.97333333333333338</v>
      </c>
      <c r="I8" s="11">
        <v>1</v>
      </c>
      <c r="J8" s="11">
        <v>0.97916666666666663</v>
      </c>
      <c r="K8" s="11">
        <v>0.96</v>
      </c>
      <c r="L8" s="11">
        <v>0.97687861271676302</v>
      </c>
      <c r="M8" s="11">
        <v>0.85882352941176465</v>
      </c>
      <c r="N8" s="11">
        <v>0.96932515337423308</v>
      </c>
      <c r="O8" s="11">
        <v>0.96855345911949686</v>
      </c>
      <c r="P8" s="11">
        <v>1</v>
      </c>
      <c r="Q8" s="11">
        <v>1</v>
      </c>
      <c r="R8" s="11">
        <v>0.84313725490196079</v>
      </c>
      <c r="S8" s="11">
        <v>0.94339622641509435</v>
      </c>
      <c r="T8" s="11">
        <v>0.98717948717948723</v>
      </c>
      <c r="U8" s="11">
        <v>0.98550724637681164</v>
      </c>
      <c r="V8" s="11">
        <v>1</v>
      </c>
      <c r="W8" s="11">
        <v>1</v>
      </c>
      <c r="X8" s="11">
        <v>1</v>
      </c>
      <c r="Y8" s="48">
        <v>95.427330774138511</v>
      </c>
    </row>
    <row r="9" spans="1:25" x14ac:dyDescent="0.2">
      <c r="A9" s="35" t="s">
        <v>74</v>
      </c>
      <c r="B9" s="11">
        <v>0.93617021276595747</v>
      </c>
      <c r="C9" s="11">
        <v>1</v>
      </c>
      <c r="D9" s="11">
        <v>0.97560975609756095</v>
      </c>
      <c r="E9" s="11">
        <v>1</v>
      </c>
      <c r="F9" s="11">
        <v>1</v>
      </c>
      <c r="G9" s="11">
        <v>0.95744680851063835</v>
      </c>
      <c r="H9" s="11">
        <v>0.91666666666666663</v>
      </c>
      <c r="I9" s="11">
        <v>1</v>
      </c>
      <c r="J9" s="11">
        <v>0.96666666666666667</v>
      </c>
      <c r="K9" s="11">
        <v>0.88888888888888884</v>
      </c>
      <c r="L9" s="11">
        <v>0.97872340425531912</v>
      </c>
      <c r="M9" s="11">
        <v>0.7021276595744681</v>
      </c>
      <c r="N9" s="11">
        <v>0.97435897435897434</v>
      </c>
      <c r="O9" s="11">
        <v>0.92500000000000004</v>
      </c>
      <c r="P9" s="11" t="s">
        <v>51</v>
      </c>
      <c r="Q9" s="11">
        <v>1</v>
      </c>
      <c r="R9" s="11">
        <v>0.68965517241379315</v>
      </c>
      <c r="S9" s="11">
        <v>0.9</v>
      </c>
      <c r="T9" s="11">
        <v>1</v>
      </c>
      <c r="U9" s="11">
        <v>0.96969696969696972</v>
      </c>
      <c r="V9" s="11">
        <v>1</v>
      </c>
      <c r="W9" s="11">
        <v>1</v>
      </c>
      <c r="X9" s="11">
        <v>1</v>
      </c>
      <c r="Y9" s="48">
        <v>91.921476977783271</v>
      </c>
    </row>
    <row r="10" spans="1:25" x14ac:dyDescent="0.2">
      <c r="A10" s="35" t="s">
        <v>99</v>
      </c>
      <c r="B10" s="11">
        <v>0.96226415094339623</v>
      </c>
      <c r="C10" s="11">
        <v>0.96153846153846156</v>
      </c>
      <c r="D10" s="11">
        <v>0.98148148148148151</v>
      </c>
      <c r="E10" s="11">
        <v>1</v>
      </c>
      <c r="F10" s="11">
        <v>0.92592592592592593</v>
      </c>
      <c r="G10" s="11">
        <v>1</v>
      </c>
      <c r="H10" s="11">
        <v>0.98148148148148151</v>
      </c>
      <c r="I10" s="11">
        <v>1</v>
      </c>
      <c r="J10" s="11">
        <v>0.90909090909090906</v>
      </c>
      <c r="K10" s="11">
        <v>0.96296296296296291</v>
      </c>
      <c r="L10" s="11">
        <v>0.96296296296296291</v>
      </c>
      <c r="M10" s="11">
        <v>0.92592592592592593</v>
      </c>
      <c r="N10" s="11">
        <v>0.98113207547169812</v>
      </c>
      <c r="O10" s="11">
        <v>1</v>
      </c>
      <c r="P10" s="11">
        <v>1</v>
      </c>
      <c r="Q10" s="11">
        <v>1</v>
      </c>
      <c r="R10" s="11">
        <v>0.96153846153846156</v>
      </c>
      <c r="S10" s="11">
        <v>0.96153846153846156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48">
        <v>96.665429641913889</v>
      </c>
    </row>
    <row r="11" spans="1:25" x14ac:dyDescent="0.2">
      <c r="A11" s="35" t="s">
        <v>175</v>
      </c>
      <c r="B11" s="11">
        <v>1</v>
      </c>
      <c r="C11" s="11">
        <v>1</v>
      </c>
      <c r="D11" s="11">
        <v>1</v>
      </c>
      <c r="E11" s="11">
        <v>1</v>
      </c>
      <c r="F11" s="11">
        <v>0.97368421052631582</v>
      </c>
      <c r="G11" s="11">
        <v>1</v>
      </c>
      <c r="H11" s="11">
        <v>1</v>
      </c>
      <c r="I11" s="11">
        <v>1</v>
      </c>
      <c r="J11" s="11">
        <v>1</v>
      </c>
      <c r="K11" s="11">
        <v>1</v>
      </c>
      <c r="L11" s="11">
        <v>1</v>
      </c>
      <c r="M11" s="11">
        <v>1</v>
      </c>
      <c r="N11" s="11">
        <v>1</v>
      </c>
      <c r="O11" s="11">
        <v>1</v>
      </c>
      <c r="P11" s="11" t="s">
        <v>51</v>
      </c>
      <c r="Q11" s="11">
        <v>1</v>
      </c>
      <c r="R11" s="11">
        <v>0.95652173913043481</v>
      </c>
      <c r="S11" s="11">
        <v>0.91428571428571426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48">
        <v>99.494736842105254</v>
      </c>
    </row>
    <row r="12" spans="1:25" x14ac:dyDescent="0.2">
      <c r="A12" s="35" t="s">
        <v>47</v>
      </c>
      <c r="B12" s="11">
        <v>0.97058823529411764</v>
      </c>
      <c r="C12" s="11">
        <v>0.9375</v>
      </c>
      <c r="D12" s="11">
        <v>0.96875</v>
      </c>
      <c r="E12" s="11">
        <v>1</v>
      </c>
      <c r="F12" s="11">
        <v>0.97058823529411764</v>
      </c>
      <c r="G12" s="11">
        <v>0.94117647058823528</v>
      </c>
      <c r="H12" s="11">
        <v>1</v>
      </c>
      <c r="I12" s="11" t="s">
        <v>51</v>
      </c>
      <c r="J12" s="11">
        <v>1</v>
      </c>
      <c r="K12" s="11">
        <v>1</v>
      </c>
      <c r="L12" s="11">
        <v>0.97058823529411764</v>
      </c>
      <c r="M12" s="11">
        <v>0.82352941176470584</v>
      </c>
      <c r="N12" s="11">
        <v>0.90909090909090906</v>
      </c>
      <c r="O12" s="11">
        <v>0.9375</v>
      </c>
      <c r="P12" s="11" t="s">
        <v>51</v>
      </c>
      <c r="Q12" s="11">
        <v>1</v>
      </c>
      <c r="R12" s="11">
        <v>0.79166666666666663</v>
      </c>
      <c r="S12" s="11">
        <v>1</v>
      </c>
      <c r="T12" s="11">
        <v>0.9375</v>
      </c>
      <c r="U12" s="11">
        <v>0.96296296296296291</v>
      </c>
      <c r="V12" s="11">
        <v>1</v>
      </c>
      <c r="W12" s="11">
        <v>1</v>
      </c>
      <c r="X12" s="11">
        <v>1</v>
      </c>
      <c r="Y12" s="48">
        <v>93.761341332552931</v>
      </c>
    </row>
    <row r="13" spans="1:25" x14ac:dyDescent="0.2">
      <c r="A13" s="10" t="s">
        <v>412</v>
      </c>
      <c r="B13" s="11">
        <v>0.96153846153846156</v>
      </c>
      <c r="C13" s="11">
        <v>0.99019607843137258</v>
      </c>
      <c r="D13" s="11">
        <v>0.97115384615384615</v>
      </c>
      <c r="E13" s="11">
        <v>0.99038461538461542</v>
      </c>
      <c r="F13" s="11">
        <v>0.97115384615384615</v>
      </c>
      <c r="G13" s="11">
        <v>1</v>
      </c>
      <c r="H13" s="11">
        <v>1</v>
      </c>
      <c r="I13" s="11">
        <v>1</v>
      </c>
      <c r="J13" s="11">
        <v>0.9859154929577465</v>
      </c>
      <c r="K13" s="11">
        <v>0.99038461538461542</v>
      </c>
      <c r="L13" s="11">
        <v>0.98076923076923073</v>
      </c>
      <c r="M13" s="11">
        <v>0.83333333333333337</v>
      </c>
      <c r="N13" s="11">
        <v>0.99</v>
      </c>
      <c r="O13" s="11">
        <v>0.97058823529411764</v>
      </c>
      <c r="P13" s="11">
        <v>0.83333333333333337</v>
      </c>
      <c r="Q13" s="11">
        <v>1</v>
      </c>
      <c r="R13" s="11">
        <v>0.88732394366197187</v>
      </c>
      <c r="S13" s="11">
        <v>0.94</v>
      </c>
      <c r="T13" s="11">
        <v>0.99</v>
      </c>
      <c r="U13" s="11">
        <v>1</v>
      </c>
      <c r="V13" s="11">
        <v>1</v>
      </c>
      <c r="W13" s="11">
        <v>0.95081967213114749</v>
      </c>
      <c r="X13" s="11">
        <v>1</v>
      </c>
      <c r="Y13" s="48">
        <v>96.357503280301771</v>
      </c>
    </row>
    <row r="14" spans="1:25" x14ac:dyDescent="0.2">
      <c r="A14" s="35" t="s">
        <v>74</v>
      </c>
      <c r="B14" s="11">
        <v>0.95454545454545459</v>
      </c>
      <c r="C14" s="11">
        <v>1</v>
      </c>
      <c r="D14" s="11">
        <v>0.95454545454545459</v>
      </c>
      <c r="E14" s="11">
        <v>1</v>
      </c>
      <c r="F14" s="11">
        <v>0.95454545454545459</v>
      </c>
      <c r="G14" s="11">
        <v>1</v>
      </c>
      <c r="H14" s="11">
        <v>1</v>
      </c>
      <c r="I14" s="11" t="s">
        <v>51</v>
      </c>
      <c r="J14" s="11">
        <v>1</v>
      </c>
      <c r="K14" s="11">
        <v>1</v>
      </c>
      <c r="L14" s="11">
        <v>1</v>
      </c>
      <c r="M14" s="11">
        <v>0.77272727272727271</v>
      </c>
      <c r="N14" s="11">
        <v>1</v>
      </c>
      <c r="O14" s="11">
        <v>1</v>
      </c>
      <c r="P14" s="11">
        <v>0</v>
      </c>
      <c r="Q14" s="11">
        <v>1</v>
      </c>
      <c r="R14" s="11">
        <v>0.7142857142857143</v>
      </c>
      <c r="S14" s="11">
        <v>0.90476190476190477</v>
      </c>
      <c r="T14" s="11">
        <v>1</v>
      </c>
      <c r="U14" s="11">
        <v>1</v>
      </c>
      <c r="V14" s="11">
        <v>1</v>
      </c>
      <c r="W14" s="11">
        <v>0.9285714285714286</v>
      </c>
      <c r="X14" s="11">
        <v>1</v>
      </c>
      <c r="Y14" s="48">
        <v>95.187028493894161</v>
      </c>
    </row>
    <row r="15" spans="1:25" x14ac:dyDescent="0.2">
      <c r="A15" s="35" t="s">
        <v>99</v>
      </c>
      <c r="B15" s="11">
        <v>0.96551724137931039</v>
      </c>
      <c r="C15" s="11">
        <v>0.96551724137931039</v>
      </c>
      <c r="D15" s="11">
        <v>1</v>
      </c>
      <c r="E15" s="11">
        <v>1</v>
      </c>
      <c r="F15" s="11">
        <v>1</v>
      </c>
      <c r="G15" s="11">
        <v>1</v>
      </c>
      <c r="H15" s="11">
        <v>1</v>
      </c>
      <c r="I15" s="11">
        <v>1</v>
      </c>
      <c r="J15" s="11">
        <v>1</v>
      </c>
      <c r="K15" s="11">
        <v>0.96551724137931039</v>
      </c>
      <c r="L15" s="11">
        <v>1</v>
      </c>
      <c r="M15" s="11">
        <v>0.89655172413793105</v>
      </c>
      <c r="N15" s="11">
        <v>1</v>
      </c>
      <c r="O15" s="11">
        <v>0.96551724137931039</v>
      </c>
      <c r="P15" s="11">
        <v>1</v>
      </c>
      <c r="Q15" s="11">
        <v>1</v>
      </c>
      <c r="R15" s="11">
        <v>1</v>
      </c>
      <c r="S15" s="11">
        <v>0.96551724137931039</v>
      </c>
      <c r="T15" s="11">
        <v>0.96551724137931039</v>
      </c>
      <c r="U15" s="11">
        <v>1</v>
      </c>
      <c r="V15" s="11">
        <v>1</v>
      </c>
      <c r="W15" s="11">
        <v>1</v>
      </c>
      <c r="X15" s="11">
        <v>1</v>
      </c>
      <c r="Y15" s="48">
        <v>97.776551724137931</v>
      </c>
    </row>
    <row r="16" spans="1:25" x14ac:dyDescent="0.2">
      <c r="A16" s="35" t="s">
        <v>175</v>
      </c>
      <c r="B16" s="11">
        <v>0.95652173913043481</v>
      </c>
      <c r="C16" s="11">
        <v>1</v>
      </c>
      <c r="D16" s="11">
        <v>0.95652173913043481</v>
      </c>
      <c r="E16" s="11">
        <v>1</v>
      </c>
      <c r="F16" s="11">
        <v>0.91304347826086951</v>
      </c>
      <c r="G16" s="11">
        <v>1</v>
      </c>
      <c r="H16" s="11">
        <v>1</v>
      </c>
      <c r="I16" s="11">
        <v>1</v>
      </c>
      <c r="J16" s="11">
        <v>0.94736842105263153</v>
      </c>
      <c r="K16" s="11">
        <v>1</v>
      </c>
      <c r="L16" s="11">
        <v>1</v>
      </c>
      <c r="M16" s="11">
        <v>0.73913043478260865</v>
      </c>
      <c r="N16" s="11">
        <v>1</v>
      </c>
      <c r="O16" s="11">
        <v>1</v>
      </c>
      <c r="P16" s="11" t="s">
        <v>51</v>
      </c>
      <c r="Q16" s="11">
        <v>1</v>
      </c>
      <c r="R16" s="11">
        <v>0.90909090909090906</v>
      </c>
      <c r="S16" s="11">
        <v>0.90476190476190477</v>
      </c>
      <c r="T16" s="11">
        <v>1</v>
      </c>
      <c r="U16" s="11">
        <v>1</v>
      </c>
      <c r="V16" s="11">
        <v>1</v>
      </c>
      <c r="W16" s="11">
        <v>0.92307692307692313</v>
      </c>
      <c r="X16" s="11">
        <v>1</v>
      </c>
      <c r="Y16" s="48">
        <v>95.405465838509315</v>
      </c>
    </row>
    <row r="17" spans="1:25" x14ac:dyDescent="0.2">
      <c r="A17" s="35" t="s">
        <v>47</v>
      </c>
      <c r="B17" s="11">
        <v>0.96666666666666667</v>
      </c>
      <c r="C17" s="11">
        <v>1</v>
      </c>
      <c r="D17" s="11">
        <v>0.96666666666666667</v>
      </c>
      <c r="E17" s="11">
        <v>0.96666666666666667</v>
      </c>
      <c r="F17" s="11">
        <v>1</v>
      </c>
      <c r="G17" s="11">
        <v>1</v>
      </c>
      <c r="H17" s="11">
        <v>1</v>
      </c>
      <c r="I17" s="11">
        <v>1</v>
      </c>
      <c r="J17" s="11">
        <v>1</v>
      </c>
      <c r="K17" s="11">
        <v>1</v>
      </c>
      <c r="L17" s="11">
        <v>0.93333333333333335</v>
      </c>
      <c r="M17" s="11">
        <v>0.8928571428571429</v>
      </c>
      <c r="N17" s="11">
        <v>0.96296296296296291</v>
      </c>
      <c r="O17" s="11">
        <v>0.93333333333333335</v>
      </c>
      <c r="P17" s="11" t="s">
        <v>51</v>
      </c>
      <c r="Q17" s="11">
        <v>1</v>
      </c>
      <c r="R17" s="11">
        <v>0.88461538461538458</v>
      </c>
      <c r="S17" s="11">
        <v>0.96551724137931039</v>
      </c>
      <c r="T17" s="11">
        <v>1</v>
      </c>
      <c r="U17" s="11">
        <v>1</v>
      </c>
      <c r="V17" s="11">
        <v>1</v>
      </c>
      <c r="W17" s="11">
        <v>0.95652173913043481</v>
      </c>
      <c r="X17" s="11">
        <v>1</v>
      </c>
      <c r="Y17" s="48">
        <v>96.574000000000012</v>
      </c>
    </row>
    <row r="18" spans="1:25" x14ac:dyDescent="0.2">
      <c r="A18" s="10" t="s">
        <v>411</v>
      </c>
      <c r="B18" s="11">
        <v>0.97540983606557374</v>
      </c>
      <c r="C18" s="11">
        <v>0.97499999999999998</v>
      </c>
      <c r="D18" s="11">
        <v>0.96610169491525422</v>
      </c>
      <c r="E18" s="11">
        <v>1</v>
      </c>
      <c r="F18" s="11">
        <v>0.99180327868852458</v>
      </c>
      <c r="G18" s="11">
        <v>0.97540983606557374</v>
      </c>
      <c r="H18" s="11">
        <v>0.99180327868852458</v>
      </c>
      <c r="I18" s="11">
        <v>1</v>
      </c>
      <c r="J18" s="11">
        <v>0.96103896103896103</v>
      </c>
      <c r="K18" s="11">
        <v>0.98360655737704916</v>
      </c>
      <c r="L18" s="11">
        <v>1</v>
      </c>
      <c r="M18" s="11">
        <v>0.95</v>
      </c>
      <c r="N18" s="11">
        <v>0.96551724137931039</v>
      </c>
      <c r="O18" s="11">
        <v>0.96666666666666667</v>
      </c>
      <c r="P18" s="11">
        <v>0.94117647058823528</v>
      </c>
      <c r="Q18" s="11">
        <v>1</v>
      </c>
      <c r="R18" s="11">
        <v>0.83116883116883122</v>
      </c>
      <c r="S18" s="11">
        <v>0.95</v>
      </c>
      <c r="T18" s="11">
        <v>1</v>
      </c>
      <c r="U18" s="11">
        <v>0.99047619047619051</v>
      </c>
      <c r="V18" s="11">
        <v>0.96875</v>
      </c>
      <c r="W18" s="11">
        <v>1</v>
      </c>
      <c r="X18" s="11">
        <v>1</v>
      </c>
      <c r="Y18" s="48">
        <v>97.186375814941272</v>
      </c>
    </row>
    <row r="19" spans="1:25" x14ac:dyDescent="0.2">
      <c r="A19" s="35" t="s">
        <v>74</v>
      </c>
      <c r="B19" s="11">
        <v>1</v>
      </c>
      <c r="C19" s="11">
        <v>1</v>
      </c>
      <c r="D19" s="11">
        <v>1</v>
      </c>
      <c r="E19" s="11">
        <v>1</v>
      </c>
      <c r="F19" s="11">
        <v>1</v>
      </c>
      <c r="G19" s="11">
        <v>0.9</v>
      </c>
      <c r="H19" s="11">
        <v>1</v>
      </c>
      <c r="I19" s="11">
        <v>1</v>
      </c>
      <c r="J19" s="11">
        <v>0.94444444444444442</v>
      </c>
      <c r="K19" s="11">
        <v>0.95</v>
      </c>
      <c r="L19" s="11">
        <v>1</v>
      </c>
      <c r="M19" s="11">
        <v>0.9</v>
      </c>
      <c r="N19" s="11">
        <v>1</v>
      </c>
      <c r="O19" s="11">
        <v>0.94736842105263153</v>
      </c>
      <c r="P19" s="11">
        <v>1</v>
      </c>
      <c r="Q19" s="11">
        <v>1</v>
      </c>
      <c r="R19" s="11">
        <v>0.8666666666666667</v>
      </c>
      <c r="S19" s="11">
        <v>0.94736842105263153</v>
      </c>
      <c r="T19" s="11">
        <v>1</v>
      </c>
      <c r="U19" s="11">
        <v>1</v>
      </c>
      <c r="V19" s="11">
        <v>0.9285714285714286</v>
      </c>
      <c r="W19" s="11">
        <v>1</v>
      </c>
      <c r="X19" s="11">
        <v>1</v>
      </c>
      <c r="Y19" s="48">
        <v>96.102835820895521</v>
      </c>
    </row>
    <row r="20" spans="1:25" x14ac:dyDescent="0.2">
      <c r="A20" s="35" t="s">
        <v>99</v>
      </c>
      <c r="B20" s="11">
        <v>0.95833333333333337</v>
      </c>
      <c r="C20" s="11">
        <v>0.93617021276595747</v>
      </c>
      <c r="D20" s="11">
        <v>1</v>
      </c>
      <c r="E20" s="11">
        <v>1</v>
      </c>
      <c r="F20" s="11">
        <v>1</v>
      </c>
      <c r="G20" s="11">
        <v>1</v>
      </c>
      <c r="H20" s="11">
        <v>0.97916666666666663</v>
      </c>
      <c r="I20" s="11">
        <v>1</v>
      </c>
      <c r="J20" s="11">
        <v>0.9285714285714286</v>
      </c>
      <c r="K20" s="11">
        <v>0.97916666666666663</v>
      </c>
      <c r="L20" s="11">
        <v>1</v>
      </c>
      <c r="M20" s="11">
        <v>1</v>
      </c>
      <c r="N20" s="11">
        <v>1</v>
      </c>
      <c r="O20" s="11">
        <v>0.95744680851063835</v>
      </c>
      <c r="P20" s="11">
        <v>1</v>
      </c>
      <c r="Q20" s="11">
        <v>1</v>
      </c>
      <c r="R20" s="11">
        <v>0.73913043478260865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48">
        <v>98.662500000000009</v>
      </c>
    </row>
    <row r="21" spans="1:25" x14ac:dyDescent="0.2">
      <c r="A21" s="35" t="s">
        <v>175</v>
      </c>
      <c r="B21" s="11">
        <v>1</v>
      </c>
      <c r="C21" s="11">
        <v>1</v>
      </c>
      <c r="D21" s="11">
        <v>0.9</v>
      </c>
      <c r="E21" s="11">
        <v>1</v>
      </c>
      <c r="F21" s="11">
        <v>0.95</v>
      </c>
      <c r="G21" s="11">
        <v>1</v>
      </c>
      <c r="H21" s="11">
        <v>1</v>
      </c>
      <c r="I21" s="11" t="s">
        <v>51</v>
      </c>
      <c r="J21" s="11">
        <v>1</v>
      </c>
      <c r="K21" s="11">
        <v>1</v>
      </c>
      <c r="L21" s="11">
        <v>1</v>
      </c>
      <c r="M21" s="11">
        <v>1</v>
      </c>
      <c r="N21" s="11">
        <v>0.94736842105263153</v>
      </c>
      <c r="O21" s="11">
        <v>0.95</v>
      </c>
      <c r="P21" s="11">
        <v>1</v>
      </c>
      <c r="Q21" s="11">
        <v>1</v>
      </c>
      <c r="R21" s="11">
        <v>0.94117647058823528</v>
      </c>
      <c r="S21" s="11">
        <v>0.9</v>
      </c>
      <c r="T21" s="11">
        <v>1</v>
      </c>
      <c r="U21" s="11">
        <v>1</v>
      </c>
      <c r="V21" s="11">
        <v>0.93333333333333335</v>
      </c>
      <c r="W21" s="11">
        <v>1</v>
      </c>
      <c r="X21" s="11">
        <v>1</v>
      </c>
      <c r="Y21" s="48">
        <v>97.319642857142853</v>
      </c>
    </row>
    <row r="22" spans="1:25" x14ac:dyDescent="0.2">
      <c r="A22" s="35" t="s">
        <v>47</v>
      </c>
      <c r="B22" s="11">
        <v>0.97058823529411764</v>
      </c>
      <c r="C22" s="11">
        <v>1</v>
      </c>
      <c r="D22" s="11">
        <v>0.94117647058823528</v>
      </c>
      <c r="E22" s="11">
        <v>1</v>
      </c>
      <c r="F22" s="11">
        <v>1</v>
      </c>
      <c r="G22" s="11">
        <v>0.97058823529411764</v>
      </c>
      <c r="H22" s="11">
        <v>1</v>
      </c>
      <c r="I22" s="11">
        <v>1</v>
      </c>
      <c r="J22" s="11">
        <v>0.9642857142857143</v>
      </c>
      <c r="K22" s="11">
        <v>1</v>
      </c>
      <c r="L22" s="11">
        <v>1</v>
      </c>
      <c r="M22" s="11">
        <v>0.88235294117647056</v>
      </c>
      <c r="N22" s="11">
        <v>0.90909090909090906</v>
      </c>
      <c r="O22" s="11">
        <v>1</v>
      </c>
      <c r="P22" s="11">
        <v>0</v>
      </c>
      <c r="Q22" s="11">
        <v>1</v>
      </c>
      <c r="R22" s="11">
        <v>0.81818181818181823</v>
      </c>
      <c r="S22" s="11">
        <v>0.91176470588235292</v>
      </c>
      <c r="T22" s="11">
        <v>1</v>
      </c>
      <c r="U22" s="11">
        <v>0.96666666666666667</v>
      </c>
      <c r="V22" s="11">
        <v>1</v>
      </c>
      <c r="W22" s="11">
        <v>1</v>
      </c>
      <c r="X22" s="11">
        <v>1</v>
      </c>
      <c r="Y22" s="48">
        <v>95.661419878296144</v>
      </c>
    </row>
    <row r="23" spans="1:25" x14ac:dyDescent="0.2">
      <c r="A23" s="10" t="s">
        <v>141</v>
      </c>
      <c r="B23" s="11">
        <v>0.96733668341708545</v>
      </c>
      <c r="C23" s="11">
        <v>0.97900262467191601</v>
      </c>
      <c r="D23" s="11">
        <v>0.97389033942558745</v>
      </c>
      <c r="E23" s="11">
        <v>0.99748743718592969</v>
      </c>
      <c r="F23" s="11">
        <v>0.97493734335839599</v>
      </c>
      <c r="G23" s="11">
        <v>0.98241206030150752</v>
      </c>
      <c r="H23" s="11">
        <v>0.98670212765957444</v>
      </c>
      <c r="I23" s="11">
        <v>1</v>
      </c>
      <c r="J23" s="11">
        <v>0.97540983606557374</v>
      </c>
      <c r="K23" s="11">
        <v>0.97606382978723405</v>
      </c>
      <c r="L23" s="11">
        <v>0.98496240601503759</v>
      </c>
      <c r="M23" s="11">
        <v>0.88010204081632648</v>
      </c>
      <c r="N23" s="11">
        <v>0.97361477572559363</v>
      </c>
      <c r="O23" s="11">
        <v>0.96850393700787396</v>
      </c>
      <c r="P23" s="11">
        <v>0.93103448275862066</v>
      </c>
      <c r="Q23" s="11">
        <v>1</v>
      </c>
      <c r="R23" s="11">
        <v>0.85199999999999998</v>
      </c>
      <c r="S23" s="11">
        <v>0.9445910290237467</v>
      </c>
      <c r="T23" s="11">
        <v>0.99197860962566842</v>
      </c>
      <c r="U23" s="11">
        <v>0.99101796407185627</v>
      </c>
      <c r="V23" s="11">
        <v>0.99019607843137258</v>
      </c>
      <c r="W23" s="11">
        <v>0.98421052631578942</v>
      </c>
      <c r="X23" s="11">
        <v>1</v>
      </c>
      <c r="Y23" s="48">
        <v>96.207635124060658</v>
      </c>
    </row>
    <row r="24" spans="1:25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</row>
    <row r="25" spans="1:25" x14ac:dyDescent="0.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</row>
    <row r="26" spans="1:25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</row>
    <row r="27" spans="1:2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1:2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1:2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1:2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</row>
    <row r="31" spans="1:2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</row>
    <row r="32" spans="1:2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</row>
    <row r="33" spans="1:25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3" tint="0.39997558519241921"/>
  </sheetPr>
  <dimension ref="A2:Y36"/>
  <sheetViews>
    <sheetView workbookViewId="0">
      <selection activeCell="A9" sqref="A9"/>
    </sheetView>
  </sheetViews>
  <sheetFormatPr baseColWidth="10" defaultRowHeight="12.75" x14ac:dyDescent="0.2"/>
  <cols>
    <col min="1" max="1" width="21.140625" style="8" customWidth="1"/>
    <col min="2" max="2" width="7.85546875" style="8" bestFit="1" customWidth="1"/>
    <col min="3" max="24" width="5.7109375" style="8" customWidth="1"/>
    <col min="25" max="25" width="16.85546875" style="8" customWidth="1"/>
    <col min="26" max="27" width="5.7109375" style="8" customWidth="1"/>
    <col min="28" max="28" width="4.7109375" style="8" customWidth="1"/>
    <col min="29" max="29" width="35.140625" style="8" customWidth="1"/>
    <col min="30" max="30" width="23.85546875" style="8" customWidth="1"/>
    <col min="31" max="31" width="23.85546875" style="8" bestFit="1" customWidth="1"/>
    <col min="32" max="32" width="23.85546875" style="8" customWidth="1"/>
    <col min="33" max="33" width="16.85546875" style="8" customWidth="1"/>
    <col min="34" max="34" width="25.85546875" style="8" customWidth="1"/>
    <col min="35" max="35" width="5" style="8" customWidth="1"/>
    <col min="36" max="36" width="3" style="8" customWidth="1"/>
    <col min="37" max="37" width="6" style="8" customWidth="1"/>
    <col min="38" max="38" width="3" style="8" customWidth="1"/>
    <col min="39" max="39" width="5" style="8" customWidth="1"/>
    <col min="40" max="40" width="6" style="8" customWidth="1"/>
    <col min="41" max="41" width="4" style="8" customWidth="1"/>
    <col min="42" max="42" width="12.5703125" style="8" customWidth="1"/>
    <col min="43" max="43" width="12.5703125" style="8" bestFit="1" customWidth="1"/>
    <col min="44" max="16384" width="11.42578125" style="8"/>
  </cols>
  <sheetData>
    <row r="2" spans="1:25" x14ac:dyDescent="0.2">
      <c r="A2"/>
      <c r="B2"/>
    </row>
    <row r="4" spans="1:25" x14ac:dyDescent="0.2">
      <c r="A4"/>
      <c r="B4" s="9" t="s">
        <v>351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</row>
    <row r="5" spans="1:25" ht="363" x14ac:dyDescent="0.2">
      <c r="A5" s="9" t="s">
        <v>424</v>
      </c>
      <c r="B5" s="12" t="s">
        <v>433</v>
      </c>
      <c r="C5" s="12" t="s">
        <v>439</v>
      </c>
      <c r="D5" s="12" t="s">
        <v>437</v>
      </c>
      <c r="E5" s="12" t="s">
        <v>430</v>
      </c>
      <c r="F5" s="12" t="s">
        <v>447</v>
      </c>
      <c r="G5" s="12" t="s">
        <v>434</v>
      </c>
      <c r="H5" s="12" t="s">
        <v>450</v>
      </c>
      <c r="I5" s="12" t="s">
        <v>451</v>
      </c>
      <c r="J5" s="12" t="s">
        <v>431</v>
      </c>
      <c r="K5" s="12" t="s">
        <v>452</v>
      </c>
      <c r="L5" s="12" t="s">
        <v>448</v>
      </c>
      <c r="M5" s="12" t="s">
        <v>438</v>
      </c>
      <c r="N5" s="12" t="s">
        <v>435</v>
      </c>
      <c r="O5" s="12" t="s">
        <v>440</v>
      </c>
      <c r="P5" s="12" t="s">
        <v>436</v>
      </c>
      <c r="Q5" s="12" t="s">
        <v>441</v>
      </c>
      <c r="R5" s="12" t="s">
        <v>432</v>
      </c>
      <c r="S5" s="12" t="s">
        <v>442</v>
      </c>
      <c r="T5" s="12" t="s">
        <v>449</v>
      </c>
      <c r="U5" s="12" t="s">
        <v>443</v>
      </c>
      <c r="V5" s="12" t="s">
        <v>444</v>
      </c>
      <c r="W5" s="12" t="s">
        <v>445</v>
      </c>
      <c r="X5" s="12" t="s">
        <v>446</v>
      </c>
      <c r="Y5" t="s">
        <v>453</v>
      </c>
    </row>
    <row r="6" spans="1:25" x14ac:dyDescent="0.2">
      <c r="A6" s="10" t="s">
        <v>144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48"/>
    </row>
    <row r="7" spans="1:25" x14ac:dyDescent="0.2">
      <c r="A7" s="35" t="s">
        <v>144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48"/>
    </row>
    <row r="8" spans="1:25" x14ac:dyDescent="0.2">
      <c r="A8" s="10" t="s">
        <v>410</v>
      </c>
      <c r="B8" s="11">
        <v>0.96511627906976749</v>
      </c>
      <c r="C8" s="11">
        <v>0.97484276729559749</v>
      </c>
      <c r="D8" s="11">
        <v>0.98136645962732916</v>
      </c>
      <c r="E8" s="11">
        <v>1</v>
      </c>
      <c r="F8" s="11">
        <v>0.96531791907514453</v>
      </c>
      <c r="G8" s="11">
        <v>0.97674418604651159</v>
      </c>
      <c r="H8" s="11">
        <v>0.97333333333333338</v>
      </c>
      <c r="I8" s="11">
        <v>1</v>
      </c>
      <c r="J8" s="11">
        <v>0.97916666666666663</v>
      </c>
      <c r="K8" s="11">
        <v>0.96</v>
      </c>
      <c r="L8" s="11">
        <v>0.97687861271676302</v>
      </c>
      <c r="M8" s="11">
        <v>0.85882352941176465</v>
      </c>
      <c r="N8" s="11">
        <v>0.96932515337423308</v>
      </c>
      <c r="O8" s="11">
        <v>0.96855345911949686</v>
      </c>
      <c r="P8" s="11">
        <v>1</v>
      </c>
      <c r="Q8" s="11">
        <v>1</v>
      </c>
      <c r="R8" s="11">
        <v>0.84313725490196079</v>
      </c>
      <c r="S8" s="11">
        <v>0.94339622641509435</v>
      </c>
      <c r="T8" s="11">
        <v>0.98717948717948723</v>
      </c>
      <c r="U8" s="11">
        <v>0.98550724637681164</v>
      </c>
      <c r="V8" s="11">
        <v>1</v>
      </c>
      <c r="W8" s="11">
        <v>1</v>
      </c>
      <c r="X8" s="11">
        <v>1</v>
      </c>
      <c r="Y8" s="48">
        <v>95.427330774138511</v>
      </c>
    </row>
    <row r="9" spans="1:25" x14ac:dyDescent="0.2">
      <c r="A9" s="35">
        <v>1</v>
      </c>
      <c r="B9" s="11">
        <v>0.97142857142857142</v>
      </c>
      <c r="C9" s="11">
        <v>1</v>
      </c>
      <c r="D9" s="11">
        <v>1</v>
      </c>
      <c r="E9" s="11">
        <v>1</v>
      </c>
      <c r="F9" s="11">
        <v>1</v>
      </c>
      <c r="G9" s="11">
        <v>1</v>
      </c>
      <c r="H9" s="11">
        <v>1</v>
      </c>
      <c r="I9" s="11">
        <v>1</v>
      </c>
      <c r="J9" s="11">
        <v>0.9285714285714286</v>
      </c>
      <c r="K9" s="11">
        <v>0.97222222222222221</v>
      </c>
      <c r="L9" s="11">
        <v>0.97222222222222221</v>
      </c>
      <c r="M9" s="11">
        <v>0.94444444444444442</v>
      </c>
      <c r="N9" s="11">
        <v>1</v>
      </c>
      <c r="O9" s="11">
        <v>1</v>
      </c>
      <c r="P9" s="11" t="s">
        <v>51</v>
      </c>
      <c r="Q9" s="11">
        <v>1</v>
      </c>
      <c r="R9" s="11">
        <v>0.95454545454545459</v>
      </c>
      <c r="S9" s="11">
        <v>0.88888888888888884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48">
        <v>98.311193853427895</v>
      </c>
    </row>
    <row r="10" spans="1:25" x14ac:dyDescent="0.2">
      <c r="A10" s="35">
        <v>2</v>
      </c>
      <c r="B10" s="11">
        <v>0.94444444444444442</v>
      </c>
      <c r="C10" s="11">
        <v>0.93548387096774188</v>
      </c>
      <c r="D10" s="11">
        <v>0.93548387096774188</v>
      </c>
      <c r="E10" s="11">
        <v>1</v>
      </c>
      <c r="F10" s="11">
        <v>0.97222222222222221</v>
      </c>
      <c r="G10" s="11">
        <v>1</v>
      </c>
      <c r="H10" s="11">
        <v>0.97222222222222221</v>
      </c>
      <c r="I10" s="11">
        <v>1</v>
      </c>
      <c r="J10" s="11">
        <v>1</v>
      </c>
      <c r="K10" s="11">
        <v>0.97222222222222221</v>
      </c>
      <c r="L10" s="11">
        <v>0.91666666666666663</v>
      </c>
      <c r="M10" s="11">
        <v>0.75</v>
      </c>
      <c r="N10" s="11">
        <v>0.97142857142857142</v>
      </c>
      <c r="O10" s="11">
        <v>0.93548387096774188</v>
      </c>
      <c r="P10" s="11">
        <v>1</v>
      </c>
      <c r="Q10" s="11">
        <v>1</v>
      </c>
      <c r="R10" s="11">
        <v>0.7142857142857143</v>
      </c>
      <c r="S10" s="11">
        <v>0.967741935483871</v>
      </c>
      <c r="T10" s="11">
        <v>1</v>
      </c>
      <c r="U10" s="11">
        <v>0.95454545454545459</v>
      </c>
      <c r="V10" s="11">
        <v>1</v>
      </c>
      <c r="W10" s="11">
        <v>1</v>
      </c>
      <c r="X10" s="11">
        <v>1</v>
      </c>
      <c r="Y10" s="48">
        <v>91.667504145936974</v>
      </c>
    </row>
    <row r="11" spans="1:25" x14ac:dyDescent="0.2">
      <c r="A11" s="35">
        <v>3</v>
      </c>
      <c r="B11" s="11">
        <v>1</v>
      </c>
      <c r="C11" s="11">
        <v>1</v>
      </c>
      <c r="D11" s="11">
        <v>0.96551724137931039</v>
      </c>
      <c r="E11" s="11">
        <v>1</v>
      </c>
      <c r="F11" s="11">
        <v>0.967741935483871</v>
      </c>
      <c r="G11" s="11">
        <v>1</v>
      </c>
      <c r="H11" s="11">
        <v>0.90322580645161288</v>
      </c>
      <c r="I11" s="11">
        <v>1</v>
      </c>
      <c r="J11" s="11">
        <v>0.92307692307692313</v>
      </c>
      <c r="K11" s="11">
        <v>0.90322580645161288</v>
      </c>
      <c r="L11" s="11">
        <v>1</v>
      </c>
      <c r="M11" s="11">
        <v>0.9285714285714286</v>
      </c>
      <c r="N11" s="11">
        <v>0.967741935483871</v>
      </c>
      <c r="O11" s="11">
        <v>0.96551724137931039</v>
      </c>
      <c r="P11" s="11" t="s">
        <v>51</v>
      </c>
      <c r="Q11" s="11">
        <v>1</v>
      </c>
      <c r="R11" s="11">
        <v>1</v>
      </c>
      <c r="S11" s="11">
        <v>0.93103448275862066</v>
      </c>
      <c r="T11" s="11">
        <v>1</v>
      </c>
      <c r="U11" s="11">
        <v>0.96296296296296291</v>
      </c>
      <c r="V11" s="11">
        <v>1</v>
      </c>
      <c r="W11" s="11">
        <v>1</v>
      </c>
      <c r="X11" s="11">
        <v>1</v>
      </c>
      <c r="Y11" s="48">
        <v>97.875576036866363</v>
      </c>
    </row>
    <row r="12" spans="1:25" x14ac:dyDescent="0.2">
      <c r="A12" s="35">
        <v>4</v>
      </c>
      <c r="B12" s="11">
        <v>0.96610169491525422</v>
      </c>
      <c r="C12" s="11">
        <v>0.96226415094339623</v>
      </c>
      <c r="D12" s="11">
        <v>1</v>
      </c>
      <c r="E12" s="11">
        <v>1</v>
      </c>
      <c r="F12" s="11">
        <v>1</v>
      </c>
      <c r="G12" s="11">
        <v>0.93220338983050843</v>
      </c>
      <c r="H12" s="11">
        <v>1</v>
      </c>
      <c r="I12" s="11">
        <v>1</v>
      </c>
      <c r="J12" s="11">
        <v>1</v>
      </c>
      <c r="K12" s="11">
        <v>0.97222222222222221</v>
      </c>
      <c r="L12" s="11">
        <v>1</v>
      </c>
      <c r="M12" s="11">
        <v>0.83050847457627119</v>
      </c>
      <c r="N12" s="11">
        <v>0.96610169491525422</v>
      </c>
      <c r="O12" s="11">
        <v>0.96226415094339623</v>
      </c>
      <c r="P12" s="11" t="s">
        <v>51</v>
      </c>
      <c r="Q12" s="11">
        <v>1</v>
      </c>
      <c r="R12" s="11">
        <v>0.78</v>
      </c>
      <c r="S12" s="11">
        <v>0.96226415094339623</v>
      </c>
      <c r="T12" s="11">
        <v>0.96078431372549022</v>
      </c>
      <c r="U12" s="11">
        <v>1</v>
      </c>
      <c r="V12" s="11">
        <v>1</v>
      </c>
      <c r="W12" s="11">
        <v>1</v>
      </c>
      <c r="X12" s="11">
        <v>1</v>
      </c>
      <c r="Y12" s="48">
        <v>94.745256767012393</v>
      </c>
    </row>
    <row r="13" spans="1:25" x14ac:dyDescent="0.2">
      <c r="A13" s="35">
        <v>5</v>
      </c>
      <c r="B13" s="11">
        <v>0.90909090909090906</v>
      </c>
      <c r="C13" s="11">
        <v>1</v>
      </c>
      <c r="D13" s="11">
        <v>1</v>
      </c>
      <c r="E13" s="11">
        <v>1</v>
      </c>
      <c r="F13" s="11">
        <v>0.63636363636363635</v>
      </c>
      <c r="G13" s="11">
        <v>1</v>
      </c>
      <c r="H13" s="11">
        <v>1</v>
      </c>
      <c r="I13" s="11">
        <v>1</v>
      </c>
      <c r="J13" s="11">
        <v>1</v>
      </c>
      <c r="K13" s="11">
        <v>1</v>
      </c>
      <c r="L13" s="11">
        <v>1</v>
      </c>
      <c r="M13" s="11">
        <v>0.90909090909090906</v>
      </c>
      <c r="N13" s="11">
        <v>0.90909090909090906</v>
      </c>
      <c r="O13" s="11">
        <v>1</v>
      </c>
      <c r="P13" s="11">
        <v>1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 t="s">
        <v>51</v>
      </c>
      <c r="W13" s="11" t="s">
        <v>51</v>
      </c>
      <c r="X13" s="11" t="s">
        <v>51</v>
      </c>
      <c r="Y13" s="48">
        <v>95.052917232021713</v>
      </c>
    </row>
    <row r="14" spans="1:25" x14ac:dyDescent="0.2">
      <c r="A14" s="10" t="s">
        <v>412</v>
      </c>
      <c r="B14" s="11">
        <v>0.96153846153846156</v>
      </c>
      <c r="C14" s="11">
        <v>0.99019607843137258</v>
      </c>
      <c r="D14" s="11">
        <v>0.97115384615384615</v>
      </c>
      <c r="E14" s="11">
        <v>0.99038461538461542</v>
      </c>
      <c r="F14" s="11">
        <v>0.97115384615384615</v>
      </c>
      <c r="G14" s="11">
        <v>1</v>
      </c>
      <c r="H14" s="11">
        <v>1</v>
      </c>
      <c r="I14" s="11">
        <v>1</v>
      </c>
      <c r="J14" s="11">
        <v>0.9859154929577465</v>
      </c>
      <c r="K14" s="11">
        <v>0.99038461538461542</v>
      </c>
      <c r="L14" s="11">
        <v>0.98076923076923073</v>
      </c>
      <c r="M14" s="11">
        <v>0.83333333333333337</v>
      </c>
      <c r="N14" s="11">
        <v>0.99</v>
      </c>
      <c r="O14" s="11">
        <v>0.97058823529411764</v>
      </c>
      <c r="P14" s="11">
        <v>0.83333333333333337</v>
      </c>
      <c r="Q14" s="11">
        <v>1</v>
      </c>
      <c r="R14" s="11">
        <v>0.88732394366197187</v>
      </c>
      <c r="S14" s="11">
        <v>0.94</v>
      </c>
      <c r="T14" s="11">
        <v>0.99</v>
      </c>
      <c r="U14" s="11">
        <v>1</v>
      </c>
      <c r="V14" s="11">
        <v>1</v>
      </c>
      <c r="W14" s="11">
        <v>0.95081967213114749</v>
      </c>
      <c r="X14" s="11">
        <v>1</v>
      </c>
      <c r="Y14" s="48">
        <v>96.357503280301799</v>
      </c>
    </row>
    <row r="15" spans="1:25" x14ac:dyDescent="0.2">
      <c r="A15" s="35">
        <v>9</v>
      </c>
      <c r="B15" s="11">
        <v>1</v>
      </c>
      <c r="C15" s="11">
        <v>1</v>
      </c>
      <c r="D15" s="11">
        <v>0.9</v>
      </c>
      <c r="E15" s="11">
        <v>1</v>
      </c>
      <c r="F15" s="11">
        <v>1</v>
      </c>
      <c r="G15" s="11">
        <v>1</v>
      </c>
      <c r="H15" s="11">
        <v>1</v>
      </c>
      <c r="I15" s="11" t="s">
        <v>51</v>
      </c>
      <c r="J15" s="11">
        <v>1</v>
      </c>
      <c r="K15" s="11">
        <v>1</v>
      </c>
      <c r="L15" s="11">
        <v>1</v>
      </c>
      <c r="M15" s="11">
        <v>0.7</v>
      </c>
      <c r="N15" s="11">
        <v>1</v>
      </c>
      <c r="O15" s="11">
        <v>1</v>
      </c>
      <c r="P15" s="11" t="s">
        <v>51</v>
      </c>
      <c r="Q15" s="11">
        <v>1</v>
      </c>
      <c r="R15" s="11">
        <v>1</v>
      </c>
      <c r="S15" s="11">
        <v>0.88888888888888884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48">
        <v>95.7</v>
      </c>
    </row>
    <row r="16" spans="1:25" x14ac:dyDescent="0.2">
      <c r="A16" s="35">
        <v>10</v>
      </c>
      <c r="B16" s="11">
        <v>0.967741935483871</v>
      </c>
      <c r="C16" s="11">
        <v>0.967741935483871</v>
      </c>
      <c r="D16" s="11">
        <v>0.967741935483871</v>
      </c>
      <c r="E16" s="11">
        <v>1</v>
      </c>
      <c r="F16" s="11">
        <v>1</v>
      </c>
      <c r="G16" s="11">
        <v>1</v>
      </c>
      <c r="H16" s="11">
        <v>1</v>
      </c>
      <c r="I16" s="11">
        <v>1</v>
      </c>
      <c r="J16" s="11">
        <v>1</v>
      </c>
      <c r="K16" s="11">
        <v>1</v>
      </c>
      <c r="L16" s="11">
        <v>0.967741935483871</v>
      </c>
      <c r="M16" s="11">
        <v>0.87096774193548387</v>
      </c>
      <c r="N16" s="11">
        <v>1</v>
      </c>
      <c r="O16" s="11">
        <v>0.967741935483871</v>
      </c>
      <c r="P16" s="11">
        <v>1</v>
      </c>
      <c r="Q16" s="11">
        <v>1</v>
      </c>
      <c r="R16" s="11">
        <v>0.95833333333333337</v>
      </c>
      <c r="S16" s="11">
        <v>1</v>
      </c>
      <c r="T16" s="11">
        <v>0.967741935483871</v>
      </c>
      <c r="U16" s="11">
        <v>1</v>
      </c>
      <c r="V16" s="11">
        <v>1</v>
      </c>
      <c r="W16" s="11">
        <v>0.94736842105263153</v>
      </c>
      <c r="X16" s="11">
        <v>1</v>
      </c>
      <c r="Y16" s="48">
        <v>97.197419354838701</v>
      </c>
    </row>
    <row r="17" spans="1:25" x14ac:dyDescent="0.2">
      <c r="A17" s="35">
        <v>11</v>
      </c>
      <c r="B17" s="11">
        <v>0.96875</v>
      </c>
      <c r="C17" s="11">
        <v>1</v>
      </c>
      <c r="D17" s="11">
        <v>1</v>
      </c>
      <c r="E17" s="11">
        <v>1</v>
      </c>
      <c r="F17" s="11">
        <v>0.96875</v>
      </c>
      <c r="G17" s="11">
        <v>1</v>
      </c>
      <c r="H17" s="11">
        <v>1</v>
      </c>
      <c r="I17" s="11">
        <v>1</v>
      </c>
      <c r="J17" s="11">
        <v>1</v>
      </c>
      <c r="K17" s="11">
        <v>1</v>
      </c>
      <c r="L17" s="11">
        <v>1</v>
      </c>
      <c r="M17" s="11">
        <v>0.90625</v>
      </c>
      <c r="N17" s="11">
        <v>0.96875</v>
      </c>
      <c r="O17" s="11">
        <v>1</v>
      </c>
      <c r="P17" s="11">
        <v>0</v>
      </c>
      <c r="Q17" s="11">
        <v>1</v>
      </c>
      <c r="R17" s="11">
        <v>0.76666666666666672</v>
      </c>
      <c r="S17" s="11">
        <v>0.8666666666666667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48">
        <v>97.053750000000008</v>
      </c>
    </row>
    <row r="18" spans="1:25" x14ac:dyDescent="0.2">
      <c r="A18" s="35">
        <v>12</v>
      </c>
      <c r="B18" s="11">
        <v>0.9285714285714286</v>
      </c>
      <c r="C18" s="11">
        <v>1</v>
      </c>
      <c r="D18" s="11">
        <v>0.9642857142857143</v>
      </c>
      <c r="E18" s="11">
        <v>0.9642857142857143</v>
      </c>
      <c r="F18" s="11">
        <v>0.9285714285714286</v>
      </c>
      <c r="G18" s="11">
        <v>1</v>
      </c>
      <c r="H18" s="11">
        <v>1</v>
      </c>
      <c r="I18" s="11">
        <v>1</v>
      </c>
      <c r="J18" s="11">
        <v>0.92307692307692313</v>
      </c>
      <c r="K18" s="11">
        <v>0.9642857142857143</v>
      </c>
      <c r="L18" s="11">
        <v>0.9642857142857143</v>
      </c>
      <c r="M18" s="11">
        <v>0.76923076923076927</v>
      </c>
      <c r="N18" s="11">
        <v>1</v>
      </c>
      <c r="O18" s="11">
        <v>0.92592592592592593</v>
      </c>
      <c r="P18" s="11" t="s">
        <v>51</v>
      </c>
      <c r="Q18" s="11">
        <v>1</v>
      </c>
      <c r="R18" s="11">
        <v>1</v>
      </c>
      <c r="S18" s="11">
        <v>0.96296296296296291</v>
      </c>
      <c r="T18" s="11">
        <v>1</v>
      </c>
      <c r="U18" s="11">
        <v>1</v>
      </c>
      <c r="V18" s="11">
        <v>1</v>
      </c>
      <c r="W18" s="11">
        <v>0.8</v>
      </c>
      <c r="X18" s="11">
        <v>1</v>
      </c>
      <c r="Y18" s="48">
        <v>94.833583612549504</v>
      </c>
    </row>
    <row r="19" spans="1:25" x14ac:dyDescent="0.2">
      <c r="A19" s="35">
        <v>13</v>
      </c>
      <c r="B19" s="11">
        <v>1</v>
      </c>
      <c r="C19" s="11">
        <v>1</v>
      </c>
      <c r="D19" s="11">
        <v>1</v>
      </c>
      <c r="E19" s="11">
        <v>1</v>
      </c>
      <c r="F19" s="11">
        <v>1</v>
      </c>
      <c r="G19" s="11">
        <v>1</v>
      </c>
      <c r="H19" s="11">
        <v>1</v>
      </c>
      <c r="I19" s="11" t="s">
        <v>51</v>
      </c>
      <c r="J19" s="11">
        <v>1</v>
      </c>
      <c r="K19" s="11">
        <v>1</v>
      </c>
      <c r="L19" s="11">
        <v>1</v>
      </c>
      <c r="M19" s="11">
        <v>0.66666666666666663</v>
      </c>
      <c r="N19" s="11">
        <v>1</v>
      </c>
      <c r="O19" s="11">
        <v>1</v>
      </c>
      <c r="P19" s="11" t="s">
        <v>51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48">
        <v>96.666666666666671</v>
      </c>
    </row>
    <row r="20" spans="1:25" x14ac:dyDescent="0.2">
      <c r="A20" s="10" t="s">
        <v>411</v>
      </c>
      <c r="B20" s="11">
        <v>0.97540983606557374</v>
      </c>
      <c r="C20" s="11">
        <v>0.97499999999999998</v>
      </c>
      <c r="D20" s="11">
        <v>0.96610169491525422</v>
      </c>
      <c r="E20" s="11">
        <v>1</v>
      </c>
      <c r="F20" s="11">
        <v>0.99180327868852458</v>
      </c>
      <c r="G20" s="11">
        <v>0.97540983606557374</v>
      </c>
      <c r="H20" s="11">
        <v>0.99180327868852458</v>
      </c>
      <c r="I20" s="11">
        <v>1</v>
      </c>
      <c r="J20" s="11">
        <v>0.96103896103896103</v>
      </c>
      <c r="K20" s="11">
        <v>0.98360655737704916</v>
      </c>
      <c r="L20" s="11">
        <v>1</v>
      </c>
      <c r="M20" s="11">
        <v>0.95</v>
      </c>
      <c r="N20" s="11">
        <v>0.96551724137931039</v>
      </c>
      <c r="O20" s="11">
        <v>0.96666666666666667</v>
      </c>
      <c r="P20" s="11">
        <v>0.94117647058823528</v>
      </c>
      <c r="Q20" s="11">
        <v>1</v>
      </c>
      <c r="R20" s="11">
        <v>0.83116883116883122</v>
      </c>
      <c r="S20" s="11">
        <v>0.95</v>
      </c>
      <c r="T20" s="11">
        <v>1</v>
      </c>
      <c r="U20" s="11">
        <v>0.99047619047619051</v>
      </c>
      <c r="V20" s="11">
        <v>0.96875</v>
      </c>
      <c r="W20" s="11">
        <v>1</v>
      </c>
      <c r="X20" s="11">
        <v>1</v>
      </c>
      <c r="Y20" s="48">
        <v>97.186375814941272</v>
      </c>
    </row>
    <row r="21" spans="1:25" x14ac:dyDescent="0.2">
      <c r="A21" s="35">
        <v>5</v>
      </c>
      <c r="B21" s="11">
        <v>0.96296296296296291</v>
      </c>
      <c r="C21" s="11">
        <v>1</v>
      </c>
      <c r="D21" s="11">
        <v>0.88461538461538458</v>
      </c>
      <c r="E21" s="11">
        <v>1</v>
      </c>
      <c r="F21" s="11">
        <v>0.96296296296296291</v>
      </c>
      <c r="G21" s="11">
        <v>1</v>
      </c>
      <c r="H21" s="11">
        <v>1</v>
      </c>
      <c r="I21" s="11" t="s">
        <v>51</v>
      </c>
      <c r="J21" s="11">
        <v>0.88235294117647056</v>
      </c>
      <c r="K21" s="11">
        <v>1</v>
      </c>
      <c r="L21" s="11">
        <v>1</v>
      </c>
      <c r="M21" s="11">
        <v>0.84615384615384615</v>
      </c>
      <c r="N21" s="11">
        <v>0.86956521739130432</v>
      </c>
      <c r="O21" s="11">
        <v>1</v>
      </c>
      <c r="P21" s="11">
        <v>0</v>
      </c>
      <c r="Q21" s="11">
        <v>1</v>
      </c>
      <c r="R21" s="11">
        <v>1</v>
      </c>
      <c r="S21" s="11">
        <v>1</v>
      </c>
      <c r="T21" s="11">
        <v>1</v>
      </c>
      <c r="U21" s="11">
        <v>0.94736842105263153</v>
      </c>
      <c r="V21" s="11">
        <v>1</v>
      </c>
      <c r="W21" s="11">
        <v>1</v>
      </c>
      <c r="X21" s="11">
        <v>1</v>
      </c>
      <c r="Y21" s="48">
        <v>95.112592592592591</v>
      </c>
    </row>
    <row r="22" spans="1:25" x14ac:dyDescent="0.2">
      <c r="A22" s="35">
        <v>6</v>
      </c>
      <c r="B22" s="11">
        <v>0.95121951219512191</v>
      </c>
      <c r="C22" s="11">
        <v>0.95</v>
      </c>
      <c r="D22" s="11">
        <v>1</v>
      </c>
      <c r="E22" s="11">
        <v>1</v>
      </c>
      <c r="F22" s="11">
        <v>1</v>
      </c>
      <c r="G22" s="11">
        <v>1</v>
      </c>
      <c r="H22" s="11">
        <v>1</v>
      </c>
      <c r="I22" s="11">
        <v>1</v>
      </c>
      <c r="J22" s="11">
        <v>0.94117647058823528</v>
      </c>
      <c r="K22" s="11">
        <v>1</v>
      </c>
      <c r="L22" s="11">
        <v>1</v>
      </c>
      <c r="M22" s="11">
        <v>0.97499999999999998</v>
      </c>
      <c r="N22" s="11">
        <v>1</v>
      </c>
      <c r="O22" s="11">
        <v>0.95</v>
      </c>
      <c r="P22" s="11">
        <v>1</v>
      </c>
      <c r="Q22" s="11">
        <v>1</v>
      </c>
      <c r="R22" s="11">
        <v>0.58823529411764708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48">
        <v>98.273170731707324</v>
      </c>
    </row>
    <row r="23" spans="1:25" x14ac:dyDescent="0.2">
      <c r="A23" s="35">
        <v>7</v>
      </c>
      <c r="B23" s="11">
        <v>1</v>
      </c>
      <c r="C23" s="11">
        <v>1</v>
      </c>
      <c r="D23" s="11">
        <v>0.97674418604651159</v>
      </c>
      <c r="E23" s="11">
        <v>1</v>
      </c>
      <c r="F23" s="11">
        <v>1</v>
      </c>
      <c r="G23" s="11">
        <v>0.93181818181818177</v>
      </c>
      <c r="H23" s="11">
        <v>0.97727272727272729</v>
      </c>
      <c r="I23" s="11">
        <v>1</v>
      </c>
      <c r="J23" s="11">
        <v>1</v>
      </c>
      <c r="K23" s="11">
        <v>0.95454545454545459</v>
      </c>
      <c r="L23" s="11">
        <v>1</v>
      </c>
      <c r="M23" s="11">
        <v>0.97727272727272729</v>
      </c>
      <c r="N23" s="11">
        <v>1</v>
      </c>
      <c r="O23" s="11">
        <v>1</v>
      </c>
      <c r="P23" s="11">
        <v>1</v>
      </c>
      <c r="Q23" s="11">
        <v>1</v>
      </c>
      <c r="R23" s="11">
        <v>0.86486486486486491</v>
      </c>
      <c r="S23" s="11">
        <v>0.93023255813953487</v>
      </c>
      <c r="T23" s="11">
        <v>1</v>
      </c>
      <c r="U23" s="11">
        <v>1</v>
      </c>
      <c r="V23" s="11">
        <v>0.94871794871794868</v>
      </c>
      <c r="W23" s="11">
        <v>1</v>
      </c>
      <c r="X23" s="11">
        <v>1</v>
      </c>
      <c r="Y23" s="48">
        <v>97.797840733635894</v>
      </c>
    </row>
    <row r="24" spans="1:25" x14ac:dyDescent="0.2">
      <c r="A24" s="35">
        <v>8</v>
      </c>
      <c r="B24" s="11">
        <v>1</v>
      </c>
      <c r="C24" s="11">
        <v>0.9</v>
      </c>
      <c r="D24" s="11">
        <v>1</v>
      </c>
      <c r="E24" s="11">
        <v>1</v>
      </c>
      <c r="F24" s="11">
        <v>1</v>
      </c>
      <c r="G24" s="11">
        <v>1</v>
      </c>
      <c r="H24" s="11">
        <v>1</v>
      </c>
      <c r="I24" s="11" t="s">
        <v>51</v>
      </c>
      <c r="J24" s="11">
        <v>1</v>
      </c>
      <c r="K24" s="11">
        <v>1</v>
      </c>
      <c r="L24" s="11">
        <v>1</v>
      </c>
      <c r="M24" s="11">
        <v>1</v>
      </c>
      <c r="N24" s="11">
        <v>0.9</v>
      </c>
      <c r="O24" s="11">
        <v>0.8</v>
      </c>
      <c r="P24" s="11" t="s">
        <v>51</v>
      </c>
      <c r="Q24" s="11">
        <v>1</v>
      </c>
      <c r="R24" s="11">
        <v>0.9</v>
      </c>
      <c r="S24" s="11">
        <v>0.7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48">
        <v>95.639285714285705</v>
      </c>
    </row>
    <row r="25" spans="1:25" x14ac:dyDescent="0.2">
      <c r="A25" s="10" t="s">
        <v>141</v>
      </c>
      <c r="B25" s="11">
        <v>0.96733668341708545</v>
      </c>
      <c r="C25" s="11">
        <v>0.97900262467191601</v>
      </c>
      <c r="D25" s="11">
        <v>0.97389033942558745</v>
      </c>
      <c r="E25" s="11">
        <v>0.99748743718592969</v>
      </c>
      <c r="F25" s="11">
        <v>0.97493734335839599</v>
      </c>
      <c r="G25" s="11">
        <v>0.98241206030150752</v>
      </c>
      <c r="H25" s="11">
        <v>0.98670212765957444</v>
      </c>
      <c r="I25" s="11">
        <v>1</v>
      </c>
      <c r="J25" s="11">
        <v>0.97540983606557374</v>
      </c>
      <c r="K25" s="11">
        <v>0.97606382978723405</v>
      </c>
      <c r="L25" s="11">
        <v>0.98496240601503759</v>
      </c>
      <c r="M25" s="11">
        <v>0.88010204081632648</v>
      </c>
      <c r="N25" s="11">
        <v>0.97361477572559363</v>
      </c>
      <c r="O25" s="11">
        <v>0.96850393700787396</v>
      </c>
      <c r="P25" s="11">
        <v>0.93103448275862066</v>
      </c>
      <c r="Q25" s="11">
        <v>1</v>
      </c>
      <c r="R25" s="11">
        <v>0.85199999999999998</v>
      </c>
      <c r="S25" s="11">
        <v>0.9445910290237467</v>
      </c>
      <c r="T25" s="11">
        <v>0.99197860962566842</v>
      </c>
      <c r="U25" s="11">
        <v>0.99101796407185627</v>
      </c>
      <c r="V25" s="11">
        <v>0.99019607843137258</v>
      </c>
      <c r="W25" s="11">
        <v>0.98421052631578942</v>
      </c>
      <c r="X25" s="11">
        <v>1</v>
      </c>
      <c r="Y25" s="48">
        <v>96.207635124060658</v>
      </c>
    </row>
    <row r="26" spans="1:25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</row>
    <row r="27" spans="1:25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1:25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1:25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1:25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</row>
    <row r="31" spans="1:25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</row>
    <row r="32" spans="1:25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</row>
    <row r="33" spans="1:25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x14ac:dyDescent="0.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6" tint="-0.249977111117893"/>
  </sheetPr>
  <dimension ref="A1:AT265"/>
  <sheetViews>
    <sheetView showGridLines="0" workbookViewId="0">
      <pane ySplit="1" topLeftCell="A238" activePane="bottomLeft" state="frozen"/>
      <selection pane="bottomLeft" activeCell="I269" sqref="I269"/>
    </sheetView>
  </sheetViews>
  <sheetFormatPr baseColWidth="10" defaultColWidth="9.140625" defaultRowHeight="12.75" x14ac:dyDescent="0.2"/>
  <cols>
    <col min="1" max="2" width="4.42578125" bestFit="1" customWidth="1"/>
    <col min="3" max="3" width="10.42578125" style="14" customWidth="1"/>
    <col min="4" max="4" width="10.42578125" bestFit="1" customWidth="1"/>
    <col min="5" max="5" width="11.85546875" bestFit="1" customWidth="1"/>
    <col min="6" max="6" width="14.28515625" bestFit="1" customWidth="1"/>
    <col min="7" max="7" width="20" bestFit="1" customWidth="1"/>
    <col min="8" max="8" width="6" bestFit="1" customWidth="1"/>
    <col min="9" max="9" width="18.28515625" bestFit="1" customWidth="1"/>
    <col min="10" max="10" width="6.42578125" bestFit="1" customWidth="1"/>
    <col min="11" max="11" width="11" bestFit="1" customWidth="1"/>
    <col min="12" max="12" width="12.5703125" bestFit="1" customWidth="1"/>
    <col min="13" max="13" width="5.140625" bestFit="1" customWidth="1"/>
    <col min="14" max="14" width="42.140625" bestFit="1" customWidth="1"/>
    <col min="15" max="15" width="9.42578125" customWidth="1"/>
    <col min="16" max="28" width="4.42578125" bestFit="1" customWidth="1"/>
    <col min="29" max="29" width="4.5703125" bestFit="1" customWidth="1"/>
    <col min="30" max="45" width="4.42578125" bestFit="1" customWidth="1"/>
    <col min="46" max="46" width="10.42578125" bestFit="1" customWidth="1"/>
    <col min="47" max="47" width="0" hidden="1" customWidth="1"/>
  </cols>
  <sheetData>
    <row r="1" spans="1:46" s="34" customFormat="1" ht="266.25" x14ac:dyDescent="0.2">
      <c r="A1" s="33" t="s">
        <v>142</v>
      </c>
      <c r="B1" s="33" t="s">
        <v>425</v>
      </c>
      <c r="C1" s="30" t="s">
        <v>143</v>
      </c>
      <c r="D1" s="33" t="s">
        <v>0</v>
      </c>
      <c r="E1" s="33" t="s">
        <v>1</v>
      </c>
      <c r="F1" s="33" t="s">
        <v>2</v>
      </c>
      <c r="G1" s="33" t="s">
        <v>3</v>
      </c>
      <c r="H1" s="33" t="s">
        <v>4</v>
      </c>
      <c r="I1" s="33" t="s">
        <v>5</v>
      </c>
      <c r="J1" s="33" t="s">
        <v>6</v>
      </c>
      <c r="K1" s="33" t="s">
        <v>7</v>
      </c>
      <c r="L1" s="33" t="s">
        <v>8</v>
      </c>
      <c r="M1" s="33" t="s">
        <v>1</v>
      </c>
      <c r="N1" s="33" t="s">
        <v>9</v>
      </c>
      <c r="O1" s="33" t="s">
        <v>10</v>
      </c>
      <c r="P1" s="33" t="s">
        <v>11</v>
      </c>
      <c r="Q1" s="50" t="s">
        <v>651</v>
      </c>
      <c r="R1" s="33" t="s">
        <v>12</v>
      </c>
      <c r="S1" s="33" t="s">
        <v>13</v>
      </c>
      <c r="T1" s="33" t="s">
        <v>14</v>
      </c>
      <c r="U1" s="33" t="s">
        <v>15</v>
      </c>
      <c r="V1" s="33" t="s">
        <v>16</v>
      </c>
      <c r="W1" s="33" t="s">
        <v>17</v>
      </c>
      <c r="X1" s="33" t="s">
        <v>18</v>
      </c>
      <c r="Y1" s="33" t="s">
        <v>19</v>
      </c>
      <c r="Z1" s="33" t="s">
        <v>20</v>
      </c>
      <c r="AA1" s="33" t="s">
        <v>21</v>
      </c>
      <c r="AB1" s="33" t="s">
        <v>22</v>
      </c>
      <c r="AC1" s="33" t="s">
        <v>23</v>
      </c>
      <c r="AD1" s="33" t="s">
        <v>24</v>
      </c>
      <c r="AE1" s="33" t="s">
        <v>25</v>
      </c>
      <c r="AF1" s="33" t="s">
        <v>26</v>
      </c>
      <c r="AG1" s="33" t="s">
        <v>27</v>
      </c>
      <c r="AH1" s="33" t="s">
        <v>28</v>
      </c>
      <c r="AI1" s="33" t="s">
        <v>29</v>
      </c>
      <c r="AJ1" s="33" t="s">
        <v>30</v>
      </c>
      <c r="AK1" s="33" t="s">
        <v>31</v>
      </c>
      <c r="AL1" s="33" t="s">
        <v>32</v>
      </c>
      <c r="AM1" s="33" t="s">
        <v>33</v>
      </c>
      <c r="AN1" s="50" t="s">
        <v>652</v>
      </c>
      <c r="AO1" s="33" t="s">
        <v>34</v>
      </c>
      <c r="AP1" s="33" t="s">
        <v>35</v>
      </c>
      <c r="AQ1" s="33" t="s">
        <v>36</v>
      </c>
      <c r="AR1" s="33" t="s">
        <v>37</v>
      </c>
      <c r="AS1" s="33" t="s">
        <v>38</v>
      </c>
      <c r="AT1" s="50" t="s">
        <v>653</v>
      </c>
    </row>
    <row r="2" spans="1:46" x14ac:dyDescent="0.2">
      <c r="A2" s="4">
        <f t="shared" ref="A2:A32" si="0">WEEKNUM(D2)</f>
        <v>1</v>
      </c>
      <c r="B2" s="4">
        <f t="shared" ref="B2:B32" si="1">MONTH(D2)</f>
        <v>1</v>
      </c>
      <c r="C2" s="13" t="str">
        <f>VLOOKUP(B2,Correspondance!$D$3:$E$14,2,FALSE)</f>
        <v>Janvier</v>
      </c>
      <c r="D2" s="1" t="s">
        <v>39</v>
      </c>
      <c r="E2" s="2" t="s">
        <v>40</v>
      </c>
      <c r="F2" s="3" t="s">
        <v>41</v>
      </c>
      <c r="G2" s="4" t="s">
        <v>42</v>
      </c>
      <c r="H2" s="4" t="s">
        <v>43</v>
      </c>
      <c r="I2" s="5" t="s">
        <v>44</v>
      </c>
      <c r="J2" s="6">
        <v>100</v>
      </c>
      <c r="K2" s="4" t="s">
        <v>45</v>
      </c>
      <c r="L2" s="4" t="s">
        <v>46</v>
      </c>
      <c r="M2" s="4" t="s">
        <v>47</v>
      </c>
      <c r="N2" s="4" t="s">
        <v>48</v>
      </c>
      <c r="O2" s="4" t="s">
        <v>49</v>
      </c>
      <c r="P2" s="4">
        <v>1</v>
      </c>
      <c r="Q2" s="4">
        <v>1</v>
      </c>
      <c r="R2" s="4">
        <v>1</v>
      </c>
      <c r="S2" s="4">
        <v>1</v>
      </c>
      <c r="T2" s="4">
        <v>1</v>
      </c>
      <c r="U2" s="4">
        <v>1</v>
      </c>
      <c r="V2" s="4">
        <v>1</v>
      </c>
      <c r="W2" s="4" t="s">
        <v>140</v>
      </c>
      <c r="X2" s="4">
        <v>1</v>
      </c>
      <c r="Y2" s="4">
        <v>1</v>
      </c>
      <c r="Z2" s="4">
        <v>1</v>
      </c>
      <c r="AA2" s="4">
        <v>1</v>
      </c>
      <c r="AB2" s="4">
        <v>1</v>
      </c>
      <c r="AC2" s="4">
        <v>1</v>
      </c>
      <c r="AD2" s="4" t="s">
        <v>140</v>
      </c>
      <c r="AE2" s="4">
        <v>1</v>
      </c>
      <c r="AF2" s="4">
        <v>1</v>
      </c>
      <c r="AG2" s="4">
        <v>1</v>
      </c>
      <c r="AH2" s="4">
        <v>1</v>
      </c>
      <c r="AI2" s="4">
        <v>1</v>
      </c>
      <c r="AJ2" s="4" t="s">
        <v>140</v>
      </c>
      <c r="AK2" s="4">
        <v>1</v>
      </c>
      <c r="AL2" s="4">
        <v>1</v>
      </c>
      <c r="AM2" s="4">
        <v>1</v>
      </c>
      <c r="AN2" s="4" t="s">
        <v>140</v>
      </c>
      <c r="AO2" s="4">
        <v>1</v>
      </c>
      <c r="AP2" s="4">
        <v>1</v>
      </c>
      <c r="AQ2" s="4">
        <v>1</v>
      </c>
      <c r="AR2" s="4" t="s">
        <v>140</v>
      </c>
      <c r="AS2" s="4">
        <v>1</v>
      </c>
      <c r="AT2" s="4" t="s">
        <v>39</v>
      </c>
    </row>
    <row r="3" spans="1:46" x14ac:dyDescent="0.2">
      <c r="A3" s="4">
        <f t="shared" si="0"/>
        <v>1</v>
      </c>
      <c r="B3" s="4">
        <f t="shared" si="1"/>
        <v>1</v>
      </c>
      <c r="C3" s="13" t="str">
        <f>VLOOKUP(B3,Correspondance!$D$3:$E$14,2,FALSE)</f>
        <v>Janvier</v>
      </c>
      <c r="D3" s="1" t="s">
        <v>39</v>
      </c>
      <c r="E3" s="2" t="s">
        <v>40</v>
      </c>
      <c r="F3" s="3" t="s">
        <v>52</v>
      </c>
      <c r="G3" s="4" t="s">
        <v>53</v>
      </c>
      <c r="H3" s="4" t="s">
        <v>54</v>
      </c>
      <c r="I3" s="5" t="s">
        <v>44</v>
      </c>
      <c r="J3" s="6">
        <v>100</v>
      </c>
      <c r="K3" s="4" t="s">
        <v>55</v>
      </c>
      <c r="L3" s="4" t="s">
        <v>46</v>
      </c>
      <c r="M3" s="4" t="s">
        <v>47</v>
      </c>
      <c r="N3" s="4" t="s">
        <v>56</v>
      </c>
      <c r="O3" s="4" t="s">
        <v>49</v>
      </c>
      <c r="P3" s="4">
        <v>1</v>
      </c>
      <c r="Q3" s="4">
        <v>1</v>
      </c>
      <c r="R3" s="4">
        <v>1</v>
      </c>
      <c r="S3" s="4">
        <v>1</v>
      </c>
      <c r="T3" s="4">
        <v>1</v>
      </c>
      <c r="U3" s="4">
        <v>1</v>
      </c>
      <c r="V3" s="4">
        <v>1</v>
      </c>
      <c r="W3" s="4">
        <v>1</v>
      </c>
      <c r="X3" s="4">
        <v>1</v>
      </c>
      <c r="Y3" s="4">
        <v>1</v>
      </c>
      <c r="Z3" s="4">
        <v>1</v>
      </c>
      <c r="AA3" s="4">
        <v>1</v>
      </c>
      <c r="AB3" s="4">
        <v>1</v>
      </c>
      <c r="AC3" s="4">
        <v>1</v>
      </c>
      <c r="AD3" s="4" t="s">
        <v>140</v>
      </c>
      <c r="AE3" s="4">
        <v>1</v>
      </c>
      <c r="AF3" s="4">
        <v>1</v>
      </c>
      <c r="AG3" s="4">
        <v>1</v>
      </c>
      <c r="AH3" s="4">
        <v>1</v>
      </c>
      <c r="AI3" s="4">
        <v>1</v>
      </c>
      <c r="AJ3" s="4" t="s">
        <v>140</v>
      </c>
      <c r="AK3" s="4">
        <v>1</v>
      </c>
      <c r="AL3" s="4">
        <v>1</v>
      </c>
      <c r="AM3" s="4">
        <v>1</v>
      </c>
      <c r="AN3" s="4">
        <v>1</v>
      </c>
      <c r="AO3" s="4">
        <v>1</v>
      </c>
      <c r="AP3" s="4">
        <v>1</v>
      </c>
      <c r="AQ3" s="4">
        <v>1</v>
      </c>
      <c r="AR3" s="4" t="s">
        <v>140</v>
      </c>
      <c r="AS3" s="4">
        <v>1</v>
      </c>
      <c r="AT3" s="4" t="s">
        <v>39</v>
      </c>
    </row>
    <row r="4" spans="1:46" x14ac:dyDescent="0.2">
      <c r="A4" s="4">
        <f t="shared" si="0"/>
        <v>1</v>
      </c>
      <c r="B4" s="4">
        <f t="shared" si="1"/>
        <v>1</v>
      </c>
      <c r="C4" s="13" t="str">
        <f>VLOOKUP(B4,Correspondance!$D$3:$E$14,2,FALSE)</f>
        <v>Janvier</v>
      </c>
      <c r="D4" s="1" t="s">
        <v>39</v>
      </c>
      <c r="E4" s="2" t="s">
        <v>40</v>
      </c>
      <c r="F4" s="3" t="s">
        <v>52</v>
      </c>
      <c r="G4" s="4" t="s">
        <v>53</v>
      </c>
      <c r="H4" s="4" t="s">
        <v>54</v>
      </c>
      <c r="I4" s="5" t="s">
        <v>57</v>
      </c>
      <c r="J4" s="6">
        <v>100</v>
      </c>
      <c r="K4" s="4" t="s">
        <v>58</v>
      </c>
      <c r="L4" s="4" t="s">
        <v>46</v>
      </c>
      <c r="M4" s="4" t="s">
        <v>47</v>
      </c>
      <c r="N4" s="4" t="s">
        <v>59</v>
      </c>
      <c r="O4" s="4" t="s">
        <v>49</v>
      </c>
      <c r="P4" s="4">
        <v>1</v>
      </c>
      <c r="Q4" s="4">
        <v>1</v>
      </c>
      <c r="R4" s="4">
        <v>1</v>
      </c>
      <c r="S4" s="4">
        <v>1</v>
      </c>
      <c r="T4" s="4">
        <v>1</v>
      </c>
      <c r="U4" s="4">
        <v>1</v>
      </c>
      <c r="V4" s="4">
        <v>1</v>
      </c>
      <c r="W4" s="4">
        <v>1</v>
      </c>
      <c r="X4" s="4">
        <v>1</v>
      </c>
      <c r="Y4" s="4">
        <v>1</v>
      </c>
      <c r="Z4" s="4">
        <v>1</v>
      </c>
      <c r="AA4" s="4">
        <v>1</v>
      </c>
      <c r="AB4" s="4">
        <v>1</v>
      </c>
      <c r="AC4" s="4">
        <v>1</v>
      </c>
      <c r="AD4" s="4" t="s">
        <v>140</v>
      </c>
      <c r="AE4" s="4">
        <v>1</v>
      </c>
      <c r="AF4" s="4">
        <v>1</v>
      </c>
      <c r="AG4" s="4">
        <v>1</v>
      </c>
      <c r="AH4" s="4">
        <v>1</v>
      </c>
      <c r="AI4" s="4">
        <v>1</v>
      </c>
      <c r="AJ4" s="4">
        <v>1</v>
      </c>
      <c r="AK4" s="4">
        <v>1</v>
      </c>
      <c r="AL4" s="4">
        <v>1</v>
      </c>
      <c r="AM4" s="4">
        <v>1</v>
      </c>
      <c r="AN4" s="4" t="s">
        <v>140</v>
      </c>
      <c r="AO4" s="4">
        <v>1</v>
      </c>
      <c r="AP4" s="4">
        <v>1</v>
      </c>
      <c r="AQ4" s="4">
        <v>1</v>
      </c>
      <c r="AR4" s="4" t="s">
        <v>140</v>
      </c>
      <c r="AS4" s="4">
        <v>1</v>
      </c>
      <c r="AT4" s="4" t="s">
        <v>60</v>
      </c>
    </row>
    <row r="5" spans="1:46" x14ac:dyDescent="0.2">
      <c r="A5" s="4">
        <f t="shared" si="0"/>
        <v>1</v>
      </c>
      <c r="B5" s="4">
        <f t="shared" si="1"/>
        <v>1</v>
      </c>
      <c r="C5" s="13" t="str">
        <f>VLOOKUP(B5,Correspondance!$D$3:$E$14,2,FALSE)</f>
        <v>Janvier</v>
      </c>
      <c r="D5" s="1" t="s">
        <v>39</v>
      </c>
      <c r="E5" s="2" t="s">
        <v>40</v>
      </c>
      <c r="F5" s="3" t="s">
        <v>61</v>
      </c>
      <c r="G5" s="4" t="s">
        <v>62</v>
      </c>
      <c r="H5" s="4" t="s">
        <v>63</v>
      </c>
      <c r="I5" s="5" t="s">
        <v>44</v>
      </c>
      <c r="J5" s="6">
        <v>85.36666666666666</v>
      </c>
      <c r="K5" s="4" t="s">
        <v>64</v>
      </c>
      <c r="L5" s="4" t="s">
        <v>46</v>
      </c>
      <c r="M5" s="4" t="s">
        <v>47</v>
      </c>
      <c r="N5" s="4" t="s">
        <v>56</v>
      </c>
      <c r="O5" s="4" t="s">
        <v>49</v>
      </c>
      <c r="P5" s="4">
        <v>1</v>
      </c>
      <c r="Q5" s="4">
        <v>1</v>
      </c>
      <c r="R5" s="4">
        <v>1</v>
      </c>
      <c r="S5" s="4">
        <v>1</v>
      </c>
      <c r="T5" s="4">
        <v>1</v>
      </c>
      <c r="U5" s="4">
        <v>1</v>
      </c>
      <c r="V5" s="4">
        <v>1</v>
      </c>
      <c r="W5" s="4" t="s">
        <v>140</v>
      </c>
      <c r="X5" s="4">
        <v>1</v>
      </c>
      <c r="Y5" s="4">
        <v>1</v>
      </c>
      <c r="Z5" s="4">
        <v>1</v>
      </c>
      <c r="AA5" s="4">
        <v>1</v>
      </c>
      <c r="AB5" s="4">
        <v>1</v>
      </c>
      <c r="AC5" s="4">
        <v>1</v>
      </c>
      <c r="AD5" s="4" t="s">
        <v>140</v>
      </c>
      <c r="AE5" s="4">
        <v>1</v>
      </c>
      <c r="AF5" s="4">
        <v>1</v>
      </c>
      <c r="AG5" s="4">
        <v>1</v>
      </c>
      <c r="AH5" s="4">
        <v>1</v>
      </c>
      <c r="AI5" s="4">
        <v>1</v>
      </c>
      <c r="AJ5" s="4">
        <v>0</v>
      </c>
      <c r="AK5" s="4">
        <v>1</v>
      </c>
      <c r="AL5" s="4">
        <v>0</v>
      </c>
      <c r="AM5" s="4">
        <v>1</v>
      </c>
      <c r="AN5" s="4" t="s">
        <v>140</v>
      </c>
      <c r="AO5" s="4">
        <v>0</v>
      </c>
      <c r="AP5" s="4">
        <v>1</v>
      </c>
      <c r="AQ5" s="4">
        <v>1</v>
      </c>
      <c r="AR5" s="4" t="s">
        <v>140</v>
      </c>
      <c r="AS5" s="4">
        <v>1</v>
      </c>
      <c r="AT5" s="4" t="s">
        <v>39</v>
      </c>
    </row>
    <row r="6" spans="1:46" x14ac:dyDescent="0.2">
      <c r="A6" s="4">
        <f t="shared" si="0"/>
        <v>1</v>
      </c>
      <c r="B6" s="4">
        <f t="shared" si="1"/>
        <v>1</v>
      </c>
      <c r="C6" s="13" t="str">
        <f>VLOOKUP(B6,Correspondance!$D$3:$E$14,2,FALSE)</f>
        <v>Janvier</v>
      </c>
      <c r="D6" s="1" t="s">
        <v>39</v>
      </c>
      <c r="E6" s="2" t="s">
        <v>40</v>
      </c>
      <c r="F6" s="3" t="s">
        <v>61</v>
      </c>
      <c r="G6" s="4" t="s">
        <v>62</v>
      </c>
      <c r="H6" s="4" t="s">
        <v>63</v>
      </c>
      <c r="I6" s="5" t="s">
        <v>61</v>
      </c>
      <c r="J6" s="6">
        <v>96.25</v>
      </c>
      <c r="K6" s="4" t="s">
        <v>65</v>
      </c>
      <c r="L6" s="4" t="s">
        <v>66</v>
      </c>
      <c r="M6" s="4" t="s">
        <v>47</v>
      </c>
      <c r="N6" s="4" t="s">
        <v>67</v>
      </c>
      <c r="O6" s="4" t="s">
        <v>49</v>
      </c>
      <c r="P6" s="4">
        <v>1</v>
      </c>
      <c r="Q6" s="4">
        <v>0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4">
        <v>1</v>
      </c>
      <c r="AE6" s="4">
        <v>1</v>
      </c>
      <c r="AF6" s="4">
        <v>1</v>
      </c>
      <c r="AG6" s="4">
        <v>1</v>
      </c>
      <c r="AH6" s="4">
        <v>1</v>
      </c>
      <c r="AI6" s="4">
        <v>1</v>
      </c>
      <c r="AJ6" s="4" t="s">
        <v>140</v>
      </c>
      <c r="AK6" s="4">
        <v>1</v>
      </c>
      <c r="AL6" s="4">
        <v>1</v>
      </c>
      <c r="AM6" s="4">
        <v>1</v>
      </c>
      <c r="AN6" s="4" t="s">
        <v>140</v>
      </c>
      <c r="AO6" s="4">
        <v>1</v>
      </c>
      <c r="AP6" s="4">
        <v>1</v>
      </c>
      <c r="AQ6" s="4">
        <v>1</v>
      </c>
      <c r="AR6" s="4" t="s">
        <v>140</v>
      </c>
      <c r="AS6" s="4">
        <v>1</v>
      </c>
      <c r="AT6" s="4" t="s">
        <v>561</v>
      </c>
    </row>
    <row r="7" spans="1:46" x14ac:dyDescent="0.2">
      <c r="A7" s="4">
        <f t="shared" si="0"/>
        <v>1</v>
      </c>
      <c r="B7" s="4">
        <f t="shared" si="1"/>
        <v>1</v>
      </c>
      <c r="C7" s="13" t="str">
        <f>VLOOKUP(B7,Correspondance!$D$3:$E$14,2,FALSE)</f>
        <v>Janvier</v>
      </c>
      <c r="D7" s="1" t="s">
        <v>39</v>
      </c>
      <c r="E7" s="2" t="s">
        <v>40</v>
      </c>
      <c r="F7" s="3" t="s">
        <v>61</v>
      </c>
      <c r="G7" s="4" t="s">
        <v>68</v>
      </c>
      <c r="H7" s="4" t="s">
        <v>69</v>
      </c>
      <c r="I7" s="5" t="s">
        <v>61</v>
      </c>
      <c r="J7" s="6">
        <v>94</v>
      </c>
      <c r="K7" s="4" t="s">
        <v>70</v>
      </c>
      <c r="L7" s="4" t="s">
        <v>66</v>
      </c>
      <c r="M7" s="4" t="s">
        <v>47</v>
      </c>
      <c r="N7" s="4" t="s">
        <v>71</v>
      </c>
      <c r="O7" s="4" t="s">
        <v>49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4">
        <v>0</v>
      </c>
      <c r="V7" s="4">
        <v>1</v>
      </c>
      <c r="W7" s="4">
        <v>1</v>
      </c>
      <c r="X7" s="4">
        <v>1</v>
      </c>
      <c r="Y7" s="4">
        <v>1</v>
      </c>
      <c r="Z7" s="4">
        <v>1</v>
      </c>
      <c r="AA7" s="4">
        <v>1</v>
      </c>
      <c r="AB7" s="4">
        <v>1</v>
      </c>
      <c r="AC7" s="4">
        <v>1</v>
      </c>
      <c r="AD7" s="4">
        <v>1</v>
      </c>
      <c r="AE7" s="4">
        <v>1</v>
      </c>
      <c r="AF7" s="4">
        <v>1</v>
      </c>
      <c r="AG7" s="4">
        <v>0</v>
      </c>
      <c r="AH7" s="4">
        <v>1</v>
      </c>
      <c r="AI7" s="4">
        <v>1</v>
      </c>
      <c r="AJ7" s="4">
        <v>1</v>
      </c>
      <c r="AK7" s="4">
        <v>1</v>
      </c>
      <c r="AL7" s="4">
        <v>1</v>
      </c>
      <c r="AM7" s="4">
        <v>1</v>
      </c>
      <c r="AN7" s="4" t="s">
        <v>140</v>
      </c>
      <c r="AO7" s="4">
        <v>1</v>
      </c>
      <c r="AP7" s="4">
        <v>1</v>
      </c>
      <c r="AQ7" s="4">
        <v>1</v>
      </c>
      <c r="AR7" s="4" t="s">
        <v>140</v>
      </c>
      <c r="AS7" s="4">
        <v>1</v>
      </c>
      <c r="AT7" s="4" t="s">
        <v>562</v>
      </c>
    </row>
    <row r="8" spans="1:46" x14ac:dyDescent="0.2">
      <c r="A8" s="4">
        <f t="shared" si="0"/>
        <v>1</v>
      </c>
      <c r="B8" s="4">
        <f t="shared" si="1"/>
        <v>1</v>
      </c>
      <c r="C8" s="13" t="str">
        <f>VLOOKUP(B8,Correspondance!$D$3:$E$14,2,FALSE)</f>
        <v>Janvier</v>
      </c>
      <c r="D8" s="1" t="s">
        <v>72</v>
      </c>
      <c r="E8" s="2" t="s">
        <v>40</v>
      </c>
      <c r="F8" s="3" t="s">
        <v>41</v>
      </c>
      <c r="G8" s="4" t="s">
        <v>42</v>
      </c>
      <c r="H8" s="4" t="s">
        <v>43</v>
      </c>
      <c r="I8" s="5" t="s">
        <v>41</v>
      </c>
      <c r="J8" s="6">
        <v>96.25</v>
      </c>
      <c r="K8" s="4" t="s">
        <v>73</v>
      </c>
      <c r="L8" s="4" t="s">
        <v>66</v>
      </c>
      <c r="M8" s="4" t="s">
        <v>74</v>
      </c>
      <c r="N8" s="4" t="s">
        <v>75</v>
      </c>
      <c r="O8" s="4" t="s">
        <v>49</v>
      </c>
      <c r="P8" s="4">
        <v>1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140</v>
      </c>
      <c r="AE8" s="4">
        <v>1</v>
      </c>
      <c r="AF8" s="4">
        <v>1</v>
      </c>
      <c r="AG8" s="4">
        <v>1</v>
      </c>
      <c r="AH8" s="4">
        <v>1</v>
      </c>
      <c r="AI8" s="4">
        <v>1</v>
      </c>
      <c r="AJ8" s="4" t="s">
        <v>140</v>
      </c>
      <c r="AK8" s="4">
        <v>1</v>
      </c>
      <c r="AL8" s="4">
        <v>0</v>
      </c>
      <c r="AM8" s="4">
        <v>1</v>
      </c>
      <c r="AN8" s="4" t="s">
        <v>140</v>
      </c>
      <c r="AO8" s="4">
        <v>1</v>
      </c>
      <c r="AP8" s="4">
        <v>1</v>
      </c>
      <c r="AQ8" s="4">
        <v>1</v>
      </c>
      <c r="AR8" s="4" t="s">
        <v>140</v>
      </c>
      <c r="AS8" s="4">
        <v>1</v>
      </c>
      <c r="AT8" s="4" t="s">
        <v>60</v>
      </c>
    </row>
    <row r="9" spans="1:46" x14ac:dyDescent="0.2">
      <c r="A9" s="4">
        <f t="shared" si="0"/>
        <v>1</v>
      </c>
      <c r="B9" s="4">
        <f t="shared" si="1"/>
        <v>1</v>
      </c>
      <c r="C9" s="13" t="str">
        <f>VLOOKUP(B9,Correspondance!$D$3:$E$14,2,FALSE)</f>
        <v>Janvier</v>
      </c>
      <c r="D9" s="1" t="s">
        <v>72</v>
      </c>
      <c r="E9" s="2" t="s">
        <v>40</v>
      </c>
      <c r="F9" s="3" t="s">
        <v>41</v>
      </c>
      <c r="G9" s="4" t="s">
        <v>42</v>
      </c>
      <c r="H9" s="4" t="s">
        <v>43</v>
      </c>
      <c r="I9" s="5" t="s">
        <v>57</v>
      </c>
      <c r="J9" s="6">
        <v>100</v>
      </c>
      <c r="K9" s="4" t="s">
        <v>76</v>
      </c>
      <c r="L9" s="4" t="s">
        <v>46</v>
      </c>
      <c r="M9" s="4" t="s">
        <v>47</v>
      </c>
      <c r="N9" s="4" t="s">
        <v>77</v>
      </c>
      <c r="O9" s="4" t="s">
        <v>49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140</v>
      </c>
      <c r="AE9" s="4">
        <v>1</v>
      </c>
      <c r="AF9" s="4">
        <v>1</v>
      </c>
      <c r="AG9" s="4">
        <v>1</v>
      </c>
      <c r="AH9" s="4">
        <v>1</v>
      </c>
      <c r="AI9" s="4">
        <v>1</v>
      </c>
      <c r="AJ9" s="4">
        <v>1</v>
      </c>
      <c r="AK9" s="4">
        <v>1</v>
      </c>
      <c r="AL9" s="4">
        <v>1</v>
      </c>
      <c r="AM9" s="4">
        <v>1</v>
      </c>
      <c r="AN9" s="4" t="s">
        <v>140</v>
      </c>
      <c r="AO9" s="4">
        <v>1</v>
      </c>
      <c r="AP9" s="4">
        <v>1</v>
      </c>
      <c r="AQ9" s="4">
        <v>1</v>
      </c>
      <c r="AR9" s="4" t="s">
        <v>140</v>
      </c>
      <c r="AS9" s="4">
        <v>1</v>
      </c>
      <c r="AT9" s="4" t="s">
        <v>304</v>
      </c>
    </row>
    <row r="10" spans="1:46" x14ac:dyDescent="0.2">
      <c r="A10" s="4">
        <f t="shared" si="0"/>
        <v>1</v>
      </c>
      <c r="B10" s="4">
        <f t="shared" si="1"/>
        <v>1</v>
      </c>
      <c r="C10" s="13" t="str">
        <f>VLOOKUP(B10,Correspondance!$D$3:$E$14,2,FALSE)</f>
        <v>Janvier</v>
      </c>
      <c r="D10" s="1" t="s">
        <v>72</v>
      </c>
      <c r="E10" s="2" t="s">
        <v>40</v>
      </c>
      <c r="F10" s="3" t="s">
        <v>41</v>
      </c>
      <c r="G10" s="4" t="s">
        <v>78</v>
      </c>
      <c r="H10" s="4" t="s">
        <v>79</v>
      </c>
      <c r="I10" s="5" t="s">
        <v>41</v>
      </c>
      <c r="J10" s="6">
        <v>100</v>
      </c>
      <c r="K10" s="4" t="s">
        <v>80</v>
      </c>
      <c r="L10" s="4" t="s">
        <v>66</v>
      </c>
      <c r="M10" s="4" t="s">
        <v>47</v>
      </c>
      <c r="N10" s="4" t="s">
        <v>81</v>
      </c>
      <c r="O10" s="4" t="s">
        <v>49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140</v>
      </c>
      <c r="AE10" s="4">
        <v>1</v>
      </c>
      <c r="AF10" s="4">
        <v>1</v>
      </c>
      <c r="AG10" s="4">
        <v>1</v>
      </c>
      <c r="AH10" s="4">
        <v>1</v>
      </c>
      <c r="AI10" s="4">
        <v>1</v>
      </c>
      <c r="AJ10" s="4">
        <v>1</v>
      </c>
      <c r="AK10" s="4">
        <v>1</v>
      </c>
      <c r="AL10" s="4">
        <v>1</v>
      </c>
      <c r="AM10" s="4">
        <v>1</v>
      </c>
      <c r="AN10" s="4">
        <v>1</v>
      </c>
      <c r="AO10" s="4">
        <v>1</v>
      </c>
      <c r="AP10" s="4">
        <v>1</v>
      </c>
      <c r="AQ10" s="4">
        <v>1</v>
      </c>
      <c r="AR10" s="4" t="s">
        <v>140</v>
      </c>
      <c r="AS10" s="4">
        <v>1</v>
      </c>
      <c r="AT10" s="4" t="s">
        <v>60</v>
      </c>
    </row>
    <row r="11" spans="1:46" x14ac:dyDescent="0.2">
      <c r="A11" s="4">
        <f t="shared" si="0"/>
        <v>1</v>
      </c>
      <c r="B11" s="4">
        <f t="shared" si="1"/>
        <v>1</v>
      </c>
      <c r="C11" s="13" t="str">
        <f>VLOOKUP(B11,Correspondance!$D$3:$E$14,2,FALSE)</f>
        <v>Janvier</v>
      </c>
      <c r="D11" s="1" t="s">
        <v>72</v>
      </c>
      <c r="E11" s="2" t="s">
        <v>40</v>
      </c>
      <c r="F11" s="3" t="s">
        <v>41</v>
      </c>
      <c r="G11" s="4" t="s">
        <v>82</v>
      </c>
      <c r="H11" s="4" t="s">
        <v>83</v>
      </c>
      <c r="I11" s="5" t="s">
        <v>57</v>
      </c>
      <c r="J11" s="6">
        <v>90.166666666666671</v>
      </c>
      <c r="K11" s="4" t="s">
        <v>84</v>
      </c>
      <c r="L11" s="4" t="s">
        <v>46</v>
      </c>
      <c r="M11" s="4" t="s">
        <v>47</v>
      </c>
      <c r="N11" s="4" t="s">
        <v>77</v>
      </c>
      <c r="O11" s="4" t="s">
        <v>49</v>
      </c>
      <c r="P11" s="4">
        <v>1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140</v>
      </c>
      <c r="AE11" s="4">
        <v>1</v>
      </c>
      <c r="AF11" s="4">
        <v>1</v>
      </c>
      <c r="AG11" s="4">
        <v>1</v>
      </c>
      <c r="AH11" s="4">
        <v>1</v>
      </c>
      <c r="AI11" s="4">
        <v>1</v>
      </c>
      <c r="AJ11" s="4">
        <v>0</v>
      </c>
      <c r="AK11" s="4">
        <v>0</v>
      </c>
      <c r="AL11" s="4">
        <v>1</v>
      </c>
      <c r="AM11" s="4">
        <v>1</v>
      </c>
      <c r="AN11" s="4" t="s">
        <v>140</v>
      </c>
      <c r="AO11" s="4">
        <v>1</v>
      </c>
      <c r="AP11" s="4">
        <v>1</v>
      </c>
      <c r="AQ11" s="4">
        <v>0</v>
      </c>
      <c r="AR11" s="4" t="s">
        <v>140</v>
      </c>
      <c r="AS11" s="4">
        <v>1</v>
      </c>
      <c r="AT11" s="4" t="s">
        <v>563</v>
      </c>
    </row>
    <row r="12" spans="1:46" x14ac:dyDescent="0.2">
      <c r="A12" s="4">
        <f t="shared" si="0"/>
        <v>1</v>
      </c>
      <c r="B12" s="4">
        <f t="shared" si="1"/>
        <v>1</v>
      </c>
      <c r="C12" s="13" t="str">
        <f>VLOOKUP(B12,Correspondance!$D$3:$E$14,2,FALSE)</f>
        <v>Janvier</v>
      </c>
      <c r="D12" s="1" t="s">
        <v>72</v>
      </c>
      <c r="E12" s="2" t="s">
        <v>40</v>
      </c>
      <c r="F12" s="3" t="s">
        <v>41</v>
      </c>
      <c r="G12" s="4" t="s">
        <v>82</v>
      </c>
      <c r="H12" s="4" t="s">
        <v>83</v>
      </c>
      <c r="I12" s="5" t="s">
        <v>41</v>
      </c>
      <c r="J12" s="6">
        <v>97</v>
      </c>
      <c r="K12" s="4" t="s">
        <v>85</v>
      </c>
      <c r="L12" s="4" t="s">
        <v>66</v>
      </c>
      <c r="M12" s="4" t="s">
        <v>74</v>
      </c>
      <c r="N12" s="4" t="s">
        <v>86</v>
      </c>
      <c r="O12" s="4" t="s">
        <v>49</v>
      </c>
      <c r="P12" s="4">
        <v>1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140</v>
      </c>
      <c r="AE12" s="4">
        <v>1</v>
      </c>
      <c r="AF12" s="4">
        <v>1</v>
      </c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L12" s="4">
        <v>0</v>
      </c>
      <c r="AM12" s="4">
        <v>1</v>
      </c>
      <c r="AN12" s="4">
        <v>1</v>
      </c>
      <c r="AO12" s="4">
        <v>1</v>
      </c>
      <c r="AP12" s="4">
        <v>1</v>
      </c>
      <c r="AQ12" s="4">
        <v>1</v>
      </c>
      <c r="AR12" s="4" t="s">
        <v>140</v>
      </c>
      <c r="AS12" s="4">
        <v>1</v>
      </c>
      <c r="AT12" s="4" t="s">
        <v>60</v>
      </c>
    </row>
    <row r="13" spans="1:46" x14ac:dyDescent="0.2">
      <c r="A13" s="4">
        <f t="shared" si="0"/>
        <v>1</v>
      </c>
      <c r="B13" s="4">
        <f t="shared" si="1"/>
        <v>1</v>
      </c>
      <c r="C13" s="13" t="str">
        <f>VLOOKUP(B13,Correspondance!$D$3:$E$14,2,FALSE)</f>
        <v>Janvier</v>
      </c>
      <c r="D13" s="1" t="s">
        <v>72</v>
      </c>
      <c r="E13" s="2" t="s">
        <v>40</v>
      </c>
      <c r="F13" s="3" t="s">
        <v>41</v>
      </c>
      <c r="G13" s="4" t="s">
        <v>82</v>
      </c>
      <c r="H13" s="4" t="s">
        <v>83</v>
      </c>
      <c r="I13" s="5" t="s">
        <v>41</v>
      </c>
      <c r="J13" s="6">
        <v>100</v>
      </c>
      <c r="K13" s="4" t="s">
        <v>87</v>
      </c>
      <c r="L13" s="4" t="s">
        <v>66</v>
      </c>
      <c r="M13" s="4" t="s">
        <v>47</v>
      </c>
      <c r="N13" s="4" t="s">
        <v>88</v>
      </c>
      <c r="O13" s="4" t="s">
        <v>49</v>
      </c>
      <c r="P13" s="4">
        <v>1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140</v>
      </c>
      <c r="AE13" s="4">
        <v>1</v>
      </c>
      <c r="AF13" s="4">
        <v>1</v>
      </c>
      <c r="AG13" s="4">
        <v>1</v>
      </c>
      <c r="AH13" s="4">
        <v>1</v>
      </c>
      <c r="AI13" s="4">
        <v>1</v>
      </c>
      <c r="AJ13" s="4">
        <v>1</v>
      </c>
      <c r="AK13" s="4">
        <v>1</v>
      </c>
      <c r="AL13" s="4">
        <v>1</v>
      </c>
      <c r="AM13" s="4">
        <v>1</v>
      </c>
      <c r="AN13" s="4">
        <v>1</v>
      </c>
      <c r="AO13" s="4">
        <v>1</v>
      </c>
      <c r="AP13" s="4">
        <v>1</v>
      </c>
      <c r="AQ13" s="4">
        <v>1</v>
      </c>
      <c r="AR13" s="4" t="s">
        <v>140</v>
      </c>
      <c r="AS13" s="4">
        <v>1</v>
      </c>
      <c r="AT13" s="4" t="s">
        <v>60</v>
      </c>
    </row>
    <row r="14" spans="1:46" x14ac:dyDescent="0.2">
      <c r="A14" s="4">
        <f t="shared" si="0"/>
        <v>1</v>
      </c>
      <c r="B14" s="4">
        <f t="shared" si="1"/>
        <v>1</v>
      </c>
      <c r="C14" s="13" t="str">
        <f>VLOOKUP(B14,Correspondance!$D$3:$E$14,2,FALSE)</f>
        <v>Janvier</v>
      </c>
      <c r="D14" s="1" t="s">
        <v>72</v>
      </c>
      <c r="E14" s="2" t="s">
        <v>40</v>
      </c>
      <c r="F14" s="3" t="s">
        <v>41</v>
      </c>
      <c r="G14" s="4" t="s">
        <v>89</v>
      </c>
      <c r="H14" s="4" t="s">
        <v>90</v>
      </c>
      <c r="I14" s="5" t="s">
        <v>41</v>
      </c>
      <c r="J14" s="6">
        <v>100</v>
      </c>
      <c r="K14" s="4" t="s">
        <v>91</v>
      </c>
      <c r="L14" s="4" t="s">
        <v>66</v>
      </c>
      <c r="M14" s="4" t="s">
        <v>47</v>
      </c>
      <c r="N14" s="4" t="s">
        <v>92</v>
      </c>
      <c r="O14" s="4" t="s">
        <v>49</v>
      </c>
      <c r="P14" s="4">
        <v>1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140</v>
      </c>
      <c r="AE14" s="4">
        <v>1</v>
      </c>
      <c r="AF14" s="4">
        <v>1</v>
      </c>
      <c r="AG14" s="4">
        <v>1</v>
      </c>
      <c r="AH14" s="4">
        <v>1</v>
      </c>
      <c r="AI14" s="4">
        <v>1</v>
      </c>
      <c r="AJ14" s="4" t="s">
        <v>140</v>
      </c>
      <c r="AK14" s="4">
        <v>1</v>
      </c>
      <c r="AL14" s="4">
        <v>1</v>
      </c>
      <c r="AM14" s="4">
        <v>1</v>
      </c>
      <c r="AN14" s="4" t="s">
        <v>140</v>
      </c>
      <c r="AO14" s="4">
        <v>1</v>
      </c>
      <c r="AP14" s="4">
        <v>1</v>
      </c>
      <c r="AQ14" s="4">
        <v>1</v>
      </c>
      <c r="AR14" s="4" t="s">
        <v>140</v>
      </c>
      <c r="AS14" s="4">
        <v>1</v>
      </c>
      <c r="AT14" s="4" t="s">
        <v>563</v>
      </c>
    </row>
    <row r="15" spans="1:46" x14ac:dyDescent="0.2">
      <c r="A15" s="4">
        <f t="shared" si="0"/>
        <v>1</v>
      </c>
      <c r="B15" s="4">
        <f t="shared" si="1"/>
        <v>1</v>
      </c>
      <c r="C15" s="13" t="str">
        <f>VLOOKUP(B15,Correspondance!$D$3:$E$14,2,FALSE)</f>
        <v>Janvier</v>
      </c>
      <c r="D15" s="1" t="s">
        <v>72</v>
      </c>
      <c r="E15" s="2" t="s">
        <v>40</v>
      </c>
      <c r="F15" s="3" t="s">
        <v>52</v>
      </c>
      <c r="G15" s="4" t="s">
        <v>93</v>
      </c>
      <c r="H15" s="4" t="s">
        <v>94</v>
      </c>
      <c r="I15" s="5" t="s">
        <v>57</v>
      </c>
      <c r="J15" s="6">
        <v>90.166666666666671</v>
      </c>
      <c r="K15" s="4" t="s">
        <v>95</v>
      </c>
      <c r="L15" s="4" t="s">
        <v>46</v>
      </c>
      <c r="M15" s="4" t="s">
        <v>47</v>
      </c>
      <c r="N15" s="4" t="s">
        <v>77</v>
      </c>
      <c r="O15" s="4" t="s">
        <v>49</v>
      </c>
      <c r="P15" s="4">
        <v>1</v>
      </c>
      <c r="Q15" s="4">
        <v>1</v>
      </c>
      <c r="R15" s="4">
        <v>1</v>
      </c>
      <c r="S15" s="4">
        <v>1</v>
      </c>
      <c r="T15" s="4">
        <v>0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140</v>
      </c>
      <c r="AE15" s="4">
        <v>1</v>
      </c>
      <c r="AF15" s="4">
        <v>1</v>
      </c>
      <c r="AG15" s="4">
        <v>1</v>
      </c>
      <c r="AH15" s="4">
        <v>1</v>
      </c>
      <c r="AI15" s="4">
        <v>1</v>
      </c>
      <c r="AJ15" s="4">
        <v>1</v>
      </c>
      <c r="AK15" s="4">
        <v>0</v>
      </c>
      <c r="AL15" s="4">
        <v>1</v>
      </c>
      <c r="AM15" s="4">
        <v>1</v>
      </c>
      <c r="AN15" s="4" t="s">
        <v>140</v>
      </c>
      <c r="AO15" s="4">
        <v>1</v>
      </c>
      <c r="AP15" s="4">
        <v>1</v>
      </c>
      <c r="AQ15" s="4">
        <v>0</v>
      </c>
      <c r="AR15" s="4" t="s">
        <v>140</v>
      </c>
      <c r="AS15" s="4">
        <v>1</v>
      </c>
      <c r="AT15" s="4" t="s">
        <v>564</v>
      </c>
    </row>
    <row r="16" spans="1:46" x14ac:dyDescent="0.2">
      <c r="A16" s="4">
        <f t="shared" si="0"/>
        <v>1</v>
      </c>
      <c r="B16" s="4">
        <f t="shared" si="1"/>
        <v>1</v>
      </c>
      <c r="C16" s="13" t="str">
        <f>VLOOKUP(B16,Correspondance!$D$3:$E$14,2,FALSE)</f>
        <v>Janvier</v>
      </c>
      <c r="D16" s="1" t="s">
        <v>72</v>
      </c>
      <c r="E16" s="2" t="s">
        <v>40</v>
      </c>
      <c r="F16" s="3" t="s">
        <v>61</v>
      </c>
      <c r="G16" s="4" t="s">
        <v>96</v>
      </c>
      <c r="H16" s="4" t="s">
        <v>97</v>
      </c>
      <c r="I16" s="5" t="s">
        <v>57</v>
      </c>
      <c r="J16" s="6">
        <v>89.166666666666671</v>
      </c>
      <c r="K16" s="4" t="s">
        <v>98</v>
      </c>
      <c r="L16" s="4" t="s">
        <v>46</v>
      </c>
      <c r="M16" s="4" t="s">
        <v>99</v>
      </c>
      <c r="N16" s="4" t="s">
        <v>100</v>
      </c>
      <c r="O16" s="4" t="s">
        <v>49</v>
      </c>
      <c r="P16" s="4">
        <v>1</v>
      </c>
      <c r="Q16" s="4">
        <v>1</v>
      </c>
      <c r="R16" s="4">
        <v>1</v>
      </c>
      <c r="S16" s="4">
        <v>1</v>
      </c>
      <c r="T16" s="4">
        <v>0</v>
      </c>
      <c r="U16" s="4">
        <v>0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140</v>
      </c>
      <c r="AE16" s="4">
        <v>1</v>
      </c>
      <c r="AF16" s="4">
        <v>1</v>
      </c>
      <c r="AG16" s="4">
        <v>1</v>
      </c>
      <c r="AH16" s="4">
        <v>1</v>
      </c>
      <c r="AI16" s="4">
        <v>1</v>
      </c>
      <c r="AJ16" s="4">
        <v>1</v>
      </c>
      <c r="AK16" s="4">
        <v>0</v>
      </c>
      <c r="AL16" s="4">
        <v>1</v>
      </c>
      <c r="AM16" s="4">
        <v>1</v>
      </c>
      <c r="AN16" s="4" t="s">
        <v>140</v>
      </c>
      <c r="AO16" s="4">
        <v>1</v>
      </c>
      <c r="AP16" s="4">
        <v>1</v>
      </c>
      <c r="AQ16" s="4">
        <v>1</v>
      </c>
      <c r="AR16" s="4" t="s">
        <v>140</v>
      </c>
      <c r="AS16" s="4">
        <v>1</v>
      </c>
      <c r="AT16" s="4" t="s">
        <v>60</v>
      </c>
    </row>
    <row r="17" spans="1:46" x14ac:dyDescent="0.2">
      <c r="A17" s="4">
        <f t="shared" si="0"/>
        <v>1</v>
      </c>
      <c r="B17" s="4">
        <f t="shared" si="1"/>
        <v>1</v>
      </c>
      <c r="C17" s="13" t="str">
        <f>VLOOKUP(B17,Correspondance!$D$3:$E$14,2,FALSE)</f>
        <v>Janvier</v>
      </c>
      <c r="D17" s="1" t="s">
        <v>72</v>
      </c>
      <c r="E17" s="2" t="s">
        <v>40</v>
      </c>
      <c r="F17" s="3" t="s">
        <v>61</v>
      </c>
      <c r="G17" s="4" t="s">
        <v>101</v>
      </c>
      <c r="H17" s="4" t="s">
        <v>102</v>
      </c>
      <c r="I17" s="5" t="s">
        <v>61</v>
      </c>
      <c r="J17" s="6">
        <v>88</v>
      </c>
      <c r="K17" s="4" t="s">
        <v>103</v>
      </c>
      <c r="L17" s="4" t="s">
        <v>66</v>
      </c>
      <c r="M17" s="4" t="s">
        <v>47</v>
      </c>
      <c r="N17" s="4" t="s">
        <v>104</v>
      </c>
      <c r="O17" s="4" t="s">
        <v>49</v>
      </c>
      <c r="P17" s="4">
        <v>1</v>
      </c>
      <c r="Q17" s="4" t="s">
        <v>140</v>
      </c>
      <c r="R17" s="4">
        <v>1</v>
      </c>
      <c r="S17" s="4">
        <v>1</v>
      </c>
      <c r="T17" s="4">
        <v>1</v>
      </c>
      <c r="U17" s="4">
        <v>0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140</v>
      </c>
      <c r="AE17" s="4">
        <v>1</v>
      </c>
      <c r="AF17" s="4">
        <v>1</v>
      </c>
      <c r="AG17" s="4">
        <v>1</v>
      </c>
      <c r="AH17" s="4">
        <v>1</v>
      </c>
      <c r="AI17" s="4">
        <v>1</v>
      </c>
      <c r="AJ17" s="4" t="s">
        <v>140</v>
      </c>
      <c r="AK17" s="4">
        <v>0</v>
      </c>
      <c r="AL17" s="4">
        <v>0</v>
      </c>
      <c r="AM17" s="4">
        <v>1</v>
      </c>
      <c r="AN17" s="4" t="s">
        <v>140</v>
      </c>
      <c r="AO17" s="4">
        <v>1</v>
      </c>
      <c r="AP17" s="4">
        <v>1</v>
      </c>
      <c r="AQ17" s="4">
        <v>0</v>
      </c>
      <c r="AR17" s="4" t="s">
        <v>140</v>
      </c>
      <c r="AS17" s="4">
        <v>1</v>
      </c>
      <c r="AT17" s="4" t="s">
        <v>565</v>
      </c>
    </row>
    <row r="18" spans="1:46" x14ac:dyDescent="0.2">
      <c r="A18" s="4">
        <f t="shared" si="0"/>
        <v>1</v>
      </c>
      <c r="B18" s="4">
        <f t="shared" si="1"/>
        <v>1</v>
      </c>
      <c r="C18" s="13" t="str">
        <f>VLOOKUP(B18,Correspondance!$D$3:$E$14,2,FALSE)</f>
        <v>Janvier</v>
      </c>
      <c r="D18" s="1" t="s">
        <v>72</v>
      </c>
      <c r="E18" s="2" t="s">
        <v>40</v>
      </c>
      <c r="F18" s="3" t="s">
        <v>61</v>
      </c>
      <c r="G18" s="4" t="s">
        <v>101</v>
      </c>
      <c r="H18" s="4" t="s">
        <v>102</v>
      </c>
      <c r="I18" s="5" t="s">
        <v>61</v>
      </c>
      <c r="J18" s="6">
        <v>92.4</v>
      </c>
      <c r="K18" s="4" t="s">
        <v>105</v>
      </c>
      <c r="L18" s="4" t="s">
        <v>66</v>
      </c>
      <c r="M18" s="4" t="s">
        <v>47</v>
      </c>
      <c r="N18" s="4" t="s">
        <v>106</v>
      </c>
      <c r="O18" s="4" t="s">
        <v>49</v>
      </c>
      <c r="P18" s="4">
        <v>0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>
        <v>1</v>
      </c>
      <c r="AE18" s="4">
        <v>1</v>
      </c>
      <c r="AF18" s="4">
        <v>1</v>
      </c>
      <c r="AG18" s="4">
        <v>1</v>
      </c>
      <c r="AH18" s="4">
        <v>0</v>
      </c>
      <c r="AI18" s="4">
        <v>1</v>
      </c>
      <c r="AJ18" s="4" t="s">
        <v>140</v>
      </c>
      <c r="AK18" s="4">
        <v>1</v>
      </c>
      <c r="AL18" s="4">
        <v>1</v>
      </c>
      <c r="AM18" s="4">
        <v>1</v>
      </c>
      <c r="AN18" s="4" t="s">
        <v>140</v>
      </c>
      <c r="AO18" s="4">
        <v>1</v>
      </c>
      <c r="AP18" s="4">
        <v>1</v>
      </c>
      <c r="AQ18" s="4">
        <v>1</v>
      </c>
      <c r="AR18" s="4">
        <v>1</v>
      </c>
      <c r="AS18" s="4">
        <v>1</v>
      </c>
      <c r="AT18" s="4" t="s">
        <v>565</v>
      </c>
    </row>
    <row r="19" spans="1:46" x14ac:dyDescent="0.2">
      <c r="A19" s="4">
        <f t="shared" si="0"/>
        <v>1</v>
      </c>
      <c r="B19" s="4">
        <f t="shared" si="1"/>
        <v>1</v>
      </c>
      <c r="C19" s="13" t="str">
        <f>VLOOKUP(B19,Correspondance!$D$3:$E$14,2,FALSE)</f>
        <v>Janvier</v>
      </c>
      <c r="D19" s="1" t="s">
        <v>72</v>
      </c>
      <c r="E19" s="2" t="s">
        <v>40</v>
      </c>
      <c r="F19" s="3" t="s">
        <v>61</v>
      </c>
      <c r="G19" s="4" t="s">
        <v>62</v>
      </c>
      <c r="H19" s="4" t="s">
        <v>63</v>
      </c>
      <c r="I19" s="5" t="s">
        <v>57</v>
      </c>
      <c r="J19" s="6">
        <v>86.208791208791212</v>
      </c>
      <c r="K19" s="4" t="s">
        <v>107</v>
      </c>
      <c r="L19" s="4" t="s">
        <v>46</v>
      </c>
      <c r="M19" s="4" t="s">
        <v>47</v>
      </c>
      <c r="N19" s="4" t="s">
        <v>108</v>
      </c>
      <c r="O19" s="4" t="s">
        <v>49</v>
      </c>
      <c r="P19" s="4">
        <v>1</v>
      </c>
      <c r="Q19" s="4">
        <v>1</v>
      </c>
      <c r="R19" s="4">
        <v>1</v>
      </c>
      <c r="S19" s="4">
        <v>1</v>
      </c>
      <c r="T19" s="4">
        <v>0</v>
      </c>
      <c r="U19" s="4" t="s">
        <v>140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 t="s">
        <v>140</v>
      </c>
      <c r="AC19" s="4">
        <v>1</v>
      </c>
      <c r="AD19" s="4" t="s">
        <v>140</v>
      </c>
      <c r="AE19" s="4">
        <v>1</v>
      </c>
      <c r="AF19" s="4">
        <v>1</v>
      </c>
      <c r="AG19" s="4" t="s">
        <v>140</v>
      </c>
      <c r="AH19" s="4">
        <v>0</v>
      </c>
      <c r="AI19" s="4">
        <v>1</v>
      </c>
      <c r="AJ19" s="4">
        <v>1</v>
      </c>
      <c r="AK19" s="4">
        <v>1</v>
      </c>
      <c r="AL19" s="4" t="s">
        <v>140</v>
      </c>
      <c r="AM19" s="4">
        <v>1</v>
      </c>
      <c r="AN19" s="4" t="s">
        <v>140</v>
      </c>
      <c r="AO19" s="4">
        <v>1</v>
      </c>
      <c r="AP19" s="4" t="s">
        <v>140</v>
      </c>
      <c r="AQ19" s="4">
        <v>1</v>
      </c>
      <c r="AR19" s="4" t="s">
        <v>140</v>
      </c>
      <c r="AS19" s="4" t="s">
        <v>140</v>
      </c>
      <c r="AT19" s="4" t="s">
        <v>134</v>
      </c>
    </row>
    <row r="20" spans="1:46" x14ac:dyDescent="0.2">
      <c r="A20" s="4">
        <f t="shared" si="0"/>
        <v>1</v>
      </c>
      <c r="B20" s="4">
        <f t="shared" si="1"/>
        <v>1</v>
      </c>
      <c r="C20" s="13" t="str">
        <f>VLOOKUP(B20,Correspondance!$D$3:$E$14,2,FALSE)</f>
        <v>Janvier</v>
      </c>
      <c r="D20" s="1" t="s">
        <v>60</v>
      </c>
      <c r="E20" s="2" t="s">
        <v>40</v>
      </c>
      <c r="F20" s="3" t="s">
        <v>41</v>
      </c>
      <c r="G20" s="4" t="s">
        <v>109</v>
      </c>
      <c r="H20" s="4" t="s">
        <v>110</v>
      </c>
      <c r="I20" s="5" t="s">
        <v>41</v>
      </c>
      <c r="J20" s="6">
        <v>97</v>
      </c>
      <c r="K20" s="4" t="s">
        <v>111</v>
      </c>
      <c r="L20" s="4" t="s">
        <v>66</v>
      </c>
      <c r="M20" s="4" t="s">
        <v>47</v>
      </c>
      <c r="N20" s="4" t="s">
        <v>112</v>
      </c>
      <c r="O20" s="4" t="s">
        <v>49</v>
      </c>
      <c r="P20" s="4">
        <v>1</v>
      </c>
      <c r="Q20" s="4">
        <v>1</v>
      </c>
      <c r="R20" s="4">
        <v>1</v>
      </c>
      <c r="S20" s="4">
        <v>1</v>
      </c>
      <c r="T20" s="4">
        <v>1</v>
      </c>
      <c r="U20" s="4">
        <v>0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140</v>
      </c>
      <c r="AE20" s="4">
        <v>1</v>
      </c>
      <c r="AF20" s="4">
        <v>1</v>
      </c>
      <c r="AG20" s="4">
        <v>1</v>
      </c>
      <c r="AH20" s="4">
        <v>1</v>
      </c>
      <c r="AI20" s="4">
        <v>1</v>
      </c>
      <c r="AJ20" s="4" t="s">
        <v>140</v>
      </c>
      <c r="AK20" s="4">
        <v>1</v>
      </c>
      <c r="AL20" s="4">
        <v>1</v>
      </c>
      <c r="AM20" s="4">
        <v>1</v>
      </c>
      <c r="AN20" s="4">
        <v>1</v>
      </c>
      <c r="AO20" s="4">
        <v>1</v>
      </c>
      <c r="AP20" s="4">
        <v>1</v>
      </c>
      <c r="AQ20" s="4">
        <v>1</v>
      </c>
      <c r="AR20" s="4" t="s">
        <v>140</v>
      </c>
      <c r="AS20" s="4">
        <v>1</v>
      </c>
      <c r="AT20" s="4" t="s">
        <v>566</v>
      </c>
    </row>
    <row r="21" spans="1:46" x14ac:dyDescent="0.2">
      <c r="A21" s="4">
        <f t="shared" si="0"/>
        <v>1</v>
      </c>
      <c r="B21" s="4">
        <f t="shared" si="1"/>
        <v>1</v>
      </c>
      <c r="C21" s="13" t="str">
        <f>VLOOKUP(B21,Correspondance!$D$3:$E$14,2,FALSE)</f>
        <v>Janvier</v>
      </c>
      <c r="D21" s="1" t="s">
        <v>60</v>
      </c>
      <c r="E21" s="2" t="s">
        <v>40</v>
      </c>
      <c r="F21" s="3" t="s">
        <v>41</v>
      </c>
      <c r="G21" s="4" t="s">
        <v>109</v>
      </c>
      <c r="H21" s="4" t="s">
        <v>110</v>
      </c>
      <c r="I21" s="5" t="s">
        <v>44</v>
      </c>
      <c r="J21" s="6">
        <v>98</v>
      </c>
      <c r="K21" s="4" t="s">
        <v>113</v>
      </c>
      <c r="L21" s="4" t="s">
        <v>114</v>
      </c>
      <c r="M21" s="4" t="s">
        <v>47</v>
      </c>
      <c r="N21" s="4" t="s">
        <v>115</v>
      </c>
      <c r="O21" s="4" t="s">
        <v>49</v>
      </c>
      <c r="P21" s="4">
        <v>1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 t="s">
        <v>140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140</v>
      </c>
      <c r="AE21" s="4">
        <v>1</v>
      </c>
      <c r="AF21" s="4">
        <v>1</v>
      </c>
      <c r="AG21" s="4">
        <v>1</v>
      </c>
      <c r="AH21" s="4">
        <v>1</v>
      </c>
      <c r="AI21" s="4">
        <v>1</v>
      </c>
      <c r="AJ21" s="4" t="s">
        <v>140</v>
      </c>
      <c r="AK21" s="4">
        <v>1</v>
      </c>
      <c r="AL21" s="4">
        <v>1</v>
      </c>
      <c r="AM21" s="4">
        <v>1</v>
      </c>
      <c r="AN21" s="4" t="s">
        <v>140</v>
      </c>
      <c r="AO21" s="4">
        <v>1</v>
      </c>
      <c r="AP21" s="4">
        <v>1</v>
      </c>
      <c r="AQ21" s="4">
        <v>0</v>
      </c>
      <c r="AR21" s="4" t="s">
        <v>140</v>
      </c>
      <c r="AS21" s="4">
        <v>1</v>
      </c>
      <c r="AT21" s="4" t="s">
        <v>60</v>
      </c>
    </row>
    <row r="22" spans="1:46" x14ac:dyDescent="0.2">
      <c r="A22" s="4">
        <f t="shared" si="0"/>
        <v>1</v>
      </c>
      <c r="B22" s="4">
        <f t="shared" si="1"/>
        <v>1</v>
      </c>
      <c r="C22" s="13" t="str">
        <f>VLOOKUP(B22,Correspondance!$D$3:$E$14,2,FALSE)</f>
        <v>Janvier</v>
      </c>
      <c r="D22" s="1" t="s">
        <v>60</v>
      </c>
      <c r="E22" s="2" t="s">
        <v>40</v>
      </c>
      <c r="F22" s="3" t="s">
        <v>41</v>
      </c>
      <c r="G22" s="4" t="s">
        <v>89</v>
      </c>
      <c r="H22" s="4" t="s">
        <v>90</v>
      </c>
      <c r="I22" s="5" t="s">
        <v>44</v>
      </c>
      <c r="J22" s="6">
        <v>90.2</v>
      </c>
      <c r="K22" s="4" t="s">
        <v>116</v>
      </c>
      <c r="L22" s="4" t="s">
        <v>114</v>
      </c>
      <c r="M22" s="4" t="s">
        <v>47</v>
      </c>
      <c r="N22" s="4" t="s">
        <v>117</v>
      </c>
      <c r="O22" s="4" t="s">
        <v>49</v>
      </c>
      <c r="P22" s="4">
        <v>1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 t="s">
        <v>140</v>
      </c>
      <c r="X22" s="4">
        <v>1</v>
      </c>
      <c r="Y22" s="4">
        <v>0</v>
      </c>
      <c r="Z22" s="4">
        <v>1</v>
      </c>
      <c r="AA22" s="4">
        <v>1</v>
      </c>
      <c r="AB22" s="4">
        <v>1</v>
      </c>
      <c r="AC22" s="4">
        <v>1</v>
      </c>
      <c r="AD22" s="4" t="s">
        <v>140</v>
      </c>
      <c r="AE22" s="4" t="s">
        <v>140</v>
      </c>
      <c r="AF22" s="4">
        <v>1</v>
      </c>
      <c r="AG22" s="4">
        <v>1</v>
      </c>
      <c r="AH22" s="4">
        <v>1</v>
      </c>
      <c r="AI22" s="4">
        <v>0</v>
      </c>
      <c r="AJ22" s="4" t="s">
        <v>140</v>
      </c>
      <c r="AK22" s="4">
        <v>0</v>
      </c>
      <c r="AL22" s="4" t="s">
        <v>140</v>
      </c>
      <c r="AM22" s="4">
        <v>1</v>
      </c>
      <c r="AN22" s="4" t="s">
        <v>140</v>
      </c>
      <c r="AO22" s="4">
        <v>1</v>
      </c>
      <c r="AP22" s="4">
        <v>1</v>
      </c>
      <c r="AQ22" s="4">
        <v>0</v>
      </c>
      <c r="AR22" s="4">
        <v>1</v>
      </c>
      <c r="AS22" s="4">
        <v>1</v>
      </c>
      <c r="AT22" s="4" t="s">
        <v>60</v>
      </c>
    </row>
    <row r="23" spans="1:46" x14ac:dyDescent="0.2">
      <c r="A23" s="4">
        <f t="shared" si="0"/>
        <v>1</v>
      </c>
      <c r="B23" s="4">
        <f t="shared" si="1"/>
        <v>1</v>
      </c>
      <c r="C23" s="13" t="str">
        <f>VLOOKUP(B23,Correspondance!$D$3:$E$14,2,FALSE)</f>
        <v>Janvier</v>
      </c>
      <c r="D23" s="1" t="s">
        <v>60</v>
      </c>
      <c r="E23" s="2" t="s">
        <v>40</v>
      </c>
      <c r="F23" s="3" t="s">
        <v>52</v>
      </c>
      <c r="G23" s="4" t="s">
        <v>93</v>
      </c>
      <c r="H23" s="4" t="s">
        <v>94</v>
      </c>
      <c r="I23" s="5" t="s">
        <v>44</v>
      </c>
      <c r="J23" s="6">
        <v>81.2</v>
      </c>
      <c r="K23" s="4" t="s">
        <v>118</v>
      </c>
      <c r="L23" s="4" t="s">
        <v>114</v>
      </c>
      <c r="M23" s="4" t="s">
        <v>47</v>
      </c>
      <c r="N23" s="4" t="s">
        <v>119</v>
      </c>
      <c r="O23" s="4" t="s">
        <v>49</v>
      </c>
      <c r="P23" s="4">
        <v>0</v>
      </c>
      <c r="Q23" s="4" t="s">
        <v>140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140</v>
      </c>
      <c r="AE23" s="4">
        <v>0</v>
      </c>
      <c r="AF23" s="4">
        <v>1</v>
      </c>
      <c r="AG23" s="4">
        <v>1</v>
      </c>
      <c r="AH23" s="4">
        <v>1</v>
      </c>
      <c r="AI23" s="4">
        <v>1</v>
      </c>
      <c r="AJ23" s="4">
        <v>0</v>
      </c>
      <c r="AK23" s="4">
        <v>1</v>
      </c>
      <c r="AL23" s="4">
        <v>1</v>
      </c>
      <c r="AM23" s="4">
        <v>1</v>
      </c>
      <c r="AN23" s="4" t="s">
        <v>140</v>
      </c>
      <c r="AO23" s="4">
        <v>1</v>
      </c>
      <c r="AP23" s="4">
        <v>1</v>
      </c>
      <c r="AQ23" s="4">
        <v>1</v>
      </c>
      <c r="AR23" s="4">
        <v>0</v>
      </c>
      <c r="AS23" s="4">
        <v>1</v>
      </c>
      <c r="AT23" s="4" t="s">
        <v>60</v>
      </c>
    </row>
    <row r="24" spans="1:46" x14ac:dyDescent="0.2">
      <c r="A24" s="4">
        <f t="shared" si="0"/>
        <v>1</v>
      </c>
      <c r="B24" s="4">
        <f t="shared" si="1"/>
        <v>1</v>
      </c>
      <c r="C24" s="13" t="str">
        <f>VLOOKUP(B24,Correspondance!$D$3:$E$14,2,FALSE)</f>
        <v>Janvier</v>
      </c>
      <c r="D24" s="1" t="s">
        <v>60</v>
      </c>
      <c r="E24" s="2" t="s">
        <v>40</v>
      </c>
      <c r="F24" s="3" t="s">
        <v>52</v>
      </c>
      <c r="G24" s="4" t="s">
        <v>120</v>
      </c>
      <c r="H24" s="4" t="s">
        <v>121</v>
      </c>
      <c r="I24" s="5" t="s">
        <v>44</v>
      </c>
      <c r="J24" s="6">
        <v>92.2</v>
      </c>
      <c r="K24" s="4" t="s">
        <v>116</v>
      </c>
      <c r="L24" s="4" t="s">
        <v>114</v>
      </c>
      <c r="M24" s="4" t="s">
        <v>47</v>
      </c>
      <c r="N24" s="4" t="s">
        <v>1064</v>
      </c>
      <c r="O24" s="4" t="s">
        <v>49</v>
      </c>
      <c r="P24" s="4">
        <v>1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>
        <v>0</v>
      </c>
      <c r="AE24" s="4">
        <v>1</v>
      </c>
      <c r="AF24" s="4">
        <v>1</v>
      </c>
      <c r="AG24" s="4">
        <v>1</v>
      </c>
      <c r="AH24" s="4">
        <v>0</v>
      </c>
      <c r="AI24" s="4">
        <v>1</v>
      </c>
      <c r="AJ24" s="4" t="s">
        <v>140</v>
      </c>
      <c r="AK24" s="4">
        <v>1</v>
      </c>
      <c r="AL24" s="4">
        <v>1</v>
      </c>
      <c r="AM24" s="4">
        <v>1</v>
      </c>
      <c r="AN24" s="4" t="s">
        <v>140</v>
      </c>
      <c r="AO24" s="4">
        <v>1</v>
      </c>
      <c r="AP24" s="4">
        <v>1</v>
      </c>
      <c r="AQ24" s="4">
        <v>1</v>
      </c>
      <c r="AR24" s="4">
        <v>1</v>
      </c>
      <c r="AS24" s="4">
        <v>1</v>
      </c>
      <c r="AT24" s="4" t="s">
        <v>60</v>
      </c>
    </row>
    <row r="25" spans="1:46" x14ac:dyDescent="0.2">
      <c r="A25" s="4">
        <f t="shared" si="0"/>
        <v>1</v>
      </c>
      <c r="B25" s="4">
        <f t="shared" si="1"/>
        <v>1</v>
      </c>
      <c r="C25" s="13" t="str">
        <f>VLOOKUP(B25,Correspondance!$D$3:$E$14,2,FALSE)</f>
        <v>Janvier</v>
      </c>
      <c r="D25" s="1" t="s">
        <v>60</v>
      </c>
      <c r="E25" s="2" t="s">
        <v>40</v>
      </c>
      <c r="F25" s="3" t="s">
        <v>61</v>
      </c>
      <c r="G25" s="4" t="s">
        <v>101</v>
      </c>
      <c r="H25" s="4" t="s">
        <v>102</v>
      </c>
      <c r="I25" s="5" t="s">
        <v>44</v>
      </c>
      <c r="J25" s="6">
        <v>92.5</v>
      </c>
      <c r="K25" s="4" t="s">
        <v>122</v>
      </c>
      <c r="L25" s="4" t="s">
        <v>114</v>
      </c>
      <c r="M25" s="4" t="s">
        <v>47</v>
      </c>
      <c r="N25" s="4" t="s">
        <v>115</v>
      </c>
      <c r="O25" s="4" t="s">
        <v>49</v>
      </c>
      <c r="P25" s="4">
        <v>1</v>
      </c>
      <c r="Q25" s="4">
        <v>0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140</v>
      </c>
      <c r="AE25" s="4">
        <v>1</v>
      </c>
      <c r="AF25" s="4">
        <v>1</v>
      </c>
      <c r="AG25" s="4">
        <v>1</v>
      </c>
      <c r="AH25" s="4">
        <v>1</v>
      </c>
      <c r="AI25" s="4">
        <v>1</v>
      </c>
      <c r="AJ25" s="4" t="s">
        <v>140</v>
      </c>
      <c r="AK25" s="4">
        <v>1</v>
      </c>
      <c r="AL25" s="4">
        <v>0</v>
      </c>
      <c r="AM25" s="4">
        <v>1</v>
      </c>
      <c r="AN25" s="4" t="s">
        <v>140</v>
      </c>
      <c r="AO25" s="4">
        <v>1</v>
      </c>
      <c r="AP25" s="4">
        <v>1</v>
      </c>
      <c r="AQ25" s="4">
        <v>1</v>
      </c>
      <c r="AR25" s="4" t="s">
        <v>140</v>
      </c>
      <c r="AS25" s="4">
        <v>1</v>
      </c>
      <c r="AT25" s="4" t="s">
        <v>60</v>
      </c>
    </row>
    <row r="26" spans="1:46" x14ac:dyDescent="0.2">
      <c r="A26" s="4">
        <f t="shared" si="0"/>
        <v>1</v>
      </c>
      <c r="B26" s="4">
        <f t="shared" si="1"/>
        <v>1</v>
      </c>
      <c r="C26" s="13" t="str">
        <f>VLOOKUP(B26,Correspondance!$D$3:$E$14,2,FALSE)</f>
        <v>Janvier</v>
      </c>
      <c r="D26" s="1" t="s">
        <v>60</v>
      </c>
      <c r="E26" s="2" t="s">
        <v>40</v>
      </c>
      <c r="F26" s="3" t="s">
        <v>61</v>
      </c>
      <c r="G26" s="4" t="s">
        <v>62</v>
      </c>
      <c r="H26" s="4" t="s">
        <v>63</v>
      </c>
      <c r="I26" s="5" t="s">
        <v>44</v>
      </c>
      <c r="J26" s="6">
        <v>63.35</v>
      </c>
      <c r="K26" s="4" t="s">
        <v>123</v>
      </c>
      <c r="L26" s="4" t="s">
        <v>114</v>
      </c>
      <c r="M26" s="4" t="s">
        <v>47</v>
      </c>
      <c r="N26" s="4" t="s">
        <v>119</v>
      </c>
      <c r="O26" s="4" t="s">
        <v>49</v>
      </c>
      <c r="P26" s="4">
        <v>0</v>
      </c>
      <c r="Q26" s="4">
        <v>1</v>
      </c>
      <c r="R26" s="4">
        <v>1</v>
      </c>
      <c r="S26" s="4">
        <v>1</v>
      </c>
      <c r="T26" s="4">
        <v>0</v>
      </c>
      <c r="U26" s="4">
        <v>1</v>
      </c>
      <c r="V26" s="4">
        <v>1</v>
      </c>
      <c r="W26" s="4">
        <v>0</v>
      </c>
      <c r="X26" s="4">
        <v>1</v>
      </c>
      <c r="Y26" s="4">
        <v>0</v>
      </c>
      <c r="Z26" s="4">
        <v>1</v>
      </c>
      <c r="AA26" s="4">
        <v>1</v>
      </c>
      <c r="AB26" s="4">
        <v>1</v>
      </c>
      <c r="AC26" s="4">
        <v>1</v>
      </c>
      <c r="AD26" s="4">
        <v>1</v>
      </c>
      <c r="AE26" s="4">
        <v>0</v>
      </c>
      <c r="AF26" s="4">
        <v>0</v>
      </c>
      <c r="AG26" s="4">
        <v>1</v>
      </c>
      <c r="AH26" s="4">
        <v>1</v>
      </c>
      <c r="AI26" s="4">
        <v>1</v>
      </c>
      <c r="AJ26" s="4" t="s">
        <v>140</v>
      </c>
      <c r="AK26" s="4">
        <v>1</v>
      </c>
      <c r="AL26" s="4">
        <v>0</v>
      </c>
      <c r="AM26" s="4">
        <v>1</v>
      </c>
      <c r="AN26" s="4" t="s">
        <v>140</v>
      </c>
      <c r="AO26" s="4">
        <v>0</v>
      </c>
      <c r="AP26" s="4">
        <v>1</v>
      </c>
      <c r="AQ26" s="4">
        <v>1</v>
      </c>
      <c r="AR26" s="4" t="s">
        <v>140</v>
      </c>
      <c r="AS26" s="4">
        <v>1</v>
      </c>
      <c r="AT26" s="4" t="s">
        <v>60</v>
      </c>
    </row>
    <row r="27" spans="1:46" x14ac:dyDescent="0.2">
      <c r="A27" s="4">
        <f t="shared" si="0"/>
        <v>1</v>
      </c>
      <c r="B27" s="4">
        <f t="shared" si="1"/>
        <v>1</v>
      </c>
      <c r="C27" s="13" t="str">
        <f>VLOOKUP(B27,Correspondance!$D$3:$E$14,2,FALSE)</f>
        <v>Janvier</v>
      </c>
      <c r="D27" s="1" t="s">
        <v>60</v>
      </c>
      <c r="E27" s="2" t="s">
        <v>40</v>
      </c>
      <c r="F27" s="3" t="s">
        <v>61</v>
      </c>
      <c r="G27" s="4" t="s">
        <v>68</v>
      </c>
      <c r="H27" s="4" t="s">
        <v>69</v>
      </c>
      <c r="I27" s="5" t="s">
        <v>44</v>
      </c>
      <c r="J27" s="6">
        <v>93.25</v>
      </c>
      <c r="K27" s="4" t="s">
        <v>124</v>
      </c>
      <c r="L27" s="4" t="s">
        <v>114</v>
      </c>
      <c r="M27" s="4" t="s">
        <v>47</v>
      </c>
      <c r="N27" s="4" t="s">
        <v>125</v>
      </c>
      <c r="O27" s="4" t="s">
        <v>49</v>
      </c>
      <c r="P27" s="4">
        <v>1</v>
      </c>
      <c r="Q27" s="4">
        <v>1</v>
      </c>
      <c r="R27" s="4">
        <v>1</v>
      </c>
      <c r="S27" s="4">
        <v>1</v>
      </c>
      <c r="T27" s="4">
        <v>1</v>
      </c>
      <c r="U27" s="4">
        <v>0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0</v>
      </c>
      <c r="AD27" s="4" t="s">
        <v>140</v>
      </c>
      <c r="AE27" s="4">
        <v>1</v>
      </c>
      <c r="AF27" s="4">
        <v>1</v>
      </c>
      <c r="AG27" s="4">
        <v>1</v>
      </c>
      <c r="AH27" s="4">
        <v>1</v>
      </c>
      <c r="AI27" s="4">
        <v>1</v>
      </c>
      <c r="AJ27" s="4" t="s">
        <v>140</v>
      </c>
      <c r="AK27" s="4">
        <v>1</v>
      </c>
      <c r="AL27" s="4">
        <v>0</v>
      </c>
      <c r="AM27" s="4">
        <v>1</v>
      </c>
      <c r="AN27" s="4" t="s">
        <v>140</v>
      </c>
      <c r="AO27" s="4">
        <v>1</v>
      </c>
      <c r="AP27" s="4">
        <v>1</v>
      </c>
      <c r="AQ27" s="4">
        <v>1</v>
      </c>
      <c r="AR27" s="4" t="s">
        <v>140</v>
      </c>
      <c r="AS27" s="4">
        <v>1</v>
      </c>
      <c r="AT27" s="4" t="s">
        <v>60</v>
      </c>
    </row>
    <row r="28" spans="1:46" x14ac:dyDescent="0.2">
      <c r="A28" s="4">
        <f t="shared" si="0"/>
        <v>1</v>
      </c>
      <c r="B28" s="4">
        <f t="shared" si="1"/>
        <v>1</v>
      </c>
      <c r="C28" s="13" t="str">
        <f>VLOOKUP(B28,Correspondance!$D$3:$E$14,2,FALSE)</f>
        <v>Janvier</v>
      </c>
      <c r="D28" s="1" t="s">
        <v>127</v>
      </c>
      <c r="E28" s="2" t="s">
        <v>40</v>
      </c>
      <c r="F28" s="3" t="s">
        <v>61</v>
      </c>
      <c r="G28" s="4" t="s">
        <v>101</v>
      </c>
      <c r="H28" s="4" t="s">
        <v>102</v>
      </c>
      <c r="I28" s="5" t="s">
        <v>61</v>
      </c>
      <c r="J28" s="6">
        <v>100</v>
      </c>
      <c r="K28" s="4" t="s">
        <v>128</v>
      </c>
      <c r="L28" s="4" t="s">
        <v>66</v>
      </c>
      <c r="M28" s="4" t="s">
        <v>47</v>
      </c>
      <c r="N28" s="4" t="s">
        <v>129</v>
      </c>
      <c r="O28" s="4" t="s">
        <v>49</v>
      </c>
      <c r="P28" s="4">
        <v>1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140</v>
      </c>
      <c r="AE28" s="4">
        <v>1</v>
      </c>
      <c r="AF28" s="4">
        <v>1</v>
      </c>
      <c r="AG28" s="4">
        <v>1</v>
      </c>
      <c r="AH28" s="4">
        <v>1</v>
      </c>
      <c r="AI28" s="4">
        <v>1</v>
      </c>
      <c r="AJ28" s="4">
        <v>1</v>
      </c>
      <c r="AK28" s="4" t="s">
        <v>140</v>
      </c>
      <c r="AL28" s="4">
        <v>1</v>
      </c>
      <c r="AM28" s="4">
        <v>1</v>
      </c>
      <c r="AN28" s="4" t="s">
        <v>140</v>
      </c>
      <c r="AO28" s="4">
        <v>1</v>
      </c>
      <c r="AP28" s="4">
        <v>1</v>
      </c>
      <c r="AQ28" s="4" t="s">
        <v>140</v>
      </c>
      <c r="AR28" s="4" t="s">
        <v>140</v>
      </c>
      <c r="AS28" s="4">
        <v>1</v>
      </c>
      <c r="AT28" s="4" t="s">
        <v>565</v>
      </c>
    </row>
    <row r="29" spans="1:46" x14ac:dyDescent="0.2">
      <c r="A29" s="4">
        <f t="shared" si="0"/>
        <v>1</v>
      </c>
      <c r="B29" s="4">
        <f t="shared" si="1"/>
        <v>1</v>
      </c>
      <c r="C29" s="13" t="str">
        <f>VLOOKUP(B29,Correspondance!$D$3:$E$14,2,FALSE)</f>
        <v>Janvier</v>
      </c>
      <c r="D29" s="1" t="s">
        <v>127</v>
      </c>
      <c r="E29" s="2" t="s">
        <v>40</v>
      </c>
      <c r="F29" s="3" t="s">
        <v>61</v>
      </c>
      <c r="G29" s="4" t="s">
        <v>130</v>
      </c>
      <c r="H29" s="4" t="s">
        <v>131</v>
      </c>
      <c r="I29" s="5" t="s">
        <v>61</v>
      </c>
      <c r="J29" s="6">
        <v>98</v>
      </c>
      <c r="K29" s="4" t="s">
        <v>132</v>
      </c>
      <c r="L29" s="4" t="s">
        <v>66</v>
      </c>
      <c r="M29" s="4" t="s">
        <v>74</v>
      </c>
      <c r="N29" s="4" t="s">
        <v>133</v>
      </c>
      <c r="O29" s="4" t="s">
        <v>49</v>
      </c>
      <c r="P29" s="4">
        <v>1</v>
      </c>
      <c r="Q29" s="4">
        <v>1</v>
      </c>
      <c r="R29" s="4">
        <v>1</v>
      </c>
      <c r="S29" s="4" t="s">
        <v>140</v>
      </c>
      <c r="T29" s="4">
        <v>1</v>
      </c>
      <c r="U29" s="4">
        <v>1</v>
      </c>
      <c r="V29" s="4">
        <v>1</v>
      </c>
      <c r="W29" s="4">
        <v>1</v>
      </c>
      <c r="X29" s="4" t="s">
        <v>140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>
        <v>1</v>
      </c>
      <c r="AE29" s="4">
        <v>1</v>
      </c>
      <c r="AF29" s="4">
        <v>1</v>
      </c>
      <c r="AG29" s="4">
        <v>1</v>
      </c>
      <c r="AH29" s="4">
        <v>1</v>
      </c>
      <c r="AI29" s="4">
        <v>1</v>
      </c>
      <c r="AJ29" s="4" t="s">
        <v>140</v>
      </c>
      <c r="AK29" s="4">
        <v>1</v>
      </c>
      <c r="AL29" s="4">
        <v>1</v>
      </c>
      <c r="AM29" s="4">
        <v>1</v>
      </c>
      <c r="AN29" s="4" t="s">
        <v>140</v>
      </c>
      <c r="AO29" s="4">
        <v>1</v>
      </c>
      <c r="AP29" s="4">
        <v>1</v>
      </c>
      <c r="AQ29" s="4">
        <v>0</v>
      </c>
      <c r="AR29" s="4">
        <v>1</v>
      </c>
      <c r="AS29" s="4">
        <v>1</v>
      </c>
      <c r="AT29" s="4"/>
    </row>
    <row r="30" spans="1:46" x14ac:dyDescent="0.2">
      <c r="A30" s="4">
        <f t="shared" si="0"/>
        <v>2</v>
      </c>
      <c r="B30" s="4">
        <f t="shared" si="1"/>
        <v>1</v>
      </c>
      <c r="C30" s="13" t="str">
        <f>VLOOKUP(B30,Correspondance!$D$3:$E$14,2,FALSE)</f>
        <v>Janvier</v>
      </c>
      <c r="D30" s="1" t="s">
        <v>134</v>
      </c>
      <c r="E30" s="2" t="s">
        <v>40</v>
      </c>
      <c r="F30" s="3" t="s">
        <v>52</v>
      </c>
      <c r="G30" s="4" t="s">
        <v>135</v>
      </c>
      <c r="H30" s="4" t="s">
        <v>136</v>
      </c>
      <c r="I30" s="5" t="s">
        <v>57</v>
      </c>
      <c r="J30" s="6">
        <v>58.416666666666664</v>
      </c>
      <c r="K30" s="4" t="s">
        <v>137</v>
      </c>
      <c r="L30" s="4" t="s">
        <v>46</v>
      </c>
      <c r="M30" s="4" t="s">
        <v>47</v>
      </c>
      <c r="N30" s="4" t="s">
        <v>138</v>
      </c>
      <c r="O30" s="4" t="s">
        <v>49</v>
      </c>
      <c r="P30" s="4">
        <v>1</v>
      </c>
      <c r="Q30" s="4">
        <v>0</v>
      </c>
      <c r="R30" s="4">
        <v>1</v>
      </c>
      <c r="S30" s="4">
        <v>1</v>
      </c>
      <c r="T30" s="4">
        <v>0</v>
      </c>
      <c r="U30" s="4">
        <v>0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0</v>
      </c>
      <c r="AB30" s="4">
        <v>1</v>
      </c>
      <c r="AC30" s="4">
        <v>1</v>
      </c>
      <c r="AD30" s="4" t="s">
        <v>140</v>
      </c>
      <c r="AE30" s="4">
        <v>0</v>
      </c>
      <c r="AF30" s="4">
        <v>1</v>
      </c>
      <c r="AG30" s="4">
        <v>1</v>
      </c>
      <c r="AH30" s="4">
        <v>1</v>
      </c>
      <c r="AI30" s="4">
        <v>1</v>
      </c>
      <c r="AJ30" s="4">
        <v>0</v>
      </c>
      <c r="AK30" s="4">
        <v>0</v>
      </c>
      <c r="AL30" s="4">
        <v>0</v>
      </c>
      <c r="AM30" s="4">
        <v>1</v>
      </c>
      <c r="AN30" s="4" t="s">
        <v>140</v>
      </c>
      <c r="AO30" s="4">
        <v>1</v>
      </c>
      <c r="AP30" s="4">
        <v>0</v>
      </c>
      <c r="AQ30" s="4">
        <v>0</v>
      </c>
      <c r="AR30" s="4" t="s">
        <v>140</v>
      </c>
      <c r="AS30" s="4">
        <v>1</v>
      </c>
      <c r="AT30" s="4" t="s">
        <v>304</v>
      </c>
    </row>
    <row r="31" spans="1:46" x14ac:dyDescent="0.2">
      <c r="A31" s="4">
        <f t="shared" si="0"/>
        <v>2</v>
      </c>
      <c r="B31" s="4">
        <f t="shared" si="1"/>
        <v>1</v>
      </c>
      <c r="C31" s="13" t="str">
        <f>VLOOKUP(B31,Correspondance!$D$3:$E$14,2,FALSE)</f>
        <v>Janvier</v>
      </c>
      <c r="D31" s="1" t="s">
        <v>134</v>
      </c>
      <c r="E31" s="2" t="s">
        <v>40</v>
      </c>
      <c r="F31" s="3" t="s">
        <v>61</v>
      </c>
      <c r="G31" s="4" t="s">
        <v>96</v>
      </c>
      <c r="H31" s="4" t="s">
        <v>97</v>
      </c>
      <c r="I31" s="5" t="s">
        <v>57</v>
      </c>
      <c r="J31" s="6">
        <v>100</v>
      </c>
      <c r="K31" s="4" t="s">
        <v>334</v>
      </c>
      <c r="L31" s="4" t="s">
        <v>46</v>
      </c>
      <c r="M31" s="4" t="s">
        <v>47</v>
      </c>
      <c r="N31" s="4" t="s">
        <v>335</v>
      </c>
      <c r="O31" s="4" t="s">
        <v>49</v>
      </c>
      <c r="P31" s="4">
        <v>1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140</v>
      </c>
      <c r="AE31" s="4">
        <v>1</v>
      </c>
      <c r="AF31" s="4">
        <v>1</v>
      </c>
      <c r="AG31" s="4">
        <v>1</v>
      </c>
      <c r="AH31" s="4">
        <v>1</v>
      </c>
      <c r="AI31" s="4">
        <v>1</v>
      </c>
      <c r="AJ31" s="4" t="s">
        <v>140</v>
      </c>
      <c r="AK31" s="4">
        <v>1</v>
      </c>
      <c r="AL31" s="4">
        <v>1</v>
      </c>
      <c r="AM31" s="4">
        <v>1</v>
      </c>
      <c r="AN31" s="4" t="s">
        <v>140</v>
      </c>
      <c r="AO31" s="4">
        <v>1</v>
      </c>
      <c r="AP31" s="4" t="s">
        <v>140</v>
      </c>
      <c r="AQ31" s="4">
        <v>1</v>
      </c>
      <c r="AR31" s="4">
        <v>1</v>
      </c>
      <c r="AS31" s="4">
        <v>1</v>
      </c>
      <c r="AT31" s="4" t="s">
        <v>304</v>
      </c>
    </row>
    <row r="32" spans="1:46" x14ac:dyDescent="0.2">
      <c r="A32" s="4">
        <f t="shared" si="0"/>
        <v>2</v>
      </c>
      <c r="B32" s="4">
        <f t="shared" si="1"/>
        <v>1</v>
      </c>
      <c r="C32" s="13" t="str">
        <f>VLOOKUP(B32,Correspondance!$D$3:$E$14,2,FALSE)</f>
        <v>Janvier</v>
      </c>
      <c r="D32" s="1" t="s">
        <v>134</v>
      </c>
      <c r="E32" s="2" t="s">
        <v>40</v>
      </c>
      <c r="F32" s="3" t="s">
        <v>61</v>
      </c>
      <c r="G32" s="4" t="s">
        <v>96</v>
      </c>
      <c r="H32" s="4" t="s">
        <v>97</v>
      </c>
      <c r="I32" s="5" t="s">
        <v>57</v>
      </c>
      <c r="J32" s="6">
        <v>100</v>
      </c>
      <c r="K32" s="4" t="s">
        <v>336</v>
      </c>
      <c r="L32" s="4" t="s">
        <v>46</v>
      </c>
      <c r="M32" s="4" t="s">
        <v>47</v>
      </c>
      <c r="N32" s="4" t="s">
        <v>337</v>
      </c>
      <c r="O32" s="4" t="s">
        <v>49</v>
      </c>
      <c r="P32" s="4">
        <v>1</v>
      </c>
      <c r="Q32" s="4" t="s">
        <v>140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140</v>
      </c>
      <c r="AE32" s="4">
        <v>1</v>
      </c>
      <c r="AF32" s="4">
        <v>1</v>
      </c>
      <c r="AG32" s="4">
        <v>1</v>
      </c>
      <c r="AH32" s="4">
        <v>1</v>
      </c>
      <c r="AI32" s="4">
        <v>1</v>
      </c>
      <c r="AJ32" s="4" t="s">
        <v>140</v>
      </c>
      <c r="AK32" s="4">
        <v>1</v>
      </c>
      <c r="AL32" s="4">
        <v>1</v>
      </c>
      <c r="AM32" s="4">
        <v>1</v>
      </c>
      <c r="AN32" s="4" t="s">
        <v>140</v>
      </c>
      <c r="AO32" s="4">
        <v>1</v>
      </c>
      <c r="AP32" s="4">
        <v>1</v>
      </c>
      <c r="AQ32" s="4">
        <v>1</v>
      </c>
      <c r="AR32" s="4" t="s">
        <v>140</v>
      </c>
      <c r="AS32" s="4">
        <v>1</v>
      </c>
      <c r="AT32" s="4" t="s">
        <v>304</v>
      </c>
    </row>
    <row r="33" spans="1:46" x14ac:dyDescent="0.2">
      <c r="A33" s="4">
        <f t="shared" ref="A33:A64" si="2">WEEKNUM(D33)</f>
        <v>2</v>
      </c>
      <c r="B33" s="4">
        <f t="shared" ref="B33:B64" si="3">MONTH(D33)</f>
        <v>1</v>
      </c>
      <c r="C33" s="13" t="str">
        <f>VLOOKUP(B33,Correspondance!$D$3:$E$14,2,FALSE)</f>
        <v>Janvier</v>
      </c>
      <c r="D33" s="1" t="s">
        <v>304</v>
      </c>
      <c r="E33" s="2" t="s">
        <v>40</v>
      </c>
      <c r="F33" s="3" t="s">
        <v>52</v>
      </c>
      <c r="G33" s="4" t="s">
        <v>53</v>
      </c>
      <c r="H33" s="4" t="s">
        <v>54</v>
      </c>
      <c r="I33" s="5" t="s">
        <v>57</v>
      </c>
      <c r="J33" s="6">
        <v>93</v>
      </c>
      <c r="K33" s="4" t="s">
        <v>338</v>
      </c>
      <c r="L33" s="4" t="s">
        <v>46</v>
      </c>
      <c r="M33" s="4" t="s">
        <v>74</v>
      </c>
      <c r="N33" s="4" t="s">
        <v>339</v>
      </c>
      <c r="O33" s="4" t="s">
        <v>49</v>
      </c>
      <c r="P33" s="4">
        <v>1</v>
      </c>
      <c r="Q33" s="4">
        <v>1</v>
      </c>
      <c r="R33" s="4">
        <v>1</v>
      </c>
      <c r="S33" s="4">
        <v>1</v>
      </c>
      <c r="T33" s="4">
        <v>0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140</v>
      </c>
      <c r="AE33" s="4">
        <v>1</v>
      </c>
      <c r="AF33" s="4">
        <v>1</v>
      </c>
      <c r="AG33" s="4">
        <v>1</v>
      </c>
      <c r="AH33" s="4">
        <v>1</v>
      </c>
      <c r="AI33" s="4">
        <v>1</v>
      </c>
      <c r="AJ33" s="4" t="s">
        <v>140</v>
      </c>
      <c r="AK33" s="4">
        <v>1</v>
      </c>
      <c r="AL33" s="4">
        <v>1</v>
      </c>
      <c r="AM33" s="4">
        <v>1</v>
      </c>
      <c r="AN33" s="4" t="s">
        <v>140</v>
      </c>
      <c r="AO33" s="4">
        <v>1</v>
      </c>
      <c r="AP33" s="4">
        <v>1</v>
      </c>
      <c r="AQ33" s="4">
        <v>1</v>
      </c>
      <c r="AR33" s="4" t="s">
        <v>140</v>
      </c>
      <c r="AS33" s="4">
        <v>1</v>
      </c>
      <c r="AT33" s="4" t="s">
        <v>567</v>
      </c>
    </row>
    <row r="34" spans="1:46" x14ac:dyDescent="0.2">
      <c r="A34" s="4">
        <f t="shared" si="2"/>
        <v>2</v>
      </c>
      <c r="B34" s="4">
        <f t="shared" si="3"/>
        <v>1</v>
      </c>
      <c r="C34" s="13" t="str">
        <f>VLOOKUP(B34,Correspondance!$D$3:$E$14,2,FALSE)</f>
        <v>Janvier</v>
      </c>
      <c r="D34" s="1" t="s">
        <v>304</v>
      </c>
      <c r="E34" s="2" t="s">
        <v>40</v>
      </c>
      <c r="F34" s="3" t="s">
        <v>52</v>
      </c>
      <c r="G34" s="4" t="s">
        <v>53</v>
      </c>
      <c r="H34" s="4" t="s">
        <v>54</v>
      </c>
      <c r="I34" s="5" t="s">
        <v>57</v>
      </c>
      <c r="J34" s="6">
        <v>100</v>
      </c>
      <c r="K34" s="4" t="s">
        <v>340</v>
      </c>
      <c r="L34" s="4" t="s">
        <v>46</v>
      </c>
      <c r="M34" s="4" t="s">
        <v>74</v>
      </c>
      <c r="N34" s="4" t="s">
        <v>341</v>
      </c>
      <c r="O34" s="4" t="s">
        <v>49</v>
      </c>
      <c r="P34" s="4">
        <v>1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140</v>
      </c>
      <c r="AE34" s="4">
        <v>1</v>
      </c>
      <c r="AF34" s="4">
        <v>1</v>
      </c>
      <c r="AG34" s="4">
        <v>1</v>
      </c>
      <c r="AH34" s="4">
        <v>1</v>
      </c>
      <c r="AI34" s="4">
        <v>1</v>
      </c>
      <c r="AJ34" s="4">
        <v>1</v>
      </c>
      <c r="AK34" s="4">
        <v>1</v>
      </c>
      <c r="AL34" s="4">
        <v>1</v>
      </c>
      <c r="AM34" s="4">
        <v>1</v>
      </c>
      <c r="AN34" s="4">
        <v>1</v>
      </c>
      <c r="AO34" s="4">
        <v>1</v>
      </c>
      <c r="AP34" s="4">
        <v>1</v>
      </c>
      <c r="AQ34" s="4">
        <v>1</v>
      </c>
      <c r="AR34" s="4" t="s">
        <v>140</v>
      </c>
      <c r="AS34" s="4">
        <v>1</v>
      </c>
      <c r="AT34" s="4" t="s">
        <v>567</v>
      </c>
    </row>
    <row r="35" spans="1:46" x14ac:dyDescent="0.2">
      <c r="A35" s="4">
        <f t="shared" si="2"/>
        <v>2</v>
      </c>
      <c r="B35" s="4">
        <f t="shared" si="3"/>
        <v>1</v>
      </c>
      <c r="C35" s="13" t="str">
        <f>VLOOKUP(B35,Correspondance!$D$3:$E$14,2,FALSE)</f>
        <v>Janvier</v>
      </c>
      <c r="D35" s="1" t="s">
        <v>304</v>
      </c>
      <c r="E35" s="2" t="s">
        <v>40</v>
      </c>
      <c r="F35" s="3" t="s">
        <v>61</v>
      </c>
      <c r="G35" s="4" t="s">
        <v>342</v>
      </c>
      <c r="H35" s="4" t="s">
        <v>343</v>
      </c>
      <c r="I35" s="5" t="s">
        <v>57</v>
      </c>
      <c r="J35" s="6">
        <v>100</v>
      </c>
      <c r="K35" s="4" t="s">
        <v>344</v>
      </c>
      <c r="L35" s="4" t="s">
        <v>46</v>
      </c>
      <c r="M35" s="4" t="s">
        <v>74</v>
      </c>
      <c r="N35" s="4" t="s">
        <v>345</v>
      </c>
      <c r="O35" s="4" t="s">
        <v>49</v>
      </c>
      <c r="P35" s="4">
        <v>1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>
        <v>1</v>
      </c>
      <c r="AE35" s="4">
        <v>1</v>
      </c>
      <c r="AF35" s="4">
        <v>1</v>
      </c>
      <c r="AG35" s="4">
        <v>1</v>
      </c>
      <c r="AH35" s="4">
        <v>1</v>
      </c>
      <c r="AI35" s="4">
        <v>1</v>
      </c>
      <c r="AJ35" s="4">
        <v>1</v>
      </c>
      <c r="AK35" s="4">
        <v>1</v>
      </c>
      <c r="AL35" s="4">
        <v>1</v>
      </c>
      <c r="AM35" s="4">
        <v>1</v>
      </c>
      <c r="AN35" s="4" t="s">
        <v>140</v>
      </c>
      <c r="AO35" s="4">
        <v>1</v>
      </c>
      <c r="AP35" s="4">
        <v>1</v>
      </c>
      <c r="AQ35" s="4">
        <v>1</v>
      </c>
      <c r="AR35" s="4" t="s">
        <v>140</v>
      </c>
      <c r="AS35" s="4">
        <v>1</v>
      </c>
      <c r="AT35" s="4" t="s">
        <v>562</v>
      </c>
    </row>
    <row r="36" spans="1:46" x14ac:dyDescent="0.2">
      <c r="A36" s="4">
        <f t="shared" si="2"/>
        <v>2</v>
      </c>
      <c r="B36" s="4">
        <f t="shared" si="3"/>
        <v>1</v>
      </c>
      <c r="C36" s="13" t="str">
        <f>VLOOKUP(B36,Correspondance!$D$3:$E$14,2,FALSE)</f>
        <v>Janvier</v>
      </c>
      <c r="D36" s="1" t="s">
        <v>346</v>
      </c>
      <c r="E36" s="2" t="s">
        <v>40</v>
      </c>
      <c r="F36" s="3" t="s">
        <v>41</v>
      </c>
      <c r="G36" s="4" t="s">
        <v>42</v>
      </c>
      <c r="H36" s="4" t="s">
        <v>43</v>
      </c>
      <c r="I36" s="5" t="s">
        <v>57</v>
      </c>
      <c r="J36" s="6">
        <v>100</v>
      </c>
      <c r="K36" s="4" t="s">
        <v>347</v>
      </c>
      <c r="L36" s="4" t="s">
        <v>46</v>
      </c>
      <c r="M36" s="4" t="s">
        <v>74</v>
      </c>
      <c r="N36" s="4" t="s">
        <v>348</v>
      </c>
      <c r="O36" s="4" t="s">
        <v>49</v>
      </c>
      <c r="P36" s="4">
        <v>1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140</v>
      </c>
      <c r="AE36" s="4">
        <v>1</v>
      </c>
      <c r="AF36" s="4">
        <v>1</v>
      </c>
      <c r="AG36" s="4">
        <v>1</v>
      </c>
      <c r="AH36" s="4">
        <v>1</v>
      </c>
      <c r="AI36" s="4">
        <v>1</v>
      </c>
      <c r="AJ36" s="4">
        <v>1</v>
      </c>
      <c r="AK36" s="4">
        <v>1</v>
      </c>
      <c r="AL36" s="4">
        <v>1</v>
      </c>
      <c r="AM36" s="4">
        <v>1</v>
      </c>
      <c r="AN36" s="4" t="s">
        <v>140</v>
      </c>
      <c r="AO36" s="4">
        <v>1</v>
      </c>
      <c r="AP36" s="4">
        <v>1</v>
      </c>
      <c r="AQ36" s="4">
        <v>1</v>
      </c>
      <c r="AR36" s="4" t="s">
        <v>140</v>
      </c>
      <c r="AS36" s="4">
        <v>1</v>
      </c>
      <c r="AT36" s="4" t="s">
        <v>563</v>
      </c>
    </row>
    <row r="37" spans="1:46" x14ac:dyDescent="0.2">
      <c r="A37" s="4">
        <f t="shared" si="2"/>
        <v>2</v>
      </c>
      <c r="B37" s="4">
        <f t="shared" si="3"/>
        <v>1</v>
      </c>
      <c r="C37" s="13" t="str">
        <f>VLOOKUP(B37,Correspondance!$D$3:$E$14,2,FALSE)</f>
        <v>Janvier</v>
      </c>
      <c r="D37" s="1" t="s">
        <v>346</v>
      </c>
      <c r="E37" s="2" t="s">
        <v>40</v>
      </c>
      <c r="F37" s="3" t="s">
        <v>61</v>
      </c>
      <c r="G37" s="4" t="s">
        <v>342</v>
      </c>
      <c r="H37" s="4" t="s">
        <v>343</v>
      </c>
      <c r="I37" s="5" t="s">
        <v>57</v>
      </c>
      <c r="J37" s="6">
        <v>94.166666666666671</v>
      </c>
      <c r="K37" s="4" t="s">
        <v>349</v>
      </c>
      <c r="L37" s="4" t="s">
        <v>46</v>
      </c>
      <c r="M37" s="4" t="s">
        <v>74</v>
      </c>
      <c r="N37" s="4" t="s">
        <v>350</v>
      </c>
      <c r="O37" s="4" t="s">
        <v>49</v>
      </c>
      <c r="P37" s="4">
        <v>1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140</v>
      </c>
      <c r="AE37" s="4">
        <v>1</v>
      </c>
      <c r="AF37" s="4">
        <v>0</v>
      </c>
      <c r="AG37" s="4">
        <v>1</v>
      </c>
      <c r="AH37" s="4">
        <v>1</v>
      </c>
      <c r="AI37" s="4">
        <v>1</v>
      </c>
      <c r="AJ37" s="4">
        <v>1</v>
      </c>
      <c r="AK37" s="4">
        <v>1</v>
      </c>
      <c r="AL37" s="4">
        <v>1</v>
      </c>
      <c r="AM37" s="4">
        <v>1</v>
      </c>
      <c r="AN37" s="4" t="s">
        <v>140</v>
      </c>
      <c r="AO37" s="4">
        <v>1</v>
      </c>
      <c r="AP37" s="4">
        <v>1</v>
      </c>
      <c r="AQ37" s="4">
        <v>1</v>
      </c>
      <c r="AR37" s="4" t="s">
        <v>140</v>
      </c>
      <c r="AS37" s="4">
        <v>1</v>
      </c>
      <c r="AT37" s="4" t="s">
        <v>562</v>
      </c>
    </row>
    <row r="38" spans="1:46" x14ac:dyDescent="0.2">
      <c r="A38" s="4">
        <f t="shared" si="2"/>
        <v>3</v>
      </c>
      <c r="B38" s="4">
        <f t="shared" si="3"/>
        <v>1</v>
      </c>
      <c r="C38" s="13" t="str">
        <f>VLOOKUP(B38,Correspondance!$D$3:$E$14,2,FALSE)</f>
        <v>Janvier</v>
      </c>
      <c r="D38" s="1" t="s">
        <v>568</v>
      </c>
      <c r="E38" s="2" t="s">
        <v>40</v>
      </c>
      <c r="F38" s="3" t="s">
        <v>41</v>
      </c>
      <c r="G38" s="4" t="s">
        <v>42</v>
      </c>
      <c r="H38" s="4" t="s">
        <v>43</v>
      </c>
      <c r="I38" s="5" t="s">
        <v>61</v>
      </c>
      <c r="J38" s="6">
        <v>96.25</v>
      </c>
      <c r="K38" s="4" t="s">
        <v>569</v>
      </c>
      <c r="L38" s="4" t="s">
        <v>114</v>
      </c>
      <c r="M38" s="4" t="s">
        <v>74</v>
      </c>
      <c r="N38" s="4" t="s">
        <v>570</v>
      </c>
      <c r="O38" s="4" t="s">
        <v>49</v>
      </c>
      <c r="P38" s="4">
        <v>1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140</v>
      </c>
      <c r="AE38" s="4">
        <v>1</v>
      </c>
      <c r="AF38" s="4">
        <v>1</v>
      </c>
      <c r="AG38" s="4">
        <v>1</v>
      </c>
      <c r="AH38" s="4">
        <v>1</v>
      </c>
      <c r="AI38" s="4">
        <v>1</v>
      </c>
      <c r="AJ38" s="4" t="s">
        <v>140</v>
      </c>
      <c r="AK38" s="4">
        <v>1</v>
      </c>
      <c r="AL38" s="4">
        <v>0</v>
      </c>
      <c r="AM38" s="4">
        <v>1</v>
      </c>
      <c r="AN38" s="4" t="s">
        <v>140</v>
      </c>
      <c r="AO38" s="4">
        <v>1</v>
      </c>
      <c r="AP38" s="4">
        <v>1</v>
      </c>
      <c r="AQ38" s="4">
        <v>1</v>
      </c>
      <c r="AR38" s="4" t="s">
        <v>140</v>
      </c>
      <c r="AS38" s="4">
        <v>1</v>
      </c>
      <c r="AT38" s="4" t="s">
        <v>565</v>
      </c>
    </row>
    <row r="39" spans="1:46" x14ac:dyDescent="0.2">
      <c r="A39" s="4">
        <f t="shared" si="2"/>
        <v>3</v>
      </c>
      <c r="B39" s="4">
        <f t="shared" si="3"/>
        <v>1</v>
      </c>
      <c r="C39" s="13" t="str">
        <f>VLOOKUP(B39,Correspondance!$D$3:$E$14,2,FALSE)</f>
        <v>Janvier</v>
      </c>
      <c r="D39" s="1" t="s">
        <v>568</v>
      </c>
      <c r="E39" s="2" t="s">
        <v>40</v>
      </c>
      <c r="F39" s="3" t="s">
        <v>41</v>
      </c>
      <c r="G39" s="4" t="s">
        <v>78</v>
      </c>
      <c r="H39" s="4" t="s">
        <v>79</v>
      </c>
      <c r="I39" s="5" t="s">
        <v>57</v>
      </c>
      <c r="J39" s="6">
        <v>94</v>
      </c>
      <c r="K39" s="4" t="s">
        <v>571</v>
      </c>
      <c r="L39" s="4" t="s">
        <v>114</v>
      </c>
      <c r="M39" s="4" t="s">
        <v>175</v>
      </c>
      <c r="N39" s="4" t="s">
        <v>570</v>
      </c>
      <c r="O39" s="4" t="s">
        <v>49</v>
      </c>
      <c r="P39" s="4">
        <v>1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140</v>
      </c>
      <c r="AE39" s="4">
        <v>1</v>
      </c>
      <c r="AF39" s="4">
        <v>1</v>
      </c>
      <c r="AG39" s="4">
        <v>1</v>
      </c>
      <c r="AH39" s="4">
        <v>1</v>
      </c>
      <c r="AI39" s="4">
        <v>0</v>
      </c>
      <c r="AJ39" s="4">
        <v>1</v>
      </c>
      <c r="AK39" s="4">
        <v>0</v>
      </c>
      <c r="AL39" s="4">
        <v>1</v>
      </c>
      <c r="AM39" s="4">
        <v>1</v>
      </c>
      <c r="AN39" s="4" t="s">
        <v>140</v>
      </c>
      <c r="AO39" s="4">
        <v>1</v>
      </c>
      <c r="AP39" s="4">
        <v>1</v>
      </c>
      <c r="AQ39" s="4">
        <v>0</v>
      </c>
      <c r="AR39" s="4" t="s">
        <v>140</v>
      </c>
      <c r="AS39" s="4">
        <v>1</v>
      </c>
      <c r="AT39" s="4" t="s">
        <v>565</v>
      </c>
    </row>
    <row r="40" spans="1:46" x14ac:dyDescent="0.2">
      <c r="A40" s="4">
        <f t="shared" si="2"/>
        <v>3</v>
      </c>
      <c r="B40" s="4">
        <f t="shared" si="3"/>
        <v>1</v>
      </c>
      <c r="C40" s="13" t="str">
        <f>VLOOKUP(B40,Correspondance!$D$3:$E$14,2,FALSE)</f>
        <v>Janvier</v>
      </c>
      <c r="D40" s="1" t="s">
        <v>568</v>
      </c>
      <c r="E40" s="2" t="s">
        <v>40</v>
      </c>
      <c r="F40" s="3" t="s">
        <v>52</v>
      </c>
      <c r="G40" s="4" t="s">
        <v>53</v>
      </c>
      <c r="H40" s="4" t="s">
        <v>54</v>
      </c>
      <c r="I40" s="5" t="s">
        <v>57</v>
      </c>
      <c r="J40" s="6">
        <v>100</v>
      </c>
      <c r="K40" s="4" t="s">
        <v>572</v>
      </c>
      <c r="L40" s="4" t="s">
        <v>114</v>
      </c>
      <c r="M40" s="4" t="s">
        <v>175</v>
      </c>
      <c r="N40" s="4" t="s">
        <v>573</v>
      </c>
      <c r="O40" s="4" t="s">
        <v>49</v>
      </c>
      <c r="P40" s="4">
        <v>1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>
        <v>1</v>
      </c>
      <c r="AE40" s="4">
        <v>1</v>
      </c>
      <c r="AF40" s="4">
        <v>1</v>
      </c>
      <c r="AG40" s="4">
        <v>1</v>
      </c>
      <c r="AH40" s="4">
        <v>1</v>
      </c>
      <c r="AI40" s="4">
        <v>1</v>
      </c>
      <c r="AJ40" s="4">
        <v>1</v>
      </c>
      <c r="AK40" s="4">
        <v>1</v>
      </c>
      <c r="AL40" s="4">
        <v>1</v>
      </c>
      <c r="AM40" s="4">
        <v>1</v>
      </c>
      <c r="AN40" s="4" t="s">
        <v>140</v>
      </c>
      <c r="AO40" s="4">
        <v>1</v>
      </c>
      <c r="AP40" s="4">
        <v>1</v>
      </c>
      <c r="AQ40" s="4">
        <v>1</v>
      </c>
      <c r="AR40" s="4">
        <v>1</v>
      </c>
      <c r="AS40" s="4">
        <v>1</v>
      </c>
      <c r="AT40" s="4" t="s">
        <v>565</v>
      </c>
    </row>
    <row r="41" spans="1:46" x14ac:dyDescent="0.2">
      <c r="A41" s="4">
        <f t="shared" si="2"/>
        <v>3</v>
      </c>
      <c r="B41" s="4">
        <f t="shared" si="3"/>
        <v>1</v>
      </c>
      <c r="C41" s="13" t="str">
        <f>VLOOKUP(B41,Correspondance!$D$3:$E$14,2,FALSE)</f>
        <v>Janvier</v>
      </c>
      <c r="D41" s="1" t="s">
        <v>568</v>
      </c>
      <c r="E41" s="2" t="s">
        <v>40</v>
      </c>
      <c r="F41" s="3" t="s">
        <v>52</v>
      </c>
      <c r="G41" s="4" t="s">
        <v>53</v>
      </c>
      <c r="H41" s="4" t="s">
        <v>54</v>
      </c>
      <c r="I41" s="5" t="s">
        <v>57</v>
      </c>
      <c r="J41" s="6">
        <v>100</v>
      </c>
      <c r="K41" s="4" t="s">
        <v>574</v>
      </c>
      <c r="L41" s="4" t="s">
        <v>114</v>
      </c>
      <c r="M41" s="4" t="s">
        <v>175</v>
      </c>
      <c r="N41" s="4" t="s">
        <v>575</v>
      </c>
      <c r="O41" s="4" t="s">
        <v>49</v>
      </c>
      <c r="P41" s="4">
        <v>1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140</v>
      </c>
      <c r="AE41" s="4">
        <v>1</v>
      </c>
      <c r="AF41" s="4">
        <v>1</v>
      </c>
      <c r="AG41" s="4">
        <v>1</v>
      </c>
      <c r="AH41" s="4">
        <v>1</v>
      </c>
      <c r="AI41" s="4">
        <v>1</v>
      </c>
      <c r="AJ41" s="4">
        <v>1</v>
      </c>
      <c r="AK41" s="4">
        <v>1</v>
      </c>
      <c r="AL41" s="4">
        <v>1</v>
      </c>
      <c r="AM41" s="4">
        <v>1</v>
      </c>
      <c r="AN41" s="4" t="s">
        <v>140</v>
      </c>
      <c r="AO41" s="4">
        <v>1</v>
      </c>
      <c r="AP41" s="4">
        <v>1</v>
      </c>
      <c r="AQ41" s="4">
        <v>1</v>
      </c>
      <c r="AR41" s="4" t="s">
        <v>140</v>
      </c>
      <c r="AS41" s="4">
        <v>1</v>
      </c>
      <c r="AT41" s="4" t="s">
        <v>565</v>
      </c>
    </row>
    <row r="42" spans="1:46" x14ac:dyDescent="0.2">
      <c r="A42" s="4">
        <f t="shared" si="2"/>
        <v>3</v>
      </c>
      <c r="B42" s="4">
        <f t="shared" si="3"/>
        <v>1</v>
      </c>
      <c r="C42" s="13" t="str">
        <f>VLOOKUP(B42,Correspondance!$D$3:$E$14,2,FALSE)</f>
        <v>Janvier</v>
      </c>
      <c r="D42" s="1" t="s">
        <v>568</v>
      </c>
      <c r="E42" s="2" t="s">
        <v>40</v>
      </c>
      <c r="F42" s="3" t="s">
        <v>52</v>
      </c>
      <c r="G42" s="4" t="s">
        <v>53</v>
      </c>
      <c r="H42" s="4" t="s">
        <v>54</v>
      </c>
      <c r="I42" s="5" t="s">
        <v>57</v>
      </c>
      <c r="J42" s="6">
        <v>100</v>
      </c>
      <c r="K42" s="4" t="s">
        <v>576</v>
      </c>
      <c r="L42" s="4" t="s">
        <v>114</v>
      </c>
      <c r="M42" s="4" t="s">
        <v>175</v>
      </c>
      <c r="N42" s="4" t="s">
        <v>577</v>
      </c>
      <c r="O42" s="4" t="s">
        <v>49</v>
      </c>
      <c r="P42" s="4">
        <v>1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140</v>
      </c>
      <c r="AE42" s="4">
        <v>1</v>
      </c>
      <c r="AF42" s="4">
        <v>1</v>
      </c>
      <c r="AG42" s="4">
        <v>1</v>
      </c>
      <c r="AH42" s="4">
        <v>1</v>
      </c>
      <c r="AI42" s="4">
        <v>1</v>
      </c>
      <c r="AJ42" s="4">
        <v>1</v>
      </c>
      <c r="AK42" s="4">
        <v>1</v>
      </c>
      <c r="AL42" s="4">
        <v>1</v>
      </c>
      <c r="AM42" s="4">
        <v>1</v>
      </c>
      <c r="AN42" s="4" t="s">
        <v>140</v>
      </c>
      <c r="AO42" s="4">
        <v>1</v>
      </c>
      <c r="AP42" s="4">
        <v>1</v>
      </c>
      <c r="AQ42" s="4">
        <v>1</v>
      </c>
      <c r="AR42" s="4" t="s">
        <v>140</v>
      </c>
      <c r="AS42" s="4">
        <v>1</v>
      </c>
      <c r="AT42" s="4" t="s">
        <v>565</v>
      </c>
    </row>
    <row r="43" spans="1:46" x14ac:dyDescent="0.2">
      <c r="A43" s="4">
        <f t="shared" si="2"/>
        <v>3</v>
      </c>
      <c r="B43" s="4">
        <f t="shared" si="3"/>
        <v>1</v>
      </c>
      <c r="C43" s="13" t="str">
        <f>VLOOKUP(B43,Correspondance!$D$3:$E$14,2,FALSE)</f>
        <v>Janvier</v>
      </c>
      <c r="D43" s="1" t="s">
        <v>568</v>
      </c>
      <c r="E43" s="2" t="s">
        <v>40</v>
      </c>
      <c r="F43" s="3" t="s">
        <v>61</v>
      </c>
      <c r="G43" s="4" t="s">
        <v>130</v>
      </c>
      <c r="H43" s="4" t="s">
        <v>131</v>
      </c>
      <c r="I43" s="5" t="s">
        <v>61</v>
      </c>
      <c r="J43" s="6">
        <v>89</v>
      </c>
      <c r="K43" s="4" t="s">
        <v>578</v>
      </c>
      <c r="L43" s="4" t="s">
        <v>114</v>
      </c>
      <c r="M43" s="4" t="s">
        <v>74</v>
      </c>
      <c r="N43" s="4" t="s">
        <v>77</v>
      </c>
      <c r="O43" s="4" t="s">
        <v>49</v>
      </c>
      <c r="P43" s="4">
        <v>1</v>
      </c>
      <c r="Q43" s="4" t="s">
        <v>140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140</v>
      </c>
      <c r="AE43" s="4">
        <v>1</v>
      </c>
      <c r="AF43" s="4">
        <v>0</v>
      </c>
      <c r="AG43" s="4">
        <v>1</v>
      </c>
      <c r="AH43" s="4">
        <v>1</v>
      </c>
      <c r="AI43" s="4">
        <v>1</v>
      </c>
      <c r="AJ43" s="4" t="s">
        <v>140</v>
      </c>
      <c r="AK43" s="4">
        <v>0</v>
      </c>
      <c r="AL43" s="4">
        <v>1</v>
      </c>
      <c r="AM43" s="4">
        <v>1</v>
      </c>
      <c r="AN43" s="4" t="s">
        <v>140</v>
      </c>
      <c r="AO43" s="4">
        <v>1</v>
      </c>
      <c r="AP43" s="4">
        <v>1</v>
      </c>
      <c r="AQ43" s="4">
        <v>0</v>
      </c>
      <c r="AR43" s="4" t="s">
        <v>140</v>
      </c>
      <c r="AS43" s="4">
        <v>1</v>
      </c>
      <c r="AT43" s="4"/>
    </row>
    <row r="44" spans="1:46" x14ac:dyDescent="0.2">
      <c r="A44" s="4">
        <f t="shared" si="2"/>
        <v>3</v>
      </c>
      <c r="B44" s="4">
        <f t="shared" si="3"/>
        <v>1</v>
      </c>
      <c r="C44" s="13" t="str">
        <f>VLOOKUP(B44,Correspondance!$D$3:$E$14,2,FALSE)</f>
        <v>Janvier</v>
      </c>
      <c r="D44" s="1" t="s">
        <v>568</v>
      </c>
      <c r="E44" s="2" t="s">
        <v>40</v>
      </c>
      <c r="F44" s="3" t="s">
        <v>61</v>
      </c>
      <c r="G44" s="4" t="s">
        <v>130</v>
      </c>
      <c r="H44" s="4" t="s">
        <v>131</v>
      </c>
      <c r="I44" s="5" t="s">
        <v>61</v>
      </c>
      <c r="J44" s="6">
        <v>100</v>
      </c>
      <c r="K44" s="4"/>
      <c r="L44" s="4" t="s">
        <v>66</v>
      </c>
      <c r="M44" s="4" t="s">
        <v>74</v>
      </c>
      <c r="N44" s="4" t="s">
        <v>579</v>
      </c>
      <c r="O44" s="4" t="s">
        <v>49</v>
      </c>
      <c r="P44" s="4">
        <v>1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140</v>
      </c>
      <c r="AE44" s="4">
        <v>1</v>
      </c>
      <c r="AF44" s="4">
        <v>1</v>
      </c>
      <c r="AG44" s="4">
        <v>1</v>
      </c>
      <c r="AH44" s="4">
        <v>1</v>
      </c>
      <c r="AI44" s="4">
        <v>1</v>
      </c>
      <c r="AJ44" s="4">
        <v>1</v>
      </c>
      <c r="AK44" s="4">
        <v>1</v>
      </c>
      <c r="AL44" s="4">
        <v>1</v>
      </c>
      <c r="AM44" s="4">
        <v>1</v>
      </c>
      <c r="AN44" s="4" t="s">
        <v>140</v>
      </c>
      <c r="AO44" s="4">
        <v>1</v>
      </c>
      <c r="AP44" s="4">
        <v>1</v>
      </c>
      <c r="AQ44" s="4">
        <v>1</v>
      </c>
      <c r="AR44" s="4">
        <v>1</v>
      </c>
      <c r="AS44" s="4">
        <v>1</v>
      </c>
      <c r="AT44" s="4"/>
    </row>
    <row r="45" spans="1:46" x14ac:dyDescent="0.2">
      <c r="A45" s="4">
        <f t="shared" si="2"/>
        <v>3</v>
      </c>
      <c r="B45" s="4">
        <f t="shared" si="3"/>
        <v>1</v>
      </c>
      <c r="C45" s="13" t="str">
        <f>VLOOKUP(B45,Correspondance!$D$3:$E$14,2,FALSE)</f>
        <v>Janvier</v>
      </c>
      <c r="D45" s="1" t="s">
        <v>568</v>
      </c>
      <c r="E45" s="2" t="s">
        <v>40</v>
      </c>
      <c r="F45" s="3" t="s">
        <v>61</v>
      </c>
      <c r="G45" s="4" t="s">
        <v>62</v>
      </c>
      <c r="H45" s="4" t="s">
        <v>63</v>
      </c>
      <c r="I45" s="5" t="s">
        <v>61</v>
      </c>
      <c r="J45" s="6">
        <v>93.25</v>
      </c>
      <c r="K45" s="4" t="s">
        <v>580</v>
      </c>
      <c r="L45" s="4" t="s">
        <v>66</v>
      </c>
      <c r="M45" s="4" t="s">
        <v>47</v>
      </c>
      <c r="N45" s="4" t="s">
        <v>551</v>
      </c>
      <c r="O45" s="4" t="s">
        <v>49</v>
      </c>
      <c r="P45" s="4">
        <v>1</v>
      </c>
      <c r="Q45" s="4">
        <v>0</v>
      </c>
      <c r="R45" s="4">
        <v>1</v>
      </c>
      <c r="S45" s="4">
        <v>1</v>
      </c>
      <c r="T45" s="4">
        <v>1</v>
      </c>
      <c r="U45" s="4">
        <v>0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140</v>
      </c>
      <c r="AE45" s="4">
        <v>1</v>
      </c>
      <c r="AF45" s="4">
        <v>1</v>
      </c>
      <c r="AG45" s="4">
        <v>1</v>
      </c>
      <c r="AH45" s="4">
        <v>1</v>
      </c>
      <c r="AI45" s="4">
        <v>1</v>
      </c>
      <c r="AJ45" s="4" t="s">
        <v>140</v>
      </c>
      <c r="AK45" s="4">
        <v>1</v>
      </c>
      <c r="AL45" s="4">
        <v>1</v>
      </c>
      <c r="AM45" s="4">
        <v>1</v>
      </c>
      <c r="AN45" s="4" t="s">
        <v>140</v>
      </c>
      <c r="AO45" s="4">
        <v>1</v>
      </c>
      <c r="AP45" s="4">
        <v>1</v>
      </c>
      <c r="AQ45" s="4">
        <v>1</v>
      </c>
      <c r="AR45" s="4" t="s">
        <v>140</v>
      </c>
      <c r="AS45" s="4">
        <v>1</v>
      </c>
      <c r="AT45" s="4" t="s">
        <v>561</v>
      </c>
    </row>
    <row r="46" spans="1:46" x14ac:dyDescent="0.2">
      <c r="A46" s="4">
        <f t="shared" si="2"/>
        <v>3</v>
      </c>
      <c r="B46" s="4">
        <f t="shared" si="3"/>
        <v>1</v>
      </c>
      <c r="C46" s="13" t="str">
        <f>VLOOKUP(B46,Correspondance!$D$3:$E$14,2,FALSE)</f>
        <v>Janvier</v>
      </c>
      <c r="D46" s="1" t="s">
        <v>568</v>
      </c>
      <c r="E46" s="2" t="s">
        <v>40</v>
      </c>
      <c r="F46" s="3" t="s">
        <v>61</v>
      </c>
      <c r="G46" s="4" t="s">
        <v>342</v>
      </c>
      <c r="H46" s="4" t="s">
        <v>343</v>
      </c>
      <c r="I46" s="5" t="s">
        <v>57</v>
      </c>
      <c r="J46" s="6">
        <v>100</v>
      </c>
      <c r="K46" s="4" t="s">
        <v>581</v>
      </c>
      <c r="L46" s="4" t="s">
        <v>114</v>
      </c>
      <c r="M46" s="4" t="s">
        <v>175</v>
      </c>
      <c r="N46" s="4" t="s">
        <v>570</v>
      </c>
      <c r="O46" s="4" t="s">
        <v>49</v>
      </c>
      <c r="P46" s="4">
        <v>1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140</v>
      </c>
      <c r="AE46" s="4">
        <v>1</v>
      </c>
      <c r="AF46" s="4">
        <v>1</v>
      </c>
      <c r="AG46" s="4">
        <v>1</v>
      </c>
      <c r="AH46" s="4">
        <v>1</v>
      </c>
      <c r="AI46" s="4">
        <v>1</v>
      </c>
      <c r="AJ46" s="4">
        <v>1</v>
      </c>
      <c r="AK46" s="4">
        <v>1</v>
      </c>
      <c r="AL46" s="4">
        <v>1</v>
      </c>
      <c r="AM46" s="4">
        <v>1</v>
      </c>
      <c r="AN46" s="4" t="s">
        <v>140</v>
      </c>
      <c r="AO46" s="4">
        <v>1</v>
      </c>
      <c r="AP46" s="4">
        <v>1</v>
      </c>
      <c r="AQ46" s="4">
        <v>1</v>
      </c>
      <c r="AR46" s="4" t="s">
        <v>140</v>
      </c>
      <c r="AS46" s="4">
        <v>1</v>
      </c>
      <c r="AT46" s="4" t="s">
        <v>565</v>
      </c>
    </row>
    <row r="47" spans="1:46" x14ac:dyDescent="0.2">
      <c r="A47" s="4">
        <f t="shared" si="2"/>
        <v>3</v>
      </c>
      <c r="B47" s="4">
        <f t="shared" si="3"/>
        <v>1</v>
      </c>
      <c r="C47" s="13" t="str">
        <f>VLOOKUP(B47,Correspondance!$D$3:$E$14,2,FALSE)</f>
        <v>Janvier</v>
      </c>
      <c r="D47" s="1" t="s">
        <v>568</v>
      </c>
      <c r="E47" s="2" t="s">
        <v>40</v>
      </c>
      <c r="F47" s="3" t="s">
        <v>61</v>
      </c>
      <c r="G47" s="4" t="s">
        <v>342</v>
      </c>
      <c r="H47" s="4" t="s">
        <v>343</v>
      </c>
      <c r="I47" s="5" t="s">
        <v>57</v>
      </c>
      <c r="J47" s="6">
        <v>100</v>
      </c>
      <c r="K47" s="4" t="s">
        <v>582</v>
      </c>
      <c r="L47" s="4" t="s">
        <v>114</v>
      </c>
      <c r="M47" s="4" t="s">
        <v>175</v>
      </c>
      <c r="N47" s="4" t="s">
        <v>503</v>
      </c>
      <c r="O47" s="4" t="s">
        <v>49</v>
      </c>
      <c r="P47" s="4">
        <v>1</v>
      </c>
      <c r="Q47" s="4">
        <v>1</v>
      </c>
      <c r="R47" s="4">
        <v>1</v>
      </c>
      <c r="S47" s="4">
        <v>1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1</v>
      </c>
      <c r="AC47" s="4">
        <v>1</v>
      </c>
      <c r="AD47" s="4" t="s">
        <v>140</v>
      </c>
      <c r="AE47" s="4">
        <v>1</v>
      </c>
      <c r="AF47" s="4">
        <v>1</v>
      </c>
      <c r="AG47" s="4">
        <v>1</v>
      </c>
      <c r="AH47" s="4">
        <v>1</v>
      </c>
      <c r="AI47" s="4">
        <v>1</v>
      </c>
      <c r="AJ47" s="4" t="s">
        <v>140</v>
      </c>
      <c r="AK47" s="4">
        <v>1</v>
      </c>
      <c r="AL47" s="4">
        <v>1</v>
      </c>
      <c r="AM47" s="4">
        <v>1</v>
      </c>
      <c r="AN47" s="4" t="s">
        <v>140</v>
      </c>
      <c r="AO47" s="4">
        <v>1</v>
      </c>
      <c r="AP47" s="4">
        <v>1</v>
      </c>
      <c r="AQ47" s="4">
        <v>1</v>
      </c>
      <c r="AR47" s="4" t="s">
        <v>140</v>
      </c>
      <c r="AS47" s="4">
        <v>1</v>
      </c>
      <c r="AT47" s="4" t="s">
        <v>565</v>
      </c>
    </row>
    <row r="48" spans="1:46" x14ac:dyDescent="0.2">
      <c r="A48" s="4">
        <f t="shared" si="2"/>
        <v>3</v>
      </c>
      <c r="B48" s="4">
        <f t="shared" si="3"/>
        <v>1</v>
      </c>
      <c r="C48" s="13" t="str">
        <f>VLOOKUP(B48,Correspondance!$D$3:$E$14,2,FALSE)</f>
        <v>Janvier</v>
      </c>
      <c r="D48" s="1" t="s">
        <v>568</v>
      </c>
      <c r="E48" s="2" t="s">
        <v>40</v>
      </c>
      <c r="F48" s="3" t="s">
        <v>61</v>
      </c>
      <c r="G48" s="4" t="s">
        <v>505</v>
      </c>
      <c r="H48" s="4" t="s">
        <v>506</v>
      </c>
      <c r="I48" s="5" t="s">
        <v>61</v>
      </c>
      <c r="J48" s="6">
        <v>92.2</v>
      </c>
      <c r="K48" s="4" t="s">
        <v>583</v>
      </c>
      <c r="L48" s="4" t="s">
        <v>66</v>
      </c>
      <c r="M48" s="4" t="s">
        <v>47</v>
      </c>
      <c r="N48" s="4" t="s">
        <v>493</v>
      </c>
      <c r="O48" s="4" t="s">
        <v>49</v>
      </c>
      <c r="P48" s="4">
        <v>1</v>
      </c>
      <c r="Q48" s="4">
        <v>1</v>
      </c>
      <c r="R48" s="4">
        <v>1</v>
      </c>
      <c r="S48" s="4">
        <v>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0</v>
      </c>
      <c r="Z48" s="4">
        <v>1</v>
      </c>
      <c r="AA48" s="4">
        <v>1</v>
      </c>
      <c r="AB48" s="4">
        <v>1</v>
      </c>
      <c r="AC48" s="4">
        <v>1</v>
      </c>
      <c r="AD48" s="4" t="s">
        <v>140</v>
      </c>
      <c r="AE48" s="4">
        <v>1</v>
      </c>
      <c r="AF48" s="4">
        <v>1</v>
      </c>
      <c r="AG48" s="4">
        <v>1</v>
      </c>
      <c r="AH48" s="4">
        <v>1</v>
      </c>
      <c r="AI48" s="4">
        <v>1</v>
      </c>
      <c r="AJ48" s="4">
        <v>1</v>
      </c>
      <c r="AK48" s="4">
        <v>0</v>
      </c>
      <c r="AL48" s="4">
        <v>1</v>
      </c>
      <c r="AM48" s="4">
        <v>1</v>
      </c>
      <c r="AN48" s="4" t="s">
        <v>140</v>
      </c>
      <c r="AO48" s="4">
        <v>1</v>
      </c>
      <c r="AP48" s="4">
        <v>1</v>
      </c>
      <c r="AQ48" s="4">
        <v>0</v>
      </c>
      <c r="AR48" s="4" t="s">
        <v>140</v>
      </c>
      <c r="AS48" s="4">
        <v>1</v>
      </c>
      <c r="AT48" s="4" t="s">
        <v>567</v>
      </c>
    </row>
    <row r="49" spans="1:46" x14ac:dyDescent="0.2">
      <c r="A49" s="4">
        <f t="shared" si="2"/>
        <v>3</v>
      </c>
      <c r="B49" s="4">
        <f t="shared" si="3"/>
        <v>1</v>
      </c>
      <c r="C49" s="13" t="str">
        <f>VLOOKUP(B49,Correspondance!$D$3:$E$14,2,FALSE)</f>
        <v>Janvier</v>
      </c>
      <c r="D49" s="1" t="s">
        <v>568</v>
      </c>
      <c r="E49" s="2" t="s">
        <v>40</v>
      </c>
      <c r="F49" s="3" t="s">
        <v>61</v>
      </c>
      <c r="G49" s="4" t="s">
        <v>505</v>
      </c>
      <c r="H49" s="4" t="s">
        <v>506</v>
      </c>
      <c r="I49" s="5" t="s">
        <v>61</v>
      </c>
      <c r="J49" s="6">
        <v>100</v>
      </c>
      <c r="K49" s="4" t="s">
        <v>584</v>
      </c>
      <c r="L49" s="4" t="s">
        <v>66</v>
      </c>
      <c r="M49" s="4" t="s">
        <v>47</v>
      </c>
      <c r="N49" s="4" t="s">
        <v>585</v>
      </c>
      <c r="O49" s="4" t="s">
        <v>49</v>
      </c>
      <c r="P49" s="4">
        <v>1</v>
      </c>
      <c r="Q49" s="4" t="s">
        <v>140</v>
      </c>
      <c r="R49" s="4">
        <v>1</v>
      </c>
      <c r="S49" s="4">
        <v>1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1</v>
      </c>
      <c r="AC49" s="4">
        <v>1</v>
      </c>
      <c r="AD49" s="4" t="s">
        <v>140</v>
      </c>
      <c r="AE49" s="4">
        <v>1</v>
      </c>
      <c r="AF49" s="4">
        <v>1</v>
      </c>
      <c r="AG49" s="4">
        <v>1</v>
      </c>
      <c r="AH49" s="4">
        <v>1</v>
      </c>
      <c r="AI49" s="4">
        <v>1</v>
      </c>
      <c r="AJ49" s="4" t="s">
        <v>140</v>
      </c>
      <c r="AK49" s="4">
        <v>1</v>
      </c>
      <c r="AL49" s="4">
        <v>1</v>
      </c>
      <c r="AM49" s="4">
        <v>1</v>
      </c>
      <c r="AN49" s="4" t="s">
        <v>140</v>
      </c>
      <c r="AO49" s="4">
        <v>1</v>
      </c>
      <c r="AP49" s="4">
        <v>1</v>
      </c>
      <c r="AQ49" s="4">
        <v>1</v>
      </c>
      <c r="AR49" s="4">
        <v>1</v>
      </c>
      <c r="AS49" s="4">
        <v>1</v>
      </c>
      <c r="AT49" s="4" t="s">
        <v>567</v>
      </c>
    </row>
    <row r="50" spans="1:46" x14ac:dyDescent="0.2">
      <c r="A50" s="4">
        <f t="shared" si="2"/>
        <v>3</v>
      </c>
      <c r="B50" s="4">
        <f t="shared" si="3"/>
        <v>1</v>
      </c>
      <c r="C50" s="13" t="str">
        <f>VLOOKUP(B50,Correspondance!$D$3:$E$14,2,FALSE)</f>
        <v>Janvier</v>
      </c>
      <c r="D50" s="1" t="s">
        <v>586</v>
      </c>
      <c r="E50" s="2" t="s">
        <v>40</v>
      </c>
      <c r="F50" s="3" t="s">
        <v>41</v>
      </c>
      <c r="G50" s="4" t="s">
        <v>42</v>
      </c>
      <c r="H50" s="4" t="s">
        <v>43</v>
      </c>
      <c r="I50" s="5" t="s">
        <v>57</v>
      </c>
      <c r="J50" s="6">
        <v>96.25</v>
      </c>
      <c r="K50" s="4" t="s">
        <v>587</v>
      </c>
      <c r="L50" s="4" t="s">
        <v>114</v>
      </c>
      <c r="M50" s="4" t="s">
        <v>74</v>
      </c>
      <c r="N50" s="4" t="s">
        <v>588</v>
      </c>
      <c r="O50" s="4" t="s">
        <v>49</v>
      </c>
      <c r="P50" s="4">
        <v>1</v>
      </c>
      <c r="Q50" s="4">
        <v>1</v>
      </c>
      <c r="R50" s="4">
        <v>1</v>
      </c>
      <c r="S50" s="4">
        <v>1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 t="s">
        <v>140</v>
      </c>
      <c r="AE50" s="4">
        <v>0</v>
      </c>
      <c r="AF50" s="4">
        <v>1</v>
      </c>
      <c r="AG50" s="4">
        <v>1</v>
      </c>
      <c r="AH50" s="4">
        <v>1</v>
      </c>
      <c r="AI50" s="4">
        <v>1</v>
      </c>
      <c r="AJ50" s="4">
        <v>1</v>
      </c>
      <c r="AK50" s="4">
        <v>1</v>
      </c>
      <c r="AL50" s="4">
        <v>1</v>
      </c>
      <c r="AM50" s="4">
        <v>1</v>
      </c>
      <c r="AN50" s="4" t="s">
        <v>140</v>
      </c>
      <c r="AO50" s="4">
        <v>1</v>
      </c>
      <c r="AP50" s="4">
        <v>1</v>
      </c>
      <c r="AQ50" s="4">
        <v>1</v>
      </c>
      <c r="AR50" s="4">
        <v>1</v>
      </c>
      <c r="AS50" s="4">
        <v>1</v>
      </c>
      <c r="AT50" s="4" t="s">
        <v>565</v>
      </c>
    </row>
    <row r="51" spans="1:46" x14ac:dyDescent="0.2">
      <c r="A51" s="4">
        <f t="shared" si="2"/>
        <v>3</v>
      </c>
      <c r="B51" s="4">
        <f t="shared" si="3"/>
        <v>1</v>
      </c>
      <c r="C51" s="13" t="str">
        <f>VLOOKUP(B51,Correspondance!$D$3:$E$14,2,FALSE)</f>
        <v>Janvier</v>
      </c>
      <c r="D51" s="1" t="s">
        <v>586</v>
      </c>
      <c r="E51" s="2" t="s">
        <v>40</v>
      </c>
      <c r="F51" s="3" t="s">
        <v>52</v>
      </c>
      <c r="G51" s="4" t="s">
        <v>135</v>
      </c>
      <c r="H51" s="4" t="s">
        <v>136</v>
      </c>
      <c r="I51" s="5" t="s">
        <v>57</v>
      </c>
      <c r="J51" s="6">
        <v>84</v>
      </c>
      <c r="K51" s="4" t="s">
        <v>589</v>
      </c>
      <c r="L51" s="4" t="s">
        <v>46</v>
      </c>
      <c r="M51" s="4" t="s">
        <v>47</v>
      </c>
      <c r="N51" s="4" t="s">
        <v>1065</v>
      </c>
      <c r="O51" s="4" t="s">
        <v>49</v>
      </c>
      <c r="P51" s="4">
        <v>1</v>
      </c>
      <c r="Q51" s="4">
        <v>1</v>
      </c>
      <c r="R51" s="4">
        <v>1</v>
      </c>
      <c r="S51" s="4">
        <v>1</v>
      </c>
      <c r="T51" s="4">
        <v>0</v>
      </c>
      <c r="U51" s="4" t="s">
        <v>140</v>
      </c>
      <c r="V51" s="4">
        <v>1</v>
      </c>
      <c r="W51" s="4">
        <v>1</v>
      </c>
      <c r="X51" s="4">
        <v>0</v>
      </c>
      <c r="Y51" s="4">
        <v>1</v>
      </c>
      <c r="Z51" s="4">
        <v>1</v>
      </c>
      <c r="AA51" s="4">
        <v>0</v>
      </c>
      <c r="AB51" s="4">
        <v>1</v>
      </c>
      <c r="AC51" s="4">
        <v>1</v>
      </c>
      <c r="AD51" s="4" t="s">
        <v>140</v>
      </c>
      <c r="AE51" s="4">
        <v>1</v>
      </c>
      <c r="AF51" s="4">
        <v>1</v>
      </c>
      <c r="AG51" s="4">
        <v>1</v>
      </c>
      <c r="AH51" s="4">
        <v>1</v>
      </c>
      <c r="AI51" s="4" t="s">
        <v>140</v>
      </c>
      <c r="AJ51" s="4">
        <v>1</v>
      </c>
      <c r="AK51" s="4" t="s">
        <v>140</v>
      </c>
      <c r="AL51" s="4">
        <v>1</v>
      </c>
      <c r="AM51" s="4">
        <v>1</v>
      </c>
      <c r="AN51" s="4" t="s">
        <v>140</v>
      </c>
      <c r="AO51" s="4">
        <v>1</v>
      </c>
      <c r="AP51" s="4">
        <v>1</v>
      </c>
      <c r="AQ51" s="4" t="s">
        <v>140</v>
      </c>
      <c r="AR51" s="4">
        <v>1</v>
      </c>
      <c r="AS51" s="4">
        <v>1</v>
      </c>
      <c r="AT51" s="4" t="s">
        <v>564</v>
      </c>
    </row>
    <row r="52" spans="1:46" x14ac:dyDescent="0.2">
      <c r="A52" s="4">
        <f t="shared" si="2"/>
        <v>3</v>
      </c>
      <c r="B52" s="4">
        <f t="shared" si="3"/>
        <v>1</v>
      </c>
      <c r="C52" s="13" t="str">
        <f>VLOOKUP(B52,Correspondance!$D$3:$E$14,2,FALSE)</f>
        <v>Janvier</v>
      </c>
      <c r="D52" s="1" t="s">
        <v>586</v>
      </c>
      <c r="E52" s="2" t="s">
        <v>40</v>
      </c>
      <c r="F52" s="3" t="s">
        <v>52</v>
      </c>
      <c r="G52" s="4" t="s">
        <v>135</v>
      </c>
      <c r="H52" s="4" t="s">
        <v>136</v>
      </c>
      <c r="I52" s="5" t="s">
        <v>52</v>
      </c>
      <c r="J52" s="6">
        <v>88.333333333333329</v>
      </c>
      <c r="K52" s="4" t="s">
        <v>590</v>
      </c>
      <c r="L52" s="4" t="s">
        <v>46</v>
      </c>
      <c r="M52" s="4" t="s">
        <v>47</v>
      </c>
      <c r="N52" s="4" t="s">
        <v>591</v>
      </c>
      <c r="O52" s="4" t="s">
        <v>49</v>
      </c>
      <c r="P52" s="4">
        <v>1</v>
      </c>
      <c r="Q52" s="4">
        <v>1</v>
      </c>
      <c r="R52" s="4">
        <v>1</v>
      </c>
      <c r="S52" s="4">
        <v>1</v>
      </c>
      <c r="T52" s="4">
        <v>0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1</v>
      </c>
      <c r="AC52" s="4">
        <v>1</v>
      </c>
      <c r="AD52" s="4" t="s">
        <v>140</v>
      </c>
      <c r="AE52" s="4">
        <v>1</v>
      </c>
      <c r="AF52" s="4">
        <v>1</v>
      </c>
      <c r="AG52" s="4">
        <v>1</v>
      </c>
      <c r="AH52" s="4">
        <v>1</v>
      </c>
      <c r="AI52" s="4">
        <v>1</v>
      </c>
      <c r="AJ52" s="4">
        <v>1</v>
      </c>
      <c r="AK52" s="4">
        <v>1</v>
      </c>
      <c r="AL52" s="4">
        <v>1</v>
      </c>
      <c r="AM52" s="4">
        <v>1</v>
      </c>
      <c r="AN52" s="4" t="s">
        <v>140</v>
      </c>
      <c r="AO52" s="4">
        <v>1</v>
      </c>
      <c r="AP52" s="4">
        <v>1</v>
      </c>
      <c r="AQ52" s="4">
        <v>1</v>
      </c>
      <c r="AR52" s="4" t="s">
        <v>140</v>
      </c>
      <c r="AS52" s="4">
        <v>0</v>
      </c>
      <c r="AT52" s="4" t="s">
        <v>564</v>
      </c>
    </row>
    <row r="53" spans="1:46" ht="25.5" x14ac:dyDescent="0.2">
      <c r="A53" s="4">
        <f t="shared" si="2"/>
        <v>3</v>
      </c>
      <c r="B53" s="4">
        <f t="shared" si="3"/>
        <v>1</v>
      </c>
      <c r="C53" s="13" t="str">
        <f>VLOOKUP(B53,Correspondance!$D$3:$E$14,2,FALSE)</f>
        <v>Janvier</v>
      </c>
      <c r="D53" s="1" t="s">
        <v>586</v>
      </c>
      <c r="E53" s="2" t="s">
        <v>40</v>
      </c>
      <c r="F53" s="3" t="s">
        <v>52</v>
      </c>
      <c r="G53" s="4" t="s">
        <v>135</v>
      </c>
      <c r="H53" s="4" t="s">
        <v>136</v>
      </c>
      <c r="I53" s="5" t="s">
        <v>57</v>
      </c>
      <c r="J53" s="6">
        <v>90.36666666666666</v>
      </c>
      <c r="K53" s="4" t="s">
        <v>592</v>
      </c>
      <c r="L53" s="4" t="s">
        <v>46</v>
      </c>
      <c r="M53" s="4" t="s">
        <v>47</v>
      </c>
      <c r="N53" s="4" t="s">
        <v>593</v>
      </c>
      <c r="O53" s="4" t="s">
        <v>491</v>
      </c>
      <c r="P53" s="4">
        <v>1</v>
      </c>
      <c r="Q53" s="4">
        <v>1</v>
      </c>
      <c r="R53" s="4">
        <v>1</v>
      </c>
      <c r="S53" s="4">
        <v>1</v>
      </c>
      <c r="T53" s="4">
        <v>0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1</v>
      </c>
      <c r="AC53" s="4">
        <v>1</v>
      </c>
      <c r="AD53" s="4" t="s">
        <v>140</v>
      </c>
      <c r="AE53" s="4">
        <v>1</v>
      </c>
      <c r="AF53" s="4">
        <v>1</v>
      </c>
      <c r="AG53" s="4">
        <v>1</v>
      </c>
      <c r="AH53" s="4">
        <v>0</v>
      </c>
      <c r="AI53" s="4">
        <v>1</v>
      </c>
      <c r="AJ53" s="4" t="s">
        <v>140</v>
      </c>
      <c r="AK53" s="4">
        <v>1</v>
      </c>
      <c r="AL53" s="4">
        <v>1</v>
      </c>
      <c r="AM53" s="4">
        <v>1</v>
      </c>
      <c r="AN53" s="4" t="s">
        <v>140</v>
      </c>
      <c r="AO53" s="4">
        <v>1</v>
      </c>
      <c r="AP53" s="4">
        <v>1</v>
      </c>
      <c r="AQ53" s="4">
        <v>1</v>
      </c>
      <c r="AR53" s="4">
        <v>1</v>
      </c>
      <c r="AS53" s="4">
        <v>1</v>
      </c>
      <c r="AT53" s="4" t="s">
        <v>564</v>
      </c>
    </row>
    <row r="54" spans="1:46" x14ac:dyDescent="0.2">
      <c r="A54" s="4">
        <f t="shared" si="2"/>
        <v>3</v>
      </c>
      <c r="B54" s="4">
        <f t="shared" si="3"/>
        <v>1</v>
      </c>
      <c r="C54" s="13" t="str">
        <f>VLOOKUP(B54,Correspondance!$D$3:$E$14,2,FALSE)</f>
        <v>Janvier</v>
      </c>
      <c r="D54" s="1" t="s">
        <v>586</v>
      </c>
      <c r="E54" s="2" t="s">
        <v>40</v>
      </c>
      <c r="F54" s="3" t="s">
        <v>52</v>
      </c>
      <c r="G54" s="4" t="s">
        <v>93</v>
      </c>
      <c r="H54" s="4" t="s">
        <v>94</v>
      </c>
      <c r="I54" s="5" t="s">
        <v>57</v>
      </c>
      <c r="J54" s="6">
        <v>100</v>
      </c>
      <c r="K54" s="4" t="s">
        <v>594</v>
      </c>
      <c r="L54" s="4" t="s">
        <v>114</v>
      </c>
      <c r="M54" s="4" t="s">
        <v>74</v>
      </c>
      <c r="N54" s="4" t="s">
        <v>595</v>
      </c>
      <c r="O54" s="4" t="s">
        <v>49</v>
      </c>
      <c r="P54" s="4">
        <v>1</v>
      </c>
      <c r="Q54" s="4">
        <v>1</v>
      </c>
      <c r="R54" s="4">
        <v>1</v>
      </c>
      <c r="S54" s="4">
        <v>1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1</v>
      </c>
      <c r="AC54" s="4">
        <v>1</v>
      </c>
      <c r="AD54" s="4" t="s">
        <v>140</v>
      </c>
      <c r="AE54" s="4">
        <v>1</v>
      </c>
      <c r="AF54" s="4">
        <v>1</v>
      </c>
      <c r="AG54" s="4">
        <v>1</v>
      </c>
      <c r="AH54" s="4">
        <v>1</v>
      </c>
      <c r="AI54" s="4">
        <v>1</v>
      </c>
      <c r="AJ54" s="4">
        <v>1</v>
      </c>
      <c r="AK54" s="4">
        <v>1</v>
      </c>
      <c r="AL54" s="4">
        <v>1</v>
      </c>
      <c r="AM54" s="4">
        <v>1</v>
      </c>
      <c r="AN54" s="4" t="s">
        <v>140</v>
      </c>
      <c r="AO54" s="4">
        <v>1</v>
      </c>
      <c r="AP54" s="4">
        <v>1</v>
      </c>
      <c r="AQ54" s="4">
        <v>1</v>
      </c>
      <c r="AR54" s="4">
        <v>1</v>
      </c>
      <c r="AS54" s="4">
        <v>1</v>
      </c>
      <c r="AT54" s="4" t="s">
        <v>586</v>
      </c>
    </row>
    <row r="55" spans="1:46" x14ac:dyDescent="0.2">
      <c r="A55" s="4">
        <f t="shared" si="2"/>
        <v>3</v>
      </c>
      <c r="B55" s="4">
        <f t="shared" si="3"/>
        <v>1</v>
      </c>
      <c r="C55" s="13" t="str">
        <f>VLOOKUP(B55,Correspondance!$D$3:$E$14,2,FALSE)</f>
        <v>Janvier</v>
      </c>
      <c r="D55" s="1" t="s">
        <v>586</v>
      </c>
      <c r="E55" s="2" t="s">
        <v>40</v>
      </c>
      <c r="F55" s="3" t="s">
        <v>52</v>
      </c>
      <c r="G55" s="4" t="s">
        <v>120</v>
      </c>
      <c r="H55" s="4" t="s">
        <v>121</v>
      </c>
      <c r="I55" s="5" t="s">
        <v>57</v>
      </c>
      <c r="J55" s="6">
        <v>76.92307692307692</v>
      </c>
      <c r="K55" s="4" t="s">
        <v>596</v>
      </c>
      <c r="L55" s="4" t="s">
        <v>46</v>
      </c>
      <c r="M55" s="4" t="s">
        <v>47</v>
      </c>
      <c r="N55" s="4" t="s">
        <v>597</v>
      </c>
      <c r="O55" s="4" t="s">
        <v>49</v>
      </c>
      <c r="P55" s="4">
        <v>1</v>
      </c>
      <c r="Q55" s="4" t="s">
        <v>140</v>
      </c>
      <c r="R55" s="4">
        <v>1</v>
      </c>
      <c r="S55" s="4">
        <v>1</v>
      </c>
      <c r="T55" s="4">
        <v>0</v>
      </c>
      <c r="U55" s="4" t="s">
        <v>140</v>
      </c>
      <c r="V55" s="4">
        <v>0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 t="s">
        <v>140</v>
      </c>
      <c r="AC55" s="4">
        <v>0</v>
      </c>
      <c r="AD55" s="4" t="s">
        <v>140</v>
      </c>
      <c r="AE55" s="4" t="s">
        <v>140</v>
      </c>
      <c r="AF55" s="4">
        <v>0</v>
      </c>
      <c r="AG55" s="4" t="s">
        <v>140</v>
      </c>
      <c r="AH55" s="4">
        <v>1</v>
      </c>
      <c r="AI55" s="4">
        <v>1</v>
      </c>
      <c r="AJ55" s="4" t="s">
        <v>140</v>
      </c>
      <c r="AK55" s="4" t="s">
        <v>140</v>
      </c>
      <c r="AL55" s="4" t="s">
        <v>140</v>
      </c>
      <c r="AM55" s="4">
        <v>1</v>
      </c>
      <c r="AN55" s="4" t="s">
        <v>140</v>
      </c>
      <c r="AO55" s="4">
        <v>1</v>
      </c>
      <c r="AP55" s="4" t="s">
        <v>140</v>
      </c>
      <c r="AQ55" s="4">
        <v>1</v>
      </c>
      <c r="AR55" s="4">
        <v>0</v>
      </c>
      <c r="AS55" s="4">
        <v>1</v>
      </c>
      <c r="AT55" s="4" t="s">
        <v>567</v>
      </c>
    </row>
    <row r="56" spans="1:46" x14ac:dyDescent="0.2">
      <c r="A56" s="4">
        <f t="shared" si="2"/>
        <v>3</v>
      </c>
      <c r="B56" s="4">
        <f t="shared" si="3"/>
        <v>1</v>
      </c>
      <c r="C56" s="13" t="str">
        <f>VLOOKUP(B56,Correspondance!$D$3:$E$14,2,FALSE)</f>
        <v>Janvier</v>
      </c>
      <c r="D56" s="1" t="s">
        <v>586</v>
      </c>
      <c r="E56" s="2" t="s">
        <v>40</v>
      </c>
      <c r="F56" s="3" t="s">
        <v>52</v>
      </c>
      <c r="G56" s="4" t="s">
        <v>120</v>
      </c>
      <c r="H56" s="4" t="s">
        <v>121</v>
      </c>
      <c r="I56" s="5" t="s">
        <v>57</v>
      </c>
      <c r="J56" s="6">
        <v>91.2</v>
      </c>
      <c r="K56" s="4" t="s">
        <v>598</v>
      </c>
      <c r="L56" s="4" t="s">
        <v>46</v>
      </c>
      <c r="M56" s="4" t="s">
        <v>47</v>
      </c>
      <c r="N56" s="4" t="s">
        <v>77</v>
      </c>
      <c r="O56" s="4" t="s">
        <v>49</v>
      </c>
      <c r="P56" s="4">
        <v>1</v>
      </c>
      <c r="Q56" s="4">
        <v>1</v>
      </c>
      <c r="R56" s="4">
        <v>1</v>
      </c>
      <c r="S56" s="4">
        <v>1</v>
      </c>
      <c r="T56" s="4">
        <v>0</v>
      </c>
      <c r="U56" s="4">
        <v>1</v>
      </c>
      <c r="V56" s="4">
        <v>1</v>
      </c>
      <c r="W56" s="4">
        <v>1</v>
      </c>
      <c r="X56" s="4">
        <v>1</v>
      </c>
      <c r="Y56" s="4">
        <v>0</v>
      </c>
      <c r="Z56" s="4">
        <v>1</v>
      </c>
      <c r="AA56" s="4">
        <v>1</v>
      </c>
      <c r="AB56" s="4">
        <v>1</v>
      </c>
      <c r="AC56" s="4">
        <v>1</v>
      </c>
      <c r="AD56" s="4" t="s">
        <v>140</v>
      </c>
      <c r="AE56" s="4">
        <v>1</v>
      </c>
      <c r="AF56" s="4">
        <v>1</v>
      </c>
      <c r="AG56" s="4">
        <v>1</v>
      </c>
      <c r="AH56" s="4">
        <v>1</v>
      </c>
      <c r="AI56" s="4">
        <v>1</v>
      </c>
      <c r="AJ56" s="4">
        <v>1</v>
      </c>
      <c r="AK56" s="4">
        <v>1</v>
      </c>
      <c r="AL56" s="4">
        <v>1</v>
      </c>
      <c r="AM56" s="4">
        <v>1</v>
      </c>
      <c r="AN56" s="4" t="s">
        <v>140</v>
      </c>
      <c r="AO56" s="4">
        <v>1</v>
      </c>
      <c r="AP56" s="4">
        <v>1</v>
      </c>
      <c r="AQ56" s="4">
        <v>1</v>
      </c>
      <c r="AR56" s="4">
        <v>1</v>
      </c>
      <c r="AS56" s="4">
        <v>1</v>
      </c>
      <c r="AT56" s="4" t="s">
        <v>567</v>
      </c>
    </row>
    <row r="57" spans="1:46" x14ac:dyDescent="0.2">
      <c r="A57" s="4">
        <f t="shared" si="2"/>
        <v>3</v>
      </c>
      <c r="B57" s="4">
        <f t="shared" si="3"/>
        <v>1</v>
      </c>
      <c r="C57" s="13" t="str">
        <f>VLOOKUP(B57,Correspondance!$D$3:$E$14,2,FALSE)</f>
        <v>Janvier</v>
      </c>
      <c r="D57" s="1" t="s">
        <v>586</v>
      </c>
      <c r="E57" s="2" t="s">
        <v>40</v>
      </c>
      <c r="F57" s="3" t="s">
        <v>52</v>
      </c>
      <c r="G57" s="4" t="s">
        <v>120</v>
      </c>
      <c r="H57" s="4" t="s">
        <v>121</v>
      </c>
      <c r="I57" s="5" t="s">
        <v>57</v>
      </c>
      <c r="J57" s="6">
        <v>94</v>
      </c>
      <c r="K57" s="4" t="s">
        <v>599</v>
      </c>
      <c r="L57" s="4" t="s">
        <v>46</v>
      </c>
      <c r="M57" s="4" t="s">
        <v>47</v>
      </c>
      <c r="N57" s="4" t="s">
        <v>507</v>
      </c>
      <c r="O57" s="4" t="s">
        <v>49</v>
      </c>
      <c r="P57" s="4">
        <v>1</v>
      </c>
      <c r="Q57" s="4">
        <v>1</v>
      </c>
      <c r="R57" s="4">
        <v>1</v>
      </c>
      <c r="S57" s="4">
        <v>1</v>
      </c>
      <c r="T57" s="4">
        <v>1</v>
      </c>
      <c r="U57" s="4">
        <v>1</v>
      </c>
      <c r="V57" s="4">
        <v>1</v>
      </c>
      <c r="W57" s="4">
        <v>0</v>
      </c>
      <c r="X57" s="4">
        <v>1</v>
      </c>
      <c r="Y57" s="4">
        <v>1</v>
      </c>
      <c r="Z57" s="4">
        <v>1</v>
      </c>
      <c r="AA57" s="4">
        <v>1</v>
      </c>
      <c r="AB57" s="4">
        <v>1</v>
      </c>
      <c r="AC57" s="4">
        <v>1</v>
      </c>
      <c r="AD57" s="4" t="s">
        <v>140</v>
      </c>
      <c r="AE57" s="4">
        <v>1</v>
      </c>
      <c r="AF57" s="4">
        <v>1</v>
      </c>
      <c r="AG57" s="4">
        <v>1</v>
      </c>
      <c r="AH57" s="4">
        <v>1</v>
      </c>
      <c r="AI57" s="4">
        <v>1</v>
      </c>
      <c r="AJ57" s="4" t="s">
        <v>140</v>
      </c>
      <c r="AK57" s="4">
        <v>1</v>
      </c>
      <c r="AL57" s="4">
        <v>0</v>
      </c>
      <c r="AM57" s="4">
        <v>1</v>
      </c>
      <c r="AN57" s="4">
        <v>1</v>
      </c>
      <c r="AO57" s="4">
        <v>1</v>
      </c>
      <c r="AP57" s="4">
        <v>1</v>
      </c>
      <c r="AQ57" s="4">
        <v>1</v>
      </c>
      <c r="AR57" s="4" t="s">
        <v>140</v>
      </c>
      <c r="AS57" s="4">
        <v>1</v>
      </c>
      <c r="AT57" s="4" t="s">
        <v>567</v>
      </c>
    </row>
    <row r="58" spans="1:46" x14ac:dyDescent="0.2">
      <c r="A58" s="4">
        <f t="shared" si="2"/>
        <v>3</v>
      </c>
      <c r="B58" s="4">
        <f t="shared" si="3"/>
        <v>1</v>
      </c>
      <c r="C58" s="13" t="str">
        <f>VLOOKUP(B58,Correspondance!$D$3:$E$14,2,FALSE)</f>
        <v>Janvier</v>
      </c>
      <c r="D58" s="1" t="s">
        <v>586</v>
      </c>
      <c r="E58" s="2" t="s">
        <v>40</v>
      </c>
      <c r="F58" s="3" t="s">
        <v>61</v>
      </c>
      <c r="G58" s="4" t="s">
        <v>101</v>
      </c>
      <c r="H58" s="4" t="s">
        <v>102</v>
      </c>
      <c r="I58" s="5" t="s">
        <v>57</v>
      </c>
      <c r="J58" s="6">
        <v>93</v>
      </c>
      <c r="K58" s="4" t="s">
        <v>600</v>
      </c>
      <c r="L58" s="4" t="s">
        <v>46</v>
      </c>
      <c r="M58" s="4" t="s">
        <v>47</v>
      </c>
      <c r="N58" s="4" t="s">
        <v>328</v>
      </c>
      <c r="O58" s="4" t="s">
        <v>49</v>
      </c>
      <c r="P58" s="4">
        <v>1</v>
      </c>
      <c r="Q58" s="4">
        <v>1</v>
      </c>
      <c r="R58" s="4">
        <v>1</v>
      </c>
      <c r="S58" s="4">
        <v>1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>
        <v>1</v>
      </c>
      <c r="AA58" s="4">
        <v>1</v>
      </c>
      <c r="AB58" s="4">
        <v>1</v>
      </c>
      <c r="AC58" s="4">
        <v>1</v>
      </c>
      <c r="AD58" s="4" t="s">
        <v>140</v>
      </c>
      <c r="AE58" s="4">
        <v>1</v>
      </c>
      <c r="AF58" s="4">
        <v>0</v>
      </c>
      <c r="AG58" s="4">
        <v>1</v>
      </c>
      <c r="AH58" s="4">
        <v>1</v>
      </c>
      <c r="AI58" s="4">
        <v>1</v>
      </c>
      <c r="AJ58" s="4" t="s">
        <v>140</v>
      </c>
      <c r="AK58" s="4">
        <v>1</v>
      </c>
      <c r="AL58" s="4">
        <v>1</v>
      </c>
      <c r="AM58" s="4">
        <v>1</v>
      </c>
      <c r="AN58" s="4" t="s">
        <v>140</v>
      </c>
      <c r="AO58" s="4">
        <v>1</v>
      </c>
      <c r="AP58" s="4">
        <v>1</v>
      </c>
      <c r="AQ58" s="4">
        <v>1</v>
      </c>
      <c r="AR58" s="4" t="s">
        <v>140</v>
      </c>
      <c r="AS58" s="4">
        <v>1</v>
      </c>
      <c r="AT58" s="4" t="s">
        <v>567</v>
      </c>
    </row>
    <row r="59" spans="1:46" x14ac:dyDescent="0.2">
      <c r="A59" s="4">
        <f t="shared" si="2"/>
        <v>3</v>
      </c>
      <c r="B59" s="4">
        <f t="shared" si="3"/>
        <v>1</v>
      </c>
      <c r="C59" s="13" t="str">
        <f>VLOOKUP(B59,Correspondance!$D$3:$E$14,2,FALSE)</f>
        <v>Janvier</v>
      </c>
      <c r="D59" s="1" t="s">
        <v>586</v>
      </c>
      <c r="E59" s="2" t="s">
        <v>40</v>
      </c>
      <c r="F59" s="3" t="s">
        <v>61</v>
      </c>
      <c r="G59" s="4" t="s">
        <v>130</v>
      </c>
      <c r="H59" s="4" t="s">
        <v>131</v>
      </c>
      <c r="I59" s="5" t="s">
        <v>61</v>
      </c>
      <c r="J59" s="6">
        <v>82.61666666666666</v>
      </c>
      <c r="K59" s="4" t="s">
        <v>601</v>
      </c>
      <c r="L59" s="4" t="s">
        <v>114</v>
      </c>
      <c r="M59" s="4" t="s">
        <v>74</v>
      </c>
      <c r="N59" s="4" t="s">
        <v>602</v>
      </c>
      <c r="O59" s="4" t="s">
        <v>49</v>
      </c>
      <c r="P59" s="4">
        <v>1</v>
      </c>
      <c r="Q59" s="4">
        <v>1</v>
      </c>
      <c r="R59" s="4">
        <v>1</v>
      </c>
      <c r="S59" s="4">
        <v>1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1</v>
      </c>
      <c r="AC59" s="4">
        <v>1</v>
      </c>
      <c r="AD59" s="4" t="s">
        <v>140</v>
      </c>
      <c r="AE59" s="4">
        <v>0</v>
      </c>
      <c r="AF59" s="4">
        <v>0</v>
      </c>
      <c r="AG59" s="4">
        <v>1</v>
      </c>
      <c r="AH59" s="4">
        <v>0</v>
      </c>
      <c r="AI59" s="4">
        <v>1</v>
      </c>
      <c r="AJ59" s="4" t="s">
        <v>140</v>
      </c>
      <c r="AK59" s="4">
        <v>0</v>
      </c>
      <c r="AL59" s="4">
        <v>1</v>
      </c>
      <c r="AM59" s="4">
        <v>1</v>
      </c>
      <c r="AN59" s="4" t="s">
        <v>140</v>
      </c>
      <c r="AO59" s="4">
        <v>1</v>
      </c>
      <c r="AP59" s="4">
        <v>1</v>
      </c>
      <c r="AQ59" s="4">
        <v>0</v>
      </c>
      <c r="AR59" s="4">
        <v>1</v>
      </c>
      <c r="AS59" s="4">
        <v>1</v>
      </c>
      <c r="AT59" s="4"/>
    </row>
    <row r="60" spans="1:46" x14ac:dyDescent="0.2">
      <c r="A60" s="4">
        <f t="shared" si="2"/>
        <v>3</v>
      </c>
      <c r="B60" s="4">
        <f t="shared" si="3"/>
        <v>1</v>
      </c>
      <c r="C60" s="13" t="str">
        <f>VLOOKUP(B60,Correspondance!$D$3:$E$14,2,FALSE)</f>
        <v>Janvier</v>
      </c>
      <c r="D60" s="1" t="s">
        <v>586</v>
      </c>
      <c r="E60" s="2" t="s">
        <v>40</v>
      </c>
      <c r="F60" s="3" t="s">
        <v>61</v>
      </c>
      <c r="G60" s="4" t="s">
        <v>62</v>
      </c>
      <c r="H60" s="4" t="s">
        <v>63</v>
      </c>
      <c r="I60" s="5" t="s">
        <v>57</v>
      </c>
      <c r="J60" s="6">
        <v>93.25</v>
      </c>
      <c r="K60" s="4" t="s">
        <v>603</v>
      </c>
      <c r="L60" s="4" t="s">
        <v>46</v>
      </c>
      <c r="M60" s="4" t="s">
        <v>47</v>
      </c>
      <c r="N60" s="4" t="s">
        <v>604</v>
      </c>
      <c r="O60" s="4" t="s">
        <v>49</v>
      </c>
      <c r="P60" s="4">
        <v>1</v>
      </c>
      <c r="Q60" s="4">
        <v>1</v>
      </c>
      <c r="R60" s="4">
        <v>1</v>
      </c>
      <c r="S60" s="4">
        <v>1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>
        <v>1</v>
      </c>
      <c r="Z60" s="4">
        <v>1</v>
      </c>
      <c r="AA60" s="4">
        <v>1</v>
      </c>
      <c r="AB60" s="4">
        <v>0</v>
      </c>
      <c r="AC60" s="4">
        <v>1</v>
      </c>
      <c r="AD60" s="4" t="s">
        <v>140</v>
      </c>
      <c r="AE60" s="4">
        <v>1</v>
      </c>
      <c r="AF60" s="4">
        <v>1</v>
      </c>
      <c r="AG60" s="4">
        <v>1</v>
      </c>
      <c r="AH60" s="4">
        <v>1</v>
      </c>
      <c r="AI60" s="4">
        <v>1</v>
      </c>
      <c r="AJ60" s="4" t="s">
        <v>140</v>
      </c>
      <c r="AK60" s="4">
        <v>1</v>
      </c>
      <c r="AL60" s="4">
        <v>0</v>
      </c>
      <c r="AM60" s="4">
        <v>1</v>
      </c>
      <c r="AN60" s="4" t="s">
        <v>140</v>
      </c>
      <c r="AO60" s="4">
        <v>1</v>
      </c>
      <c r="AP60" s="4">
        <v>1</v>
      </c>
      <c r="AQ60" s="4">
        <v>1</v>
      </c>
      <c r="AR60" s="4">
        <v>1</v>
      </c>
      <c r="AS60" s="4">
        <v>1</v>
      </c>
      <c r="AT60" s="4" t="s">
        <v>562</v>
      </c>
    </row>
    <row r="61" spans="1:46" x14ac:dyDescent="0.2">
      <c r="A61" s="4">
        <f t="shared" si="2"/>
        <v>3</v>
      </c>
      <c r="B61" s="4">
        <f t="shared" si="3"/>
        <v>1</v>
      </c>
      <c r="C61" s="13" t="str">
        <f>VLOOKUP(B61,Correspondance!$D$3:$E$14,2,FALSE)</f>
        <v>Janvier</v>
      </c>
      <c r="D61" s="1" t="s">
        <v>586</v>
      </c>
      <c r="E61" s="2" t="s">
        <v>40</v>
      </c>
      <c r="F61" s="3" t="s">
        <v>61</v>
      </c>
      <c r="G61" s="4" t="s">
        <v>62</v>
      </c>
      <c r="H61" s="4" t="s">
        <v>63</v>
      </c>
      <c r="I61" s="5" t="s">
        <v>57</v>
      </c>
      <c r="J61" s="6">
        <v>94.166666666666671</v>
      </c>
      <c r="K61" s="4" t="s">
        <v>605</v>
      </c>
      <c r="L61" s="4" t="s">
        <v>46</v>
      </c>
      <c r="M61" s="4" t="s">
        <v>47</v>
      </c>
      <c r="N61" s="4" t="s">
        <v>570</v>
      </c>
      <c r="O61" s="4" t="s">
        <v>49</v>
      </c>
      <c r="P61" s="4">
        <v>1</v>
      </c>
      <c r="Q61" s="4">
        <v>1</v>
      </c>
      <c r="R61" s="4">
        <v>1</v>
      </c>
      <c r="S61" s="4">
        <v>1</v>
      </c>
      <c r="T61" s="4">
        <v>0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1</v>
      </c>
      <c r="AC61" s="4">
        <v>1</v>
      </c>
      <c r="AD61" s="4" t="s">
        <v>140</v>
      </c>
      <c r="AE61" s="4">
        <v>1</v>
      </c>
      <c r="AF61" s="4">
        <v>1</v>
      </c>
      <c r="AG61" s="4">
        <v>1</v>
      </c>
      <c r="AH61" s="4">
        <v>1</v>
      </c>
      <c r="AI61" s="4">
        <v>1</v>
      </c>
      <c r="AJ61" s="4" t="s">
        <v>140</v>
      </c>
      <c r="AK61" s="4">
        <v>1</v>
      </c>
      <c r="AL61" s="4">
        <v>1</v>
      </c>
      <c r="AM61" s="4">
        <v>1</v>
      </c>
      <c r="AN61" s="4" t="s">
        <v>140</v>
      </c>
      <c r="AO61" s="4">
        <v>1</v>
      </c>
      <c r="AP61" s="4">
        <v>1</v>
      </c>
      <c r="AQ61" s="4">
        <v>1</v>
      </c>
      <c r="AR61" s="4">
        <v>1</v>
      </c>
      <c r="AS61" s="4">
        <v>1</v>
      </c>
      <c r="AT61" s="4" t="s">
        <v>562</v>
      </c>
    </row>
    <row r="62" spans="1:46" x14ac:dyDescent="0.2">
      <c r="A62" s="4">
        <f t="shared" si="2"/>
        <v>3</v>
      </c>
      <c r="B62" s="4">
        <f t="shared" si="3"/>
        <v>1</v>
      </c>
      <c r="C62" s="13" t="str">
        <f>VLOOKUP(B62,Correspondance!$D$3:$E$14,2,FALSE)</f>
        <v>Janvier</v>
      </c>
      <c r="D62" s="1" t="s">
        <v>586</v>
      </c>
      <c r="E62" s="2" t="s">
        <v>40</v>
      </c>
      <c r="F62" s="3" t="s">
        <v>61</v>
      </c>
      <c r="G62" s="4" t="s">
        <v>505</v>
      </c>
      <c r="H62" s="4" t="s">
        <v>506</v>
      </c>
      <c r="I62" s="5" t="s">
        <v>57</v>
      </c>
      <c r="J62" s="6">
        <v>100</v>
      </c>
      <c r="K62" s="4" t="s">
        <v>606</v>
      </c>
      <c r="L62" s="4" t="s">
        <v>46</v>
      </c>
      <c r="M62" s="4" t="s">
        <v>47</v>
      </c>
      <c r="N62" s="4" t="s">
        <v>607</v>
      </c>
      <c r="O62" s="4" t="s">
        <v>49</v>
      </c>
      <c r="P62" s="4">
        <v>1</v>
      </c>
      <c r="Q62" s="4">
        <v>1</v>
      </c>
      <c r="R62" s="4">
        <v>1</v>
      </c>
      <c r="S62" s="4">
        <v>1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1</v>
      </c>
      <c r="AC62" s="4">
        <v>1</v>
      </c>
      <c r="AD62" s="4" t="s">
        <v>140</v>
      </c>
      <c r="AE62" s="4">
        <v>1</v>
      </c>
      <c r="AF62" s="4">
        <v>1</v>
      </c>
      <c r="AG62" s="4">
        <v>1</v>
      </c>
      <c r="AH62" s="4">
        <v>1</v>
      </c>
      <c r="AI62" s="4">
        <v>1</v>
      </c>
      <c r="AJ62" s="4" t="s">
        <v>140</v>
      </c>
      <c r="AK62" s="4">
        <v>1</v>
      </c>
      <c r="AL62" s="4">
        <v>1</v>
      </c>
      <c r="AM62" s="4">
        <v>1</v>
      </c>
      <c r="AN62" s="4" t="s">
        <v>140</v>
      </c>
      <c r="AO62" s="4">
        <v>1</v>
      </c>
      <c r="AP62" s="4">
        <v>1</v>
      </c>
      <c r="AQ62" s="4">
        <v>1</v>
      </c>
      <c r="AR62" s="4" t="s">
        <v>140</v>
      </c>
      <c r="AS62" s="4">
        <v>1</v>
      </c>
      <c r="AT62" s="4" t="s">
        <v>567</v>
      </c>
    </row>
    <row r="63" spans="1:46" x14ac:dyDescent="0.2">
      <c r="A63" s="4">
        <f t="shared" si="2"/>
        <v>3</v>
      </c>
      <c r="B63" s="4">
        <f t="shared" si="3"/>
        <v>1</v>
      </c>
      <c r="C63" s="13" t="str">
        <f>VLOOKUP(B63,Correspondance!$D$3:$E$14,2,FALSE)</f>
        <v>Janvier</v>
      </c>
      <c r="D63" s="1" t="s">
        <v>564</v>
      </c>
      <c r="E63" s="2" t="s">
        <v>40</v>
      </c>
      <c r="F63" s="3" t="s">
        <v>41</v>
      </c>
      <c r="G63" s="4" t="s">
        <v>89</v>
      </c>
      <c r="H63" s="4" t="s">
        <v>90</v>
      </c>
      <c r="I63" s="5" t="s">
        <v>41</v>
      </c>
      <c r="J63" s="6">
        <v>96.2</v>
      </c>
      <c r="K63" s="4" t="s">
        <v>608</v>
      </c>
      <c r="L63" s="4" t="s">
        <v>66</v>
      </c>
      <c r="M63" s="4" t="s">
        <v>47</v>
      </c>
      <c r="N63" s="4" t="s">
        <v>609</v>
      </c>
      <c r="O63" s="4" t="s">
        <v>49</v>
      </c>
      <c r="P63" s="4">
        <v>0</v>
      </c>
      <c r="Q63" s="4" t="s">
        <v>140</v>
      </c>
      <c r="R63" s="4">
        <v>1</v>
      </c>
      <c r="S63" s="4">
        <v>1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>
        <v>1</v>
      </c>
      <c r="Z63" s="4">
        <v>1</v>
      </c>
      <c r="AA63" s="4">
        <v>1</v>
      </c>
      <c r="AB63" s="4">
        <v>1</v>
      </c>
      <c r="AC63" s="4">
        <v>1</v>
      </c>
      <c r="AD63" s="4" t="s">
        <v>140</v>
      </c>
      <c r="AE63" s="4">
        <v>1</v>
      </c>
      <c r="AF63" s="4">
        <v>1</v>
      </c>
      <c r="AG63" s="4">
        <v>1</v>
      </c>
      <c r="AH63" s="4">
        <v>1</v>
      </c>
      <c r="AI63" s="4">
        <v>1</v>
      </c>
      <c r="AJ63" s="4" t="s">
        <v>140</v>
      </c>
      <c r="AK63" s="4">
        <v>1</v>
      </c>
      <c r="AL63" s="4">
        <v>1</v>
      </c>
      <c r="AM63" s="4">
        <v>1</v>
      </c>
      <c r="AN63" s="4" t="s">
        <v>140</v>
      </c>
      <c r="AO63" s="4">
        <v>1</v>
      </c>
      <c r="AP63" s="4">
        <v>1</v>
      </c>
      <c r="AQ63" s="4">
        <v>1</v>
      </c>
      <c r="AR63" s="4" t="s">
        <v>140</v>
      </c>
      <c r="AS63" s="4" t="s">
        <v>140</v>
      </c>
      <c r="AT63" s="4" t="s">
        <v>563</v>
      </c>
    </row>
    <row r="64" spans="1:46" x14ac:dyDescent="0.2">
      <c r="A64" s="4">
        <f t="shared" si="2"/>
        <v>4</v>
      </c>
      <c r="B64" s="4">
        <f t="shared" si="3"/>
        <v>1</v>
      </c>
      <c r="C64" s="13" t="str">
        <f>VLOOKUP(B64,Correspondance!$D$3:$E$14,2,FALSE)</f>
        <v>Janvier</v>
      </c>
      <c r="D64" s="1" t="s">
        <v>610</v>
      </c>
      <c r="E64" s="2" t="s">
        <v>40</v>
      </c>
      <c r="F64" s="3" t="s">
        <v>41</v>
      </c>
      <c r="G64" s="4" t="s">
        <v>109</v>
      </c>
      <c r="H64" s="4" t="s">
        <v>110</v>
      </c>
      <c r="I64" s="5" t="s">
        <v>57</v>
      </c>
      <c r="J64" s="6">
        <v>77.583333333333329</v>
      </c>
      <c r="K64" s="4" t="s">
        <v>611</v>
      </c>
      <c r="L64" s="4" t="s">
        <v>46</v>
      </c>
      <c r="M64" s="4" t="s">
        <v>47</v>
      </c>
      <c r="N64" s="4" t="s">
        <v>612</v>
      </c>
      <c r="O64" s="4" t="s">
        <v>49</v>
      </c>
      <c r="P64" s="4">
        <v>1</v>
      </c>
      <c r="Q64" s="4">
        <v>0</v>
      </c>
      <c r="R64" s="4">
        <v>1</v>
      </c>
      <c r="S64" s="4">
        <v>1</v>
      </c>
      <c r="T64" s="4">
        <v>0</v>
      </c>
      <c r="U64" s="4">
        <v>0</v>
      </c>
      <c r="V64" s="4">
        <v>1</v>
      </c>
      <c r="W64" s="4">
        <v>1</v>
      </c>
      <c r="X64" s="4">
        <v>1</v>
      </c>
      <c r="Y64" s="4">
        <v>1</v>
      </c>
      <c r="Z64" s="4">
        <v>1</v>
      </c>
      <c r="AA64" s="4">
        <v>1</v>
      </c>
      <c r="AB64" s="4">
        <v>1</v>
      </c>
      <c r="AC64" s="4">
        <v>1</v>
      </c>
      <c r="AD64" s="4" t="s">
        <v>140</v>
      </c>
      <c r="AE64" s="4">
        <v>1</v>
      </c>
      <c r="AF64" s="4">
        <v>1</v>
      </c>
      <c r="AG64" s="4">
        <v>1</v>
      </c>
      <c r="AH64" s="4">
        <v>1</v>
      </c>
      <c r="AI64" s="4">
        <v>1</v>
      </c>
      <c r="AJ64" s="4">
        <v>1</v>
      </c>
      <c r="AK64" s="4">
        <v>0</v>
      </c>
      <c r="AL64" s="4">
        <v>1</v>
      </c>
      <c r="AM64" s="4">
        <v>1</v>
      </c>
      <c r="AN64" s="4" t="s">
        <v>140</v>
      </c>
      <c r="AO64" s="4">
        <v>1</v>
      </c>
      <c r="AP64" s="4">
        <v>1</v>
      </c>
      <c r="AQ64" s="4">
        <v>0</v>
      </c>
      <c r="AR64" s="4" t="s">
        <v>140</v>
      </c>
      <c r="AS64" s="4">
        <v>0</v>
      </c>
      <c r="AT64" s="4" t="s">
        <v>566</v>
      </c>
    </row>
    <row r="65" spans="1:46" x14ac:dyDescent="0.2">
      <c r="A65" s="4">
        <f t="shared" ref="A65:A96" si="4">WEEKNUM(D65)</f>
        <v>4</v>
      </c>
      <c r="B65" s="4">
        <f t="shared" ref="B65:B96" si="5">MONTH(D65)</f>
        <v>1</v>
      </c>
      <c r="C65" s="13" t="str">
        <f>VLOOKUP(B65,Correspondance!$D$3:$E$14,2,FALSE)</f>
        <v>Janvier</v>
      </c>
      <c r="D65" s="1" t="s">
        <v>610</v>
      </c>
      <c r="E65" s="2" t="s">
        <v>40</v>
      </c>
      <c r="F65" s="3" t="s">
        <v>41</v>
      </c>
      <c r="G65" s="4" t="s">
        <v>109</v>
      </c>
      <c r="H65" s="4" t="s">
        <v>110</v>
      </c>
      <c r="I65" s="5" t="s">
        <v>57</v>
      </c>
      <c r="J65" s="6">
        <v>92.166666666666671</v>
      </c>
      <c r="K65" s="4" t="s">
        <v>613</v>
      </c>
      <c r="L65" s="4" t="s">
        <v>46</v>
      </c>
      <c r="M65" s="4" t="s">
        <v>47</v>
      </c>
      <c r="N65" s="4" t="s">
        <v>502</v>
      </c>
      <c r="O65" s="4" t="s">
        <v>49</v>
      </c>
      <c r="P65" s="4">
        <v>1</v>
      </c>
      <c r="Q65" s="4">
        <v>1</v>
      </c>
      <c r="R65" s="4">
        <v>1</v>
      </c>
      <c r="S65" s="4">
        <v>1</v>
      </c>
      <c r="T65" s="4">
        <v>0</v>
      </c>
      <c r="U65" s="4">
        <v>1</v>
      </c>
      <c r="V65" s="4">
        <v>1</v>
      </c>
      <c r="W65" s="4">
        <v>1</v>
      </c>
      <c r="X65" s="4">
        <v>1</v>
      </c>
      <c r="Y65" s="4">
        <v>1</v>
      </c>
      <c r="Z65" s="4">
        <v>1</v>
      </c>
      <c r="AA65" s="4">
        <v>1</v>
      </c>
      <c r="AB65" s="4">
        <v>1</v>
      </c>
      <c r="AC65" s="4">
        <v>1</v>
      </c>
      <c r="AD65" s="4" t="s">
        <v>140</v>
      </c>
      <c r="AE65" s="4">
        <v>1</v>
      </c>
      <c r="AF65" s="4">
        <v>1</v>
      </c>
      <c r="AG65" s="4">
        <v>1</v>
      </c>
      <c r="AH65" s="4">
        <v>1</v>
      </c>
      <c r="AI65" s="4">
        <v>1</v>
      </c>
      <c r="AJ65" s="4" t="s">
        <v>140</v>
      </c>
      <c r="AK65" s="4">
        <v>0</v>
      </c>
      <c r="AL65" s="4">
        <v>1</v>
      </c>
      <c r="AM65" s="4">
        <v>1</v>
      </c>
      <c r="AN65" s="4" t="s">
        <v>140</v>
      </c>
      <c r="AO65" s="4">
        <v>1</v>
      </c>
      <c r="AP65" s="4">
        <v>1</v>
      </c>
      <c r="AQ65" s="4">
        <v>1</v>
      </c>
      <c r="AR65" s="4">
        <v>1</v>
      </c>
      <c r="AS65" s="4">
        <v>1</v>
      </c>
      <c r="AT65" s="4" t="s">
        <v>566</v>
      </c>
    </row>
    <row r="66" spans="1:46" x14ac:dyDescent="0.2">
      <c r="A66" s="4">
        <f t="shared" si="4"/>
        <v>4</v>
      </c>
      <c r="B66" s="4">
        <f t="shared" si="5"/>
        <v>1</v>
      </c>
      <c r="C66" s="13" t="str">
        <f>VLOOKUP(B66,Correspondance!$D$3:$E$14,2,FALSE)</f>
        <v>Janvier</v>
      </c>
      <c r="D66" s="1" t="s">
        <v>610</v>
      </c>
      <c r="E66" s="2" t="s">
        <v>40</v>
      </c>
      <c r="F66" s="3" t="s">
        <v>41</v>
      </c>
      <c r="G66" s="4" t="s">
        <v>89</v>
      </c>
      <c r="H66" s="4" t="s">
        <v>90</v>
      </c>
      <c r="I66" s="5" t="s">
        <v>57</v>
      </c>
      <c r="J66" s="6">
        <v>94.166666666666671</v>
      </c>
      <c r="K66" s="4" t="s">
        <v>614</v>
      </c>
      <c r="L66" s="4" t="s">
        <v>46</v>
      </c>
      <c r="M66" s="4" t="s">
        <v>47</v>
      </c>
      <c r="N66" s="4" t="s">
        <v>507</v>
      </c>
      <c r="O66" s="4" t="s">
        <v>49</v>
      </c>
      <c r="P66" s="4">
        <v>1</v>
      </c>
      <c r="Q66" s="4">
        <v>1</v>
      </c>
      <c r="R66" s="4">
        <v>1</v>
      </c>
      <c r="S66" s="4">
        <v>1</v>
      </c>
      <c r="T66" s="4">
        <v>0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1</v>
      </c>
      <c r="AC66" s="4">
        <v>1</v>
      </c>
      <c r="AD66" s="4" t="s">
        <v>140</v>
      </c>
      <c r="AE66" s="4">
        <v>1</v>
      </c>
      <c r="AF66" s="4">
        <v>1</v>
      </c>
      <c r="AG66" s="4">
        <v>1</v>
      </c>
      <c r="AH66" s="4">
        <v>1</v>
      </c>
      <c r="AI66" s="4">
        <v>1</v>
      </c>
      <c r="AJ66" s="4">
        <v>1</v>
      </c>
      <c r="AK66" s="4">
        <v>1</v>
      </c>
      <c r="AL66" s="4">
        <v>1</v>
      </c>
      <c r="AM66" s="4">
        <v>1</v>
      </c>
      <c r="AN66" s="4" t="s">
        <v>140</v>
      </c>
      <c r="AO66" s="4">
        <v>1</v>
      </c>
      <c r="AP66" s="4">
        <v>1</v>
      </c>
      <c r="AQ66" s="4">
        <v>1</v>
      </c>
      <c r="AR66" s="4" t="s">
        <v>140</v>
      </c>
      <c r="AS66" s="4">
        <v>1</v>
      </c>
      <c r="AT66" s="4" t="s">
        <v>615</v>
      </c>
    </row>
    <row r="67" spans="1:46" x14ac:dyDescent="0.2">
      <c r="A67" s="4">
        <f t="shared" si="4"/>
        <v>4</v>
      </c>
      <c r="B67" s="4">
        <f t="shared" si="5"/>
        <v>1</v>
      </c>
      <c r="C67" s="13" t="str">
        <f>VLOOKUP(B67,Correspondance!$D$3:$E$14,2,FALSE)</f>
        <v>Janvier</v>
      </c>
      <c r="D67" s="1" t="s">
        <v>610</v>
      </c>
      <c r="E67" s="2" t="s">
        <v>40</v>
      </c>
      <c r="F67" s="3" t="s">
        <v>41</v>
      </c>
      <c r="G67" s="4" t="s">
        <v>89</v>
      </c>
      <c r="H67" s="4" t="s">
        <v>90</v>
      </c>
      <c r="I67" s="5" t="s">
        <v>57</v>
      </c>
      <c r="J67" s="6">
        <v>95</v>
      </c>
      <c r="K67" s="4" t="s">
        <v>616</v>
      </c>
      <c r="L67" s="4" t="s">
        <v>46</v>
      </c>
      <c r="M67" s="4" t="s">
        <v>47</v>
      </c>
      <c r="N67" s="4" t="s">
        <v>617</v>
      </c>
      <c r="O67" s="4" t="s">
        <v>49</v>
      </c>
      <c r="P67" s="4">
        <v>1</v>
      </c>
      <c r="Q67" s="4">
        <v>1</v>
      </c>
      <c r="R67" s="4">
        <v>1</v>
      </c>
      <c r="S67" s="4">
        <v>1</v>
      </c>
      <c r="T67" s="4">
        <v>0</v>
      </c>
      <c r="U67" s="4">
        <v>1</v>
      </c>
      <c r="V67" s="4">
        <v>1</v>
      </c>
      <c r="W67" s="4">
        <v>1</v>
      </c>
      <c r="X67" s="4">
        <v>1</v>
      </c>
      <c r="Y67" s="4">
        <v>1</v>
      </c>
      <c r="Z67" s="4">
        <v>1</v>
      </c>
      <c r="AA67" s="4">
        <v>1</v>
      </c>
      <c r="AB67" s="4">
        <v>1</v>
      </c>
      <c r="AC67" s="4">
        <v>1</v>
      </c>
      <c r="AD67" s="4" t="s">
        <v>140</v>
      </c>
      <c r="AE67" s="4">
        <v>1</v>
      </c>
      <c r="AF67" s="4">
        <v>1</v>
      </c>
      <c r="AG67" s="4">
        <v>1</v>
      </c>
      <c r="AH67" s="4">
        <v>1</v>
      </c>
      <c r="AI67" s="4">
        <v>1</v>
      </c>
      <c r="AJ67" s="4">
        <v>1</v>
      </c>
      <c r="AK67" s="4">
        <v>1</v>
      </c>
      <c r="AL67" s="4">
        <v>1</v>
      </c>
      <c r="AM67" s="4">
        <v>1</v>
      </c>
      <c r="AN67" s="4" t="s">
        <v>140</v>
      </c>
      <c r="AO67" s="4">
        <v>1</v>
      </c>
      <c r="AP67" s="4">
        <v>1</v>
      </c>
      <c r="AQ67" s="4">
        <v>1</v>
      </c>
      <c r="AR67" s="4">
        <v>1</v>
      </c>
      <c r="AS67" s="4">
        <v>1</v>
      </c>
      <c r="AT67" s="4" t="s">
        <v>615</v>
      </c>
    </row>
    <row r="68" spans="1:46" ht="25.5" x14ac:dyDescent="0.2">
      <c r="A68" s="4">
        <f t="shared" si="4"/>
        <v>4</v>
      </c>
      <c r="B68" s="4">
        <f t="shared" si="5"/>
        <v>1</v>
      </c>
      <c r="C68" s="13" t="str">
        <f>VLOOKUP(B68,Correspondance!$D$3:$E$14,2,FALSE)</f>
        <v>Janvier</v>
      </c>
      <c r="D68" s="1" t="s">
        <v>610</v>
      </c>
      <c r="E68" s="2" t="s">
        <v>40</v>
      </c>
      <c r="F68" s="3" t="s">
        <v>52</v>
      </c>
      <c r="G68" s="4" t="s">
        <v>135</v>
      </c>
      <c r="H68" s="4" t="s">
        <v>136</v>
      </c>
      <c r="I68" s="5" t="s">
        <v>57</v>
      </c>
      <c r="J68" s="6">
        <v>90</v>
      </c>
      <c r="K68" s="4" t="s">
        <v>618</v>
      </c>
      <c r="L68" s="4" t="s">
        <v>46</v>
      </c>
      <c r="M68" s="4" t="s">
        <v>99</v>
      </c>
      <c r="N68" s="4" t="s">
        <v>619</v>
      </c>
      <c r="O68" s="4" t="s">
        <v>49</v>
      </c>
      <c r="P68" s="4">
        <v>1</v>
      </c>
      <c r="Q68" s="4" t="s">
        <v>140</v>
      </c>
      <c r="R68" s="4">
        <v>1</v>
      </c>
      <c r="S68" s="4">
        <v>1</v>
      </c>
      <c r="T68" s="4">
        <v>0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0</v>
      </c>
      <c r="AC68" s="4">
        <v>1</v>
      </c>
      <c r="AD68" s="4">
        <v>1</v>
      </c>
      <c r="AE68" s="4">
        <v>1</v>
      </c>
      <c r="AF68" s="4">
        <v>1</v>
      </c>
      <c r="AG68" s="4">
        <v>1</v>
      </c>
      <c r="AH68" s="4">
        <v>1</v>
      </c>
      <c r="AI68" s="4">
        <v>1</v>
      </c>
      <c r="AJ68" s="4" t="s">
        <v>140</v>
      </c>
      <c r="AK68" s="4">
        <v>1</v>
      </c>
      <c r="AL68" s="4">
        <v>1</v>
      </c>
      <c r="AM68" s="4">
        <v>1</v>
      </c>
      <c r="AN68" s="4" t="s">
        <v>140</v>
      </c>
      <c r="AO68" s="4">
        <v>1</v>
      </c>
      <c r="AP68" s="4">
        <v>1</v>
      </c>
      <c r="AQ68" s="4">
        <v>1</v>
      </c>
      <c r="AR68" s="4" t="s">
        <v>140</v>
      </c>
      <c r="AS68" s="4">
        <v>1</v>
      </c>
      <c r="AT68" s="4" t="s">
        <v>561</v>
      </c>
    </row>
    <row r="69" spans="1:46" x14ac:dyDescent="0.2">
      <c r="A69" s="4">
        <f t="shared" si="4"/>
        <v>4</v>
      </c>
      <c r="B69" s="4">
        <f t="shared" si="5"/>
        <v>1</v>
      </c>
      <c r="C69" s="13" t="str">
        <f>VLOOKUP(B69,Correspondance!$D$3:$E$14,2,FALSE)</f>
        <v>Janvier</v>
      </c>
      <c r="D69" s="1" t="s">
        <v>610</v>
      </c>
      <c r="E69" s="2" t="s">
        <v>40</v>
      </c>
      <c r="F69" s="3" t="s">
        <v>52</v>
      </c>
      <c r="G69" s="4" t="s">
        <v>120</v>
      </c>
      <c r="H69" s="4" t="s">
        <v>121</v>
      </c>
      <c r="I69" s="5" t="s">
        <v>57</v>
      </c>
      <c r="J69" s="6">
        <v>100</v>
      </c>
      <c r="K69" s="4" t="s">
        <v>620</v>
      </c>
      <c r="L69" s="4" t="s">
        <v>46</v>
      </c>
      <c r="M69" s="4" t="s">
        <v>47</v>
      </c>
      <c r="N69" s="4" t="s">
        <v>77</v>
      </c>
      <c r="O69" s="4" t="s">
        <v>49</v>
      </c>
      <c r="P69" s="4">
        <v>1</v>
      </c>
      <c r="Q69" s="4">
        <v>1</v>
      </c>
      <c r="R69" s="4">
        <v>1</v>
      </c>
      <c r="S69" s="4">
        <v>1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>
        <v>1</v>
      </c>
      <c r="Z69" s="4">
        <v>1</v>
      </c>
      <c r="AA69" s="4">
        <v>1</v>
      </c>
      <c r="AB69" s="4">
        <v>1</v>
      </c>
      <c r="AC69" s="4">
        <v>1</v>
      </c>
      <c r="AD69" s="4" t="s">
        <v>140</v>
      </c>
      <c r="AE69" s="4">
        <v>1</v>
      </c>
      <c r="AF69" s="4">
        <v>1</v>
      </c>
      <c r="AG69" s="4">
        <v>1</v>
      </c>
      <c r="AH69" s="4">
        <v>1</v>
      </c>
      <c r="AI69" s="4">
        <v>1</v>
      </c>
      <c r="AJ69" s="4">
        <v>1</v>
      </c>
      <c r="AK69" s="4">
        <v>1</v>
      </c>
      <c r="AL69" s="4">
        <v>1</v>
      </c>
      <c r="AM69" s="4">
        <v>1</v>
      </c>
      <c r="AN69" s="4" t="s">
        <v>140</v>
      </c>
      <c r="AO69" s="4">
        <v>1</v>
      </c>
      <c r="AP69" s="4">
        <v>1</v>
      </c>
      <c r="AQ69" s="4">
        <v>1</v>
      </c>
      <c r="AR69" s="4" t="s">
        <v>140</v>
      </c>
      <c r="AS69" s="4">
        <v>1</v>
      </c>
      <c r="AT69" s="4" t="s">
        <v>567</v>
      </c>
    </row>
    <row r="70" spans="1:46" x14ac:dyDescent="0.2">
      <c r="A70" s="4">
        <f t="shared" si="4"/>
        <v>4</v>
      </c>
      <c r="B70" s="4">
        <f t="shared" si="5"/>
        <v>1</v>
      </c>
      <c r="C70" s="13" t="str">
        <f>VLOOKUP(B70,Correspondance!$D$3:$E$14,2,FALSE)</f>
        <v>Janvier</v>
      </c>
      <c r="D70" s="1" t="s">
        <v>610</v>
      </c>
      <c r="E70" s="2" t="s">
        <v>40</v>
      </c>
      <c r="F70" s="3" t="s">
        <v>61</v>
      </c>
      <c r="G70" s="4" t="s">
        <v>101</v>
      </c>
      <c r="H70" s="4" t="s">
        <v>102</v>
      </c>
      <c r="I70" s="5" t="s">
        <v>57</v>
      </c>
      <c r="J70" s="6">
        <v>78</v>
      </c>
      <c r="K70" s="4" t="s">
        <v>621</v>
      </c>
      <c r="L70" s="4" t="s">
        <v>46</v>
      </c>
      <c r="M70" s="4" t="s">
        <v>99</v>
      </c>
      <c r="N70" s="4" t="s">
        <v>622</v>
      </c>
      <c r="O70" s="4" t="s">
        <v>49</v>
      </c>
      <c r="P70" s="4">
        <v>1</v>
      </c>
      <c r="Q70" s="4" t="s">
        <v>140</v>
      </c>
      <c r="R70" s="4">
        <v>1</v>
      </c>
      <c r="S70" s="4">
        <v>1</v>
      </c>
      <c r="T70" s="4">
        <v>0</v>
      </c>
      <c r="U70" s="4">
        <v>0</v>
      </c>
      <c r="V70" s="4">
        <v>1</v>
      </c>
      <c r="W70" s="4">
        <v>1</v>
      </c>
      <c r="X70" s="4">
        <v>1</v>
      </c>
      <c r="Y70" s="4">
        <v>1</v>
      </c>
      <c r="Z70" s="4">
        <v>1</v>
      </c>
      <c r="AA70" s="4">
        <v>0</v>
      </c>
      <c r="AB70" s="4">
        <v>1</v>
      </c>
      <c r="AC70" s="4">
        <v>1</v>
      </c>
      <c r="AD70" s="4" t="s">
        <v>140</v>
      </c>
      <c r="AE70" s="4">
        <v>1</v>
      </c>
      <c r="AF70" s="4">
        <v>1</v>
      </c>
      <c r="AG70" s="4">
        <v>1</v>
      </c>
      <c r="AH70" s="4">
        <v>1</v>
      </c>
      <c r="AI70" s="4">
        <v>1</v>
      </c>
      <c r="AJ70" s="4" t="s">
        <v>140</v>
      </c>
      <c r="AK70" s="4">
        <v>1</v>
      </c>
      <c r="AL70" s="4">
        <v>0</v>
      </c>
      <c r="AM70" s="4">
        <v>1</v>
      </c>
      <c r="AN70" s="4" t="s">
        <v>140</v>
      </c>
      <c r="AO70" s="4">
        <v>1</v>
      </c>
      <c r="AP70" s="4">
        <v>1</v>
      </c>
      <c r="AQ70" s="4">
        <v>1</v>
      </c>
      <c r="AR70" s="4" t="s">
        <v>140</v>
      </c>
      <c r="AS70" s="4">
        <v>1</v>
      </c>
      <c r="AT70" s="4" t="s">
        <v>567</v>
      </c>
    </row>
    <row r="71" spans="1:46" x14ac:dyDescent="0.2">
      <c r="A71" s="4">
        <f t="shared" si="4"/>
        <v>4</v>
      </c>
      <c r="B71" s="4">
        <f t="shared" si="5"/>
        <v>1</v>
      </c>
      <c r="C71" s="13" t="str">
        <f>VLOOKUP(B71,Correspondance!$D$3:$E$14,2,FALSE)</f>
        <v>Janvier</v>
      </c>
      <c r="D71" s="1" t="s">
        <v>610</v>
      </c>
      <c r="E71" s="2" t="s">
        <v>40</v>
      </c>
      <c r="F71" s="3" t="s">
        <v>61</v>
      </c>
      <c r="G71" s="4" t="s">
        <v>101</v>
      </c>
      <c r="H71" s="4" t="s">
        <v>102</v>
      </c>
      <c r="I71" s="5" t="s">
        <v>57</v>
      </c>
      <c r="J71" s="6">
        <v>83.666666666666671</v>
      </c>
      <c r="K71" s="4" t="s">
        <v>623</v>
      </c>
      <c r="L71" s="4" t="s">
        <v>46</v>
      </c>
      <c r="M71" s="4" t="s">
        <v>47</v>
      </c>
      <c r="N71" s="4" t="s">
        <v>624</v>
      </c>
      <c r="O71" s="4" t="s">
        <v>49</v>
      </c>
      <c r="P71" s="4">
        <v>1</v>
      </c>
      <c r="Q71" s="4">
        <v>1</v>
      </c>
      <c r="R71" s="4">
        <v>1</v>
      </c>
      <c r="S71" s="4">
        <v>1</v>
      </c>
      <c r="T71" s="4">
        <v>0</v>
      </c>
      <c r="U71" s="4">
        <v>0</v>
      </c>
      <c r="V71" s="4">
        <v>1</v>
      </c>
      <c r="W71" s="4">
        <v>0</v>
      </c>
      <c r="X71" s="4">
        <v>1</v>
      </c>
      <c r="Y71" s="4">
        <v>1</v>
      </c>
      <c r="Z71" s="4">
        <v>1</v>
      </c>
      <c r="AA71" s="4">
        <v>1</v>
      </c>
      <c r="AB71" s="4">
        <v>1</v>
      </c>
      <c r="AC71" s="4">
        <v>1</v>
      </c>
      <c r="AD71" s="4" t="s">
        <v>140</v>
      </c>
      <c r="AE71" s="4">
        <v>1</v>
      </c>
      <c r="AF71" s="4">
        <v>1</v>
      </c>
      <c r="AG71" s="4">
        <v>1</v>
      </c>
      <c r="AH71" s="4">
        <v>1</v>
      </c>
      <c r="AI71" s="4">
        <v>1</v>
      </c>
      <c r="AJ71" s="4">
        <v>1</v>
      </c>
      <c r="AK71" s="4">
        <v>1</v>
      </c>
      <c r="AL71" s="4">
        <v>0</v>
      </c>
      <c r="AM71" s="4">
        <v>1</v>
      </c>
      <c r="AN71" s="4" t="s">
        <v>140</v>
      </c>
      <c r="AO71" s="4">
        <v>1</v>
      </c>
      <c r="AP71" s="4">
        <v>1</v>
      </c>
      <c r="AQ71" s="4">
        <v>1</v>
      </c>
      <c r="AR71" s="4" t="s">
        <v>140</v>
      </c>
      <c r="AS71" s="4">
        <v>1</v>
      </c>
      <c r="AT71" s="4" t="s">
        <v>567</v>
      </c>
    </row>
    <row r="72" spans="1:46" x14ac:dyDescent="0.2">
      <c r="A72" s="4">
        <f t="shared" si="4"/>
        <v>4</v>
      </c>
      <c r="B72" s="4">
        <f t="shared" si="5"/>
        <v>1</v>
      </c>
      <c r="C72" s="13" t="str">
        <f>VLOOKUP(B72,Correspondance!$D$3:$E$14,2,FALSE)</f>
        <v>Janvier</v>
      </c>
      <c r="D72" s="1" t="s">
        <v>610</v>
      </c>
      <c r="E72" s="2" t="s">
        <v>40</v>
      </c>
      <c r="F72" s="3" t="s">
        <v>61</v>
      </c>
      <c r="G72" s="4" t="s">
        <v>68</v>
      </c>
      <c r="H72" s="4" t="s">
        <v>69</v>
      </c>
      <c r="I72" s="5" t="s">
        <v>57</v>
      </c>
      <c r="J72" s="6">
        <v>94.166666666666671</v>
      </c>
      <c r="K72" s="4" t="s">
        <v>625</v>
      </c>
      <c r="L72" s="4" t="s">
        <v>46</v>
      </c>
      <c r="M72" s="4" t="s">
        <v>47</v>
      </c>
      <c r="N72" s="4" t="s">
        <v>626</v>
      </c>
      <c r="O72" s="4" t="s">
        <v>49</v>
      </c>
      <c r="P72" s="4">
        <v>1</v>
      </c>
      <c r="Q72" s="4">
        <v>1</v>
      </c>
      <c r="R72" s="4">
        <v>1</v>
      </c>
      <c r="S72" s="4">
        <v>1</v>
      </c>
      <c r="T72" s="4">
        <v>0</v>
      </c>
      <c r="U72" s="4">
        <v>1</v>
      </c>
      <c r="V72" s="4">
        <v>1</v>
      </c>
      <c r="W72" s="4">
        <v>1</v>
      </c>
      <c r="X72" s="4">
        <v>1</v>
      </c>
      <c r="Y72" s="4">
        <v>1</v>
      </c>
      <c r="Z72" s="4">
        <v>1</v>
      </c>
      <c r="AA72" s="4">
        <v>1</v>
      </c>
      <c r="AB72" s="4">
        <v>1</v>
      </c>
      <c r="AC72" s="4">
        <v>1</v>
      </c>
      <c r="AD72" s="4" t="s">
        <v>140</v>
      </c>
      <c r="AE72" s="4">
        <v>1</v>
      </c>
      <c r="AF72" s="4">
        <v>1</v>
      </c>
      <c r="AG72" s="4">
        <v>1</v>
      </c>
      <c r="AH72" s="4">
        <v>1</v>
      </c>
      <c r="AI72" s="4">
        <v>1</v>
      </c>
      <c r="AJ72" s="4">
        <v>1</v>
      </c>
      <c r="AK72" s="4">
        <v>1</v>
      </c>
      <c r="AL72" s="4">
        <v>1</v>
      </c>
      <c r="AM72" s="4">
        <v>1</v>
      </c>
      <c r="AN72" s="4" t="s">
        <v>140</v>
      </c>
      <c r="AO72" s="4">
        <v>1</v>
      </c>
      <c r="AP72" s="4">
        <v>1</v>
      </c>
      <c r="AQ72" s="4">
        <v>1</v>
      </c>
      <c r="AR72" s="4" t="s">
        <v>140</v>
      </c>
      <c r="AS72" s="4">
        <v>1</v>
      </c>
      <c r="AT72" s="4" t="s">
        <v>562</v>
      </c>
    </row>
    <row r="73" spans="1:46" x14ac:dyDescent="0.2">
      <c r="A73" s="4">
        <f t="shared" si="4"/>
        <v>4</v>
      </c>
      <c r="B73" s="4">
        <f t="shared" si="5"/>
        <v>1</v>
      </c>
      <c r="C73" s="13" t="str">
        <f>VLOOKUP(B73,Correspondance!$D$3:$E$14,2,FALSE)</f>
        <v>Janvier</v>
      </c>
      <c r="D73" s="1" t="s">
        <v>610</v>
      </c>
      <c r="E73" s="2" t="s">
        <v>40</v>
      </c>
      <c r="F73" s="3" t="s">
        <v>61</v>
      </c>
      <c r="G73" s="4" t="s">
        <v>68</v>
      </c>
      <c r="H73" s="4" t="s">
        <v>69</v>
      </c>
      <c r="I73" s="5" t="s">
        <v>57</v>
      </c>
      <c r="J73" s="6">
        <v>95</v>
      </c>
      <c r="K73" s="4" t="s">
        <v>627</v>
      </c>
      <c r="L73" s="4" t="s">
        <v>46</v>
      </c>
      <c r="M73" s="4" t="s">
        <v>47</v>
      </c>
      <c r="N73" s="4" t="s">
        <v>628</v>
      </c>
      <c r="O73" s="4" t="s">
        <v>49</v>
      </c>
      <c r="P73" s="4">
        <v>1</v>
      </c>
      <c r="Q73" s="4">
        <v>1</v>
      </c>
      <c r="R73" s="4">
        <v>1</v>
      </c>
      <c r="S73" s="4">
        <v>1</v>
      </c>
      <c r="T73" s="4">
        <v>0</v>
      </c>
      <c r="U73" s="4">
        <v>1</v>
      </c>
      <c r="V73" s="4">
        <v>1</v>
      </c>
      <c r="W73" s="4">
        <v>1</v>
      </c>
      <c r="X73" s="4">
        <v>1</v>
      </c>
      <c r="Y73" s="4">
        <v>1</v>
      </c>
      <c r="Z73" s="4">
        <v>1</v>
      </c>
      <c r="AA73" s="4">
        <v>1</v>
      </c>
      <c r="AB73" s="4">
        <v>1</v>
      </c>
      <c r="AC73" s="4">
        <v>1</v>
      </c>
      <c r="AD73" s="4" t="s">
        <v>140</v>
      </c>
      <c r="AE73" s="4">
        <v>1</v>
      </c>
      <c r="AF73" s="4">
        <v>1</v>
      </c>
      <c r="AG73" s="4">
        <v>1</v>
      </c>
      <c r="AH73" s="4">
        <v>1</v>
      </c>
      <c r="AI73" s="4">
        <v>1</v>
      </c>
      <c r="AJ73" s="4">
        <v>1</v>
      </c>
      <c r="AK73" s="4">
        <v>1</v>
      </c>
      <c r="AL73" s="4">
        <v>1</v>
      </c>
      <c r="AM73" s="4">
        <v>1</v>
      </c>
      <c r="AN73" s="4" t="s">
        <v>140</v>
      </c>
      <c r="AO73" s="4">
        <v>1</v>
      </c>
      <c r="AP73" s="4">
        <v>1</v>
      </c>
      <c r="AQ73" s="4">
        <v>1</v>
      </c>
      <c r="AR73" s="4">
        <v>1</v>
      </c>
      <c r="AS73" s="4">
        <v>1</v>
      </c>
      <c r="AT73" s="4" t="s">
        <v>562</v>
      </c>
    </row>
    <row r="74" spans="1:46" x14ac:dyDescent="0.2">
      <c r="A74" s="4">
        <f t="shared" si="4"/>
        <v>4</v>
      </c>
      <c r="B74" s="4">
        <f t="shared" si="5"/>
        <v>1</v>
      </c>
      <c r="C74" s="13" t="str">
        <f>VLOOKUP(B74,Correspondance!$D$3:$E$14,2,FALSE)</f>
        <v>Janvier</v>
      </c>
      <c r="D74" s="1" t="s">
        <v>562</v>
      </c>
      <c r="E74" s="2" t="s">
        <v>40</v>
      </c>
      <c r="F74" s="3" t="s">
        <v>41</v>
      </c>
      <c r="G74" s="4" t="s">
        <v>89</v>
      </c>
      <c r="H74" s="4" t="s">
        <v>90</v>
      </c>
      <c r="I74" s="5" t="s">
        <v>44</v>
      </c>
      <c r="J74" s="6">
        <v>74.2</v>
      </c>
      <c r="K74" s="4" t="s">
        <v>629</v>
      </c>
      <c r="L74" s="4" t="s">
        <v>46</v>
      </c>
      <c r="M74" s="4" t="s">
        <v>47</v>
      </c>
      <c r="N74" s="4" t="s">
        <v>630</v>
      </c>
      <c r="O74" s="4" t="s">
        <v>49</v>
      </c>
      <c r="P74" s="4">
        <v>1</v>
      </c>
      <c r="Q74" s="4">
        <v>1</v>
      </c>
      <c r="R74" s="4">
        <v>1</v>
      </c>
      <c r="S74" s="4">
        <v>1</v>
      </c>
      <c r="T74" s="4">
        <v>1</v>
      </c>
      <c r="U74" s="4">
        <v>1</v>
      </c>
      <c r="V74" s="4">
        <v>1</v>
      </c>
      <c r="W74" s="4" t="s">
        <v>140</v>
      </c>
      <c r="X74" s="4">
        <v>1</v>
      </c>
      <c r="Y74" s="4">
        <v>1</v>
      </c>
      <c r="Z74" s="4">
        <v>1</v>
      </c>
      <c r="AA74" s="4">
        <v>1</v>
      </c>
      <c r="AB74" s="4">
        <v>1</v>
      </c>
      <c r="AC74" s="4">
        <v>1</v>
      </c>
      <c r="AD74" s="4">
        <v>0</v>
      </c>
      <c r="AE74" s="4">
        <v>1</v>
      </c>
      <c r="AF74" s="4">
        <v>1</v>
      </c>
      <c r="AG74" s="4">
        <v>1</v>
      </c>
      <c r="AH74" s="4">
        <v>1</v>
      </c>
      <c r="AI74" s="4">
        <v>0</v>
      </c>
      <c r="AJ74" s="4" t="s">
        <v>140</v>
      </c>
      <c r="AK74" s="4">
        <v>0</v>
      </c>
      <c r="AL74" s="4">
        <v>0</v>
      </c>
      <c r="AM74" s="4">
        <v>0</v>
      </c>
      <c r="AN74" s="4" t="s">
        <v>140</v>
      </c>
      <c r="AO74" s="4">
        <v>1</v>
      </c>
      <c r="AP74" s="4">
        <v>1</v>
      </c>
      <c r="AQ74" s="4">
        <v>0</v>
      </c>
      <c r="AR74" s="4" t="s">
        <v>140</v>
      </c>
      <c r="AS74" s="4">
        <v>0</v>
      </c>
      <c r="AT74" s="4" t="s">
        <v>562</v>
      </c>
    </row>
    <row r="75" spans="1:46" x14ac:dyDescent="0.2">
      <c r="A75" s="4">
        <f t="shared" si="4"/>
        <v>4</v>
      </c>
      <c r="B75" s="4">
        <f t="shared" si="5"/>
        <v>1</v>
      </c>
      <c r="C75" s="13" t="str">
        <f>VLOOKUP(B75,Correspondance!$D$3:$E$14,2,FALSE)</f>
        <v>Janvier</v>
      </c>
      <c r="D75" s="1" t="s">
        <v>562</v>
      </c>
      <c r="E75" s="2" t="s">
        <v>40</v>
      </c>
      <c r="F75" s="3" t="s">
        <v>52</v>
      </c>
      <c r="G75" s="4" t="s">
        <v>484</v>
      </c>
      <c r="H75" s="4" t="s">
        <v>485</v>
      </c>
      <c r="I75" s="5" t="s">
        <v>44</v>
      </c>
      <c r="J75" s="6">
        <v>92.5</v>
      </c>
      <c r="K75" s="4" t="s">
        <v>631</v>
      </c>
      <c r="L75" s="4" t="s">
        <v>46</v>
      </c>
      <c r="M75" s="4" t="s">
        <v>47</v>
      </c>
      <c r="N75" s="4" t="s">
        <v>495</v>
      </c>
      <c r="O75" s="4" t="s">
        <v>49</v>
      </c>
      <c r="P75" s="4">
        <v>1</v>
      </c>
      <c r="Q75" s="4">
        <v>1</v>
      </c>
      <c r="R75" s="4">
        <v>1</v>
      </c>
      <c r="S75" s="4">
        <v>1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>
        <v>1</v>
      </c>
      <c r="Z75" s="4">
        <v>1</v>
      </c>
      <c r="AA75" s="4">
        <v>1</v>
      </c>
      <c r="AB75" s="4">
        <v>1</v>
      </c>
      <c r="AC75" s="4">
        <v>1</v>
      </c>
      <c r="AD75" s="4">
        <v>1</v>
      </c>
      <c r="AE75" s="4">
        <v>0</v>
      </c>
      <c r="AF75" s="4">
        <v>1</v>
      </c>
      <c r="AG75" s="4">
        <v>1</v>
      </c>
      <c r="AH75" s="4">
        <v>1</v>
      </c>
      <c r="AI75" s="4">
        <v>1</v>
      </c>
      <c r="AJ75" s="4">
        <v>1</v>
      </c>
      <c r="AK75" s="4">
        <v>1</v>
      </c>
      <c r="AL75" s="4">
        <v>0</v>
      </c>
      <c r="AM75" s="4">
        <v>1</v>
      </c>
      <c r="AN75" s="4" t="s">
        <v>140</v>
      </c>
      <c r="AO75" s="4">
        <v>1</v>
      </c>
      <c r="AP75" s="4">
        <v>1</v>
      </c>
      <c r="AQ75" s="4">
        <v>1</v>
      </c>
      <c r="AR75" s="4">
        <v>1</v>
      </c>
      <c r="AS75" s="4">
        <v>1</v>
      </c>
      <c r="AT75" s="4" t="s">
        <v>562</v>
      </c>
    </row>
    <row r="76" spans="1:46" x14ac:dyDescent="0.2">
      <c r="A76" s="4">
        <f t="shared" si="4"/>
        <v>5</v>
      </c>
      <c r="B76" s="4">
        <f t="shared" si="5"/>
        <v>1</v>
      </c>
      <c r="C76" s="13" t="str">
        <f>VLOOKUP(B76,Correspondance!$D$3:$E$14,2,FALSE)</f>
        <v>Janvier</v>
      </c>
      <c r="D76" s="1" t="s">
        <v>566</v>
      </c>
      <c r="E76" s="2" t="s">
        <v>40</v>
      </c>
      <c r="F76" s="3" t="s">
        <v>41</v>
      </c>
      <c r="G76" s="4" t="s">
        <v>109</v>
      </c>
      <c r="H76" s="4" t="s">
        <v>110</v>
      </c>
      <c r="I76" s="5" t="s">
        <v>57</v>
      </c>
      <c r="J76" s="6">
        <v>63.95</v>
      </c>
      <c r="K76" s="4" t="s">
        <v>632</v>
      </c>
      <c r="L76" s="4" t="s">
        <v>114</v>
      </c>
      <c r="M76" s="4" t="s">
        <v>47</v>
      </c>
      <c r="N76" s="4" t="s">
        <v>633</v>
      </c>
      <c r="O76" s="4" t="s">
        <v>49</v>
      </c>
      <c r="P76" s="4">
        <v>1</v>
      </c>
      <c r="Q76" s="4">
        <v>0</v>
      </c>
      <c r="R76" s="4">
        <v>1</v>
      </c>
      <c r="S76" s="4">
        <v>1</v>
      </c>
      <c r="T76" s="4">
        <v>0</v>
      </c>
      <c r="U76" s="4">
        <v>0</v>
      </c>
      <c r="V76" s="4">
        <v>1</v>
      </c>
      <c r="W76" s="4">
        <v>1</v>
      </c>
      <c r="X76" s="4">
        <v>0</v>
      </c>
      <c r="Y76" s="4">
        <v>1</v>
      </c>
      <c r="Z76" s="4">
        <v>1</v>
      </c>
      <c r="AA76" s="4">
        <v>0</v>
      </c>
      <c r="AB76" s="4">
        <v>1</v>
      </c>
      <c r="AC76" s="4">
        <v>1</v>
      </c>
      <c r="AD76" s="4" t="s">
        <v>140</v>
      </c>
      <c r="AE76" s="4">
        <v>1</v>
      </c>
      <c r="AF76" s="4">
        <v>0</v>
      </c>
      <c r="AG76" s="4">
        <v>1</v>
      </c>
      <c r="AH76" s="4">
        <v>1</v>
      </c>
      <c r="AI76" s="4">
        <v>1</v>
      </c>
      <c r="AJ76" s="4">
        <v>1</v>
      </c>
      <c r="AK76" s="4">
        <v>1</v>
      </c>
      <c r="AL76" s="4">
        <v>1</v>
      </c>
      <c r="AM76" s="4">
        <v>0</v>
      </c>
      <c r="AN76" s="4" t="s">
        <v>140</v>
      </c>
      <c r="AO76" s="4">
        <v>1</v>
      </c>
      <c r="AP76" s="4">
        <v>1</v>
      </c>
      <c r="AQ76" s="4">
        <v>0</v>
      </c>
      <c r="AR76" s="4" t="s">
        <v>140</v>
      </c>
      <c r="AS76" s="4">
        <v>1</v>
      </c>
      <c r="AT76" s="4" t="s">
        <v>615</v>
      </c>
    </row>
    <row r="77" spans="1:46" x14ac:dyDescent="0.2">
      <c r="A77" s="4">
        <f t="shared" si="4"/>
        <v>5</v>
      </c>
      <c r="B77" s="4">
        <f t="shared" si="5"/>
        <v>1</v>
      </c>
      <c r="C77" s="13" t="str">
        <f>VLOOKUP(B77,Correspondance!$D$3:$E$14,2,FALSE)</f>
        <v>Janvier</v>
      </c>
      <c r="D77" s="1" t="s">
        <v>566</v>
      </c>
      <c r="E77" s="2" t="s">
        <v>40</v>
      </c>
      <c r="F77" s="3" t="s">
        <v>41</v>
      </c>
      <c r="G77" s="4" t="s">
        <v>42</v>
      </c>
      <c r="H77" s="4" t="s">
        <v>43</v>
      </c>
      <c r="I77" s="5" t="s">
        <v>57</v>
      </c>
      <c r="J77" s="6">
        <v>87</v>
      </c>
      <c r="K77" s="4" t="s">
        <v>634</v>
      </c>
      <c r="L77" s="4" t="s">
        <v>114</v>
      </c>
      <c r="M77" s="4" t="s">
        <v>47</v>
      </c>
      <c r="N77" s="4" t="s">
        <v>635</v>
      </c>
      <c r="O77" s="4" t="s">
        <v>49</v>
      </c>
      <c r="P77" s="4">
        <v>1</v>
      </c>
      <c r="Q77" s="4">
        <v>1</v>
      </c>
      <c r="R77" s="4">
        <v>1</v>
      </c>
      <c r="S77" s="4">
        <v>1</v>
      </c>
      <c r="T77" s="4">
        <v>0</v>
      </c>
      <c r="U77" s="4">
        <v>1</v>
      </c>
      <c r="V77" s="4">
        <v>1</v>
      </c>
      <c r="W77" s="4">
        <v>1</v>
      </c>
      <c r="X77" s="4">
        <v>0</v>
      </c>
      <c r="Y77" s="4">
        <v>1</v>
      </c>
      <c r="Z77" s="4">
        <v>1</v>
      </c>
      <c r="AA77" s="4">
        <v>1</v>
      </c>
      <c r="AB77" s="4">
        <v>1</v>
      </c>
      <c r="AC77" s="4">
        <v>1</v>
      </c>
      <c r="AD77" s="4" t="s">
        <v>140</v>
      </c>
      <c r="AE77" s="4">
        <v>1</v>
      </c>
      <c r="AF77" s="4">
        <v>1</v>
      </c>
      <c r="AG77" s="4">
        <v>1</v>
      </c>
      <c r="AH77" s="4">
        <v>1</v>
      </c>
      <c r="AI77" s="4">
        <v>1</v>
      </c>
      <c r="AJ77" s="4" t="s">
        <v>140</v>
      </c>
      <c r="AK77" s="4">
        <v>1</v>
      </c>
      <c r="AL77" s="4">
        <v>1</v>
      </c>
      <c r="AM77" s="4">
        <v>1</v>
      </c>
      <c r="AN77" s="4" t="s">
        <v>140</v>
      </c>
      <c r="AO77" s="4">
        <v>1</v>
      </c>
      <c r="AP77" s="4">
        <v>1</v>
      </c>
      <c r="AQ77" s="4">
        <v>1</v>
      </c>
      <c r="AR77" s="4" t="s">
        <v>140</v>
      </c>
      <c r="AS77" s="4">
        <v>1</v>
      </c>
      <c r="AT77" s="4" t="s">
        <v>615</v>
      </c>
    </row>
    <row r="78" spans="1:46" x14ac:dyDescent="0.2">
      <c r="A78" s="4">
        <f t="shared" si="4"/>
        <v>5</v>
      </c>
      <c r="B78" s="4">
        <f t="shared" si="5"/>
        <v>1</v>
      </c>
      <c r="C78" s="13" t="str">
        <f>VLOOKUP(B78,Correspondance!$D$3:$E$14,2,FALSE)</f>
        <v>Janvier</v>
      </c>
      <c r="D78" s="1" t="s">
        <v>566</v>
      </c>
      <c r="E78" s="2" t="s">
        <v>40</v>
      </c>
      <c r="F78" s="3" t="s">
        <v>41</v>
      </c>
      <c r="G78" s="4" t="s">
        <v>42</v>
      </c>
      <c r="H78" s="4" t="s">
        <v>43</v>
      </c>
      <c r="I78" s="5" t="s">
        <v>57</v>
      </c>
      <c r="J78" s="6">
        <v>93</v>
      </c>
      <c r="K78" s="4" t="s">
        <v>636</v>
      </c>
      <c r="L78" s="4" t="s">
        <v>114</v>
      </c>
      <c r="M78" s="4" t="s">
        <v>47</v>
      </c>
      <c r="N78" s="4" t="s">
        <v>637</v>
      </c>
      <c r="O78" s="4" t="s">
        <v>49</v>
      </c>
      <c r="P78" s="4">
        <v>1</v>
      </c>
      <c r="Q78" s="4">
        <v>1</v>
      </c>
      <c r="R78" s="4">
        <v>1</v>
      </c>
      <c r="S78" s="4">
        <v>1</v>
      </c>
      <c r="T78" s="4">
        <v>1</v>
      </c>
      <c r="U78" s="4">
        <v>1</v>
      </c>
      <c r="V78" s="4">
        <v>1</v>
      </c>
      <c r="W78" s="4">
        <v>1</v>
      </c>
      <c r="X78" s="4">
        <v>1</v>
      </c>
      <c r="Y78" s="4">
        <v>1</v>
      </c>
      <c r="Z78" s="4">
        <v>1</v>
      </c>
      <c r="AA78" s="4">
        <v>0</v>
      </c>
      <c r="AB78" s="4">
        <v>1</v>
      </c>
      <c r="AC78" s="4">
        <v>1</v>
      </c>
      <c r="AD78" s="4" t="s">
        <v>140</v>
      </c>
      <c r="AE78" s="4">
        <v>1</v>
      </c>
      <c r="AF78" s="4">
        <v>1</v>
      </c>
      <c r="AG78" s="4">
        <v>1</v>
      </c>
      <c r="AH78" s="4">
        <v>1</v>
      </c>
      <c r="AI78" s="4">
        <v>1</v>
      </c>
      <c r="AJ78" s="4" t="s">
        <v>140</v>
      </c>
      <c r="AK78" s="4">
        <v>1</v>
      </c>
      <c r="AL78" s="4">
        <v>1</v>
      </c>
      <c r="AM78" s="4">
        <v>1</v>
      </c>
      <c r="AN78" s="4" t="s">
        <v>140</v>
      </c>
      <c r="AO78" s="4">
        <v>1</v>
      </c>
      <c r="AP78" s="4">
        <v>1</v>
      </c>
      <c r="AQ78" s="4">
        <v>1</v>
      </c>
      <c r="AR78" s="4" t="s">
        <v>140</v>
      </c>
      <c r="AS78" s="4">
        <v>1</v>
      </c>
      <c r="AT78" s="4" t="s">
        <v>615</v>
      </c>
    </row>
    <row r="79" spans="1:46" x14ac:dyDescent="0.2">
      <c r="A79" s="4">
        <f t="shared" si="4"/>
        <v>5</v>
      </c>
      <c r="B79" s="4">
        <f t="shared" si="5"/>
        <v>1</v>
      </c>
      <c r="C79" s="13" t="str">
        <f>VLOOKUP(B79,Correspondance!$D$3:$E$14,2,FALSE)</f>
        <v>Janvier</v>
      </c>
      <c r="D79" s="1" t="s">
        <v>566</v>
      </c>
      <c r="E79" s="2" t="s">
        <v>40</v>
      </c>
      <c r="F79" s="3" t="s">
        <v>41</v>
      </c>
      <c r="G79" s="4" t="s">
        <v>82</v>
      </c>
      <c r="H79" s="4" t="s">
        <v>83</v>
      </c>
      <c r="I79" s="5" t="s">
        <v>57</v>
      </c>
      <c r="J79" s="6">
        <v>93</v>
      </c>
      <c r="K79" s="4" t="s">
        <v>634</v>
      </c>
      <c r="L79" s="4" t="s">
        <v>114</v>
      </c>
      <c r="M79" s="4" t="s">
        <v>47</v>
      </c>
      <c r="N79" s="4" t="s">
        <v>638</v>
      </c>
      <c r="O79" s="4" t="s">
        <v>49</v>
      </c>
      <c r="P79" s="4">
        <v>1</v>
      </c>
      <c r="Q79" s="4">
        <v>1</v>
      </c>
      <c r="R79" s="4">
        <v>1</v>
      </c>
      <c r="S79" s="4">
        <v>1</v>
      </c>
      <c r="T79" s="4">
        <v>0</v>
      </c>
      <c r="U79" s="4">
        <v>1</v>
      </c>
      <c r="V79" s="4">
        <v>1</v>
      </c>
      <c r="W79" s="4">
        <v>1</v>
      </c>
      <c r="X79" s="4">
        <v>1</v>
      </c>
      <c r="Y79" s="4">
        <v>1</v>
      </c>
      <c r="Z79" s="4">
        <v>1</v>
      </c>
      <c r="AA79" s="4">
        <v>1</v>
      </c>
      <c r="AB79" s="4">
        <v>1</v>
      </c>
      <c r="AC79" s="4">
        <v>1</v>
      </c>
      <c r="AD79" s="4" t="s">
        <v>140</v>
      </c>
      <c r="AE79" s="4">
        <v>1</v>
      </c>
      <c r="AF79" s="4">
        <v>1</v>
      </c>
      <c r="AG79" s="4">
        <v>1</v>
      </c>
      <c r="AH79" s="4">
        <v>1</v>
      </c>
      <c r="AI79" s="4">
        <v>1</v>
      </c>
      <c r="AJ79" s="4" t="s">
        <v>140</v>
      </c>
      <c r="AK79" s="4">
        <v>1</v>
      </c>
      <c r="AL79" s="4">
        <v>1</v>
      </c>
      <c r="AM79" s="4">
        <v>1</v>
      </c>
      <c r="AN79" s="4" t="s">
        <v>140</v>
      </c>
      <c r="AO79" s="4">
        <v>1</v>
      </c>
      <c r="AP79" s="4">
        <v>1</v>
      </c>
      <c r="AQ79" s="4">
        <v>1</v>
      </c>
      <c r="AR79" s="4" t="s">
        <v>140</v>
      </c>
      <c r="AS79" s="4">
        <v>1</v>
      </c>
      <c r="AT79" s="4" t="s">
        <v>615</v>
      </c>
    </row>
    <row r="80" spans="1:46" x14ac:dyDescent="0.2">
      <c r="A80" s="4">
        <f t="shared" si="4"/>
        <v>5</v>
      </c>
      <c r="B80" s="4">
        <f t="shared" si="5"/>
        <v>1</v>
      </c>
      <c r="C80" s="13" t="str">
        <f>VLOOKUP(B80,Correspondance!$D$3:$E$14,2,FALSE)</f>
        <v>Janvier</v>
      </c>
      <c r="D80" s="1" t="s">
        <v>566</v>
      </c>
      <c r="E80" s="2" t="s">
        <v>40</v>
      </c>
      <c r="F80" s="3" t="s">
        <v>52</v>
      </c>
      <c r="G80" s="4" t="s">
        <v>135</v>
      </c>
      <c r="H80" s="4" t="s">
        <v>136</v>
      </c>
      <c r="I80" s="5" t="s">
        <v>57</v>
      </c>
      <c r="J80" s="6">
        <v>60.166666666666664</v>
      </c>
      <c r="K80" s="4" t="s">
        <v>639</v>
      </c>
      <c r="L80" s="4" t="s">
        <v>46</v>
      </c>
      <c r="M80" s="4" t="s">
        <v>47</v>
      </c>
      <c r="N80" s="4" t="s">
        <v>637</v>
      </c>
      <c r="O80" s="4" t="s">
        <v>49</v>
      </c>
      <c r="P80" s="4">
        <v>1</v>
      </c>
      <c r="Q80" s="4">
        <v>0</v>
      </c>
      <c r="R80" s="4">
        <v>1</v>
      </c>
      <c r="S80" s="4">
        <v>1</v>
      </c>
      <c r="T80" s="4">
        <v>0</v>
      </c>
      <c r="U80" s="4">
        <v>0</v>
      </c>
      <c r="V80" s="4">
        <v>1</v>
      </c>
      <c r="W80" s="4">
        <v>1</v>
      </c>
      <c r="X80" s="4">
        <v>0</v>
      </c>
      <c r="Y80" s="4">
        <v>1</v>
      </c>
      <c r="Z80" s="4">
        <v>1</v>
      </c>
      <c r="AA80" s="4">
        <v>0</v>
      </c>
      <c r="AB80" s="4">
        <v>1</v>
      </c>
      <c r="AC80" s="4">
        <v>1</v>
      </c>
      <c r="AD80" s="4" t="s">
        <v>140</v>
      </c>
      <c r="AE80" s="4" t="s">
        <v>140</v>
      </c>
      <c r="AF80" s="4">
        <v>1</v>
      </c>
      <c r="AG80" s="4">
        <v>1</v>
      </c>
      <c r="AH80" s="4">
        <v>1</v>
      </c>
      <c r="AI80" s="4" t="s">
        <v>140</v>
      </c>
      <c r="AJ80" s="4" t="s">
        <v>140</v>
      </c>
      <c r="AK80" s="4" t="s">
        <v>140</v>
      </c>
      <c r="AL80" s="4" t="s">
        <v>140</v>
      </c>
      <c r="AM80" s="4">
        <v>1</v>
      </c>
      <c r="AN80" s="4" t="s">
        <v>140</v>
      </c>
      <c r="AO80" s="4">
        <v>1</v>
      </c>
      <c r="AP80" s="4" t="s">
        <v>140</v>
      </c>
      <c r="AQ80" s="4" t="s">
        <v>140</v>
      </c>
      <c r="AR80" s="4" t="s">
        <v>140</v>
      </c>
      <c r="AS80" s="4" t="s">
        <v>140</v>
      </c>
      <c r="AT80" s="4" t="s">
        <v>615</v>
      </c>
    </row>
    <row r="81" spans="1:46" x14ac:dyDescent="0.2">
      <c r="A81" s="4">
        <f t="shared" si="4"/>
        <v>5</v>
      </c>
      <c r="B81" s="4">
        <f t="shared" si="5"/>
        <v>1</v>
      </c>
      <c r="C81" s="13" t="str">
        <f>VLOOKUP(B81,Correspondance!$D$3:$E$14,2,FALSE)</f>
        <v>Janvier</v>
      </c>
      <c r="D81" s="1" t="s">
        <v>566</v>
      </c>
      <c r="E81" s="2" t="s">
        <v>40</v>
      </c>
      <c r="F81" s="3" t="s">
        <v>52</v>
      </c>
      <c r="G81" s="4" t="s">
        <v>93</v>
      </c>
      <c r="H81" s="4" t="s">
        <v>94</v>
      </c>
      <c r="I81" s="5" t="s">
        <v>57</v>
      </c>
      <c r="J81" s="6">
        <v>87.25</v>
      </c>
      <c r="K81" s="4" t="s">
        <v>640</v>
      </c>
      <c r="L81" s="4" t="s">
        <v>114</v>
      </c>
      <c r="M81" s="4" t="s">
        <v>47</v>
      </c>
      <c r="N81" s="4" t="s">
        <v>641</v>
      </c>
      <c r="O81" s="4" t="s">
        <v>49</v>
      </c>
      <c r="P81" s="4">
        <v>1</v>
      </c>
      <c r="Q81" s="4">
        <v>1</v>
      </c>
      <c r="R81" s="4">
        <v>1</v>
      </c>
      <c r="S81" s="4">
        <v>1</v>
      </c>
      <c r="T81" s="4">
        <v>0</v>
      </c>
      <c r="U81" s="4">
        <v>1</v>
      </c>
      <c r="V81" s="4">
        <v>1</v>
      </c>
      <c r="W81" s="4">
        <v>1</v>
      </c>
      <c r="X81" s="4">
        <v>1</v>
      </c>
      <c r="Y81" s="4">
        <v>1</v>
      </c>
      <c r="Z81" s="4">
        <v>1</v>
      </c>
      <c r="AA81" s="4">
        <v>1</v>
      </c>
      <c r="AB81" s="4">
        <v>1</v>
      </c>
      <c r="AC81" s="4">
        <v>1</v>
      </c>
      <c r="AD81" s="4" t="s">
        <v>140</v>
      </c>
      <c r="AE81" s="4">
        <v>1</v>
      </c>
      <c r="AF81" s="4">
        <v>1</v>
      </c>
      <c r="AG81" s="4">
        <v>1</v>
      </c>
      <c r="AH81" s="4">
        <v>1</v>
      </c>
      <c r="AI81" s="4">
        <v>1</v>
      </c>
      <c r="AJ81" s="4" t="s">
        <v>140</v>
      </c>
      <c r="AK81" s="4">
        <v>0</v>
      </c>
      <c r="AL81" s="4">
        <v>0</v>
      </c>
      <c r="AM81" s="4">
        <v>1</v>
      </c>
      <c r="AN81" s="4" t="s">
        <v>140</v>
      </c>
      <c r="AO81" s="4">
        <v>1</v>
      </c>
      <c r="AP81" s="4">
        <v>1</v>
      </c>
      <c r="AQ81" s="4">
        <v>1</v>
      </c>
      <c r="AR81" s="4" t="s">
        <v>140</v>
      </c>
      <c r="AS81" s="4">
        <v>1</v>
      </c>
      <c r="AT81" s="4" t="s">
        <v>615</v>
      </c>
    </row>
    <row r="82" spans="1:46" x14ac:dyDescent="0.2">
      <c r="A82" s="4">
        <f t="shared" si="4"/>
        <v>5</v>
      </c>
      <c r="B82" s="4">
        <f t="shared" si="5"/>
        <v>1</v>
      </c>
      <c r="C82" s="13" t="str">
        <f>VLOOKUP(B82,Correspondance!$D$3:$E$14,2,FALSE)</f>
        <v>Janvier</v>
      </c>
      <c r="D82" s="1" t="s">
        <v>566</v>
      </c>
      <c r="E82" s="2" t="s">
        <v>40</v>
      </c>
      <c r="F82" s="3" t="s">
        <v>61</v>
      </c>
      <c r="G82" s="4" t="s">
        <v>101</v>
      </c>
      <c r="H82" s="4" t="s">
        <v>102</v>
      </c>
      <c r="I82" s="5" t="s">
        <v>57</v>
      </c>
      <c r="J82" s="6">
        <v>84.583333333333329</v>
      </c>
      <c r="K82" s="4" t="s">
        <v>642</v>
      </c>
      <c r="L82" s="4" t="s">
        <v>114</v>
      </c>
      <c r="M82" s="4" t="s">
        <v>47</v>
      </c>
      <c r="N82" s="4" t="s">
        <v>643</v>
      </c>
      <c r="O82" s="4" t="s">
        <v>49</v>
      </c>
      <c r="P82" s="4">
        <v>1</v>
      </c>
      <c r="Q82" s="4">
        <v>1</v>
      </c>
      <c r="R82" s="4">
        <v>1</v>
      </c>
      <c r="S82" s="4">
        <v>1</v>
      </c>
      <c r="T82" s="4">
        <v>0</v>
      </c>
      <c r="U82" s="4">
        <v>1</v>
      </c>
      <c r="V82" s="4">
        <v>1</v>
      </c>
      <c r="W82" s="4">
        <v>0</v>
      </c>
      <c r="X82" s="4">
        <v>1</v>
      </c>
      <c r="Y82" s="4">
        <v>1</v>
      </c>
      <c r="Z82" s="4">
        <v>1</v>
      </c>
      <c r="AA82" s="4">
        <v>1</v>
      </c>
      <c r="AB82" s="4">
        <v>1</v>
      </c>
      <c r="AC82" s="4">
        <v>1</v>
      </c>
      <c r="AD82" s="4" t="s">
        <v>140</v>
      </c>
      <c r="AE82" s="4">
        <v>1</v>
      </c>
      <c r="AF82" s="4">
        <v>1</v>
      </c>
      <c r="AG82" s="4">
        <v>1</v>
      </c>
      <c r="AH82" s="4">
        <v>1</v>
      </c>
      <c r="AI82" s="4">
        <v>1</v>
      </c>
      <c r="AJ82" s="4">
        <v>0</v>
      </c>
      <c r="AK82" s="4">
        <v>1</v>
      </c>
      <c r="AL82" s="4">
        <v>1</v>
      </c>
      <c r="AM82" s="4">
        <v>1</v>
      </c>
      <c r="AN82" s="4" t="s">
        <v>140</v>
      </c>
      <c r="AO82" s="4">
        <v>1</v>
      </c>
      <c r="AP82" s="4">
        <v>1</v>
      </c>
      <c r="AQ82" s="4">
        <v>1</v>
      </c>
      <c r="AR82" s="4" t="s">
        <v>140</v>
      </c>
      <c r="AS82" s="4">
        <v>1</v>
      </c>
      <c r="AT82" s="4" t="s">
        <v>615</v>
      </c>
    </row>
    <row r="83" spans="1:46" x14ac:dyDescent="0.2">
      <c r="A83" s="4">
        <f t="shared" si="4"/>
        <v>5</v>
      </c>
      <c r="B83" s="4">
        <f t="shared" si="5"/>
        <v>1</v>
      </c>
      <c r="C83" s="13" t="str">
        <f>VLOOKUP(B83,Correspondance!$D$3:$E$14,2,FALSE)</f>
        <v>Janvier</v>
      </c>
      <c r="D83" s="1" t="s">
        <v>566</v>
      </c>
      <c r="E83" s="2" t="s">
        <v>40</v>
      </c>
      <c r="F83" s="3" t="s">
        <v>61</v>
      </c>
      <c r="G83" s="4" t="s">
        <v>342</v>
      </c>
      <c r="H83" s="4" t="s">
        <v>343</v>
      </c>
      <c r="I83" s="5" t="s">
        <v>57</v>
      </c>
      <c r="J83" s="6">
        <v>88.333333333333329</v>
      </c>
      <c r="K83" s="4" t="s">
        <v>644</v>
      </c>
      <c r="L83" s="4" t="s">
        <v>114</v>
      </c>
      <c r="M83" s="4" t="s">
        <v>47</v>
      </c>
      <c r="N83" s="4" t="s">
        <v>645</v>
      </c>
      <c r="O83" s="4" t="s">
        <v>49</v>
      </c>
      <c r="P83" s="4">
        <v>1</v>
      </c>
      <c r="Q83" s="4">
        <v>1</v>
      </c>
      <c r="R83" s="4">
        <v>1</v>
      </c>
      <c r="S83" s="4">
        <v>1</v>
      </c>
      <c r="T83" s="4">
        <v>0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>
        <v>1</v>
      </c>
      <c r="AA83" s="4">
        <v>1</v>
      </c>
      <c r="AB83" s="4">
        <v>1</v>
      </c>
      <c r="AC83" s="4">
        <v>1</v>
      </c>
      <c r="AD83" s="4" t="s">
        <v>140</v>
      </c>
      <c r="AE83" s="4">
        <v>1</v>
      </c>
      <c r="AF83" s="4">
        <v>1</v>
      </c>
      <c r="AG83" s="4">
        <v>1</v>
      </c>
      <c r="AH83" s="4">
        <v>1</v>
      </c>
      <c r="AI83" s="4">
        <v>1</v>
      </c>
      <c r="AJ83" s="4">
        <v>1</v>
      </c>
      <c r="AK83" s="4">
        <v>1</v>
      </c>
      <c r="AL83" s="4">
        <v>1</v>
      </c>
      <c r="AM83" s="4">
        <v>1</v>
      </c>
      <c r="AN83" s="4" t="s">
        <v>140</v>
      </c>
      <c r="AO83" s="4">
        <v>1</v>
      </c>
      <c r="AP83" s="4">
        <v>1</v>
      </c>
      <c r="AQ83" s="4">
        <v>1</v>
      </c>
      <c r="AR83" s="4" t="s">
        <v>140</v>
      </c>
      <c r="AS83" s="4">
        <v>0</v>
      </c>
      <c r="AT83" s="4" t="s">
        <v>615</v>
      </c>
    </row>
    <row r="84" spans="1:46" x14ac:dyDescent="0.2">
      <c r="A84" s="4">
        <f t="shared" si="4"/>
        <v>5</v>
      </c>
      <c r="B84" s="4">
        <f t="shared" si="5"/>
        <v>1</v>
      </c>
      <c r="C84" s="13" t="str">
        <f>VLOOKUP(B84,Correspondance!$D$3:$E$14,2,FALSE)</f>
        <v>Janvier</v>
      </c>
      <c r="D84" s="1" t="s">
        <v>566</v>
      </c>
      <c r="E84" s="2" t="s">
        <v>40</v>
      </c>
      <c r="F84" s="3" t="s">
        <v>61</v>
      </c>
      <c r="G84" s="4" t="s">
        <v>68</v>
      </c>
      <c r="H84" s="4" t="s">
        <v>69</v>
      </c>
      <c r="I84" s="5" t="s">
        <v>57</v>
      </c>
      <c r="J84" s="6">
        <v>79.5</v>
      </c>
      <c r="K84" s="4" t="s">
        <v>646</v>
      </c>
      <c r="L84" s="4" t="s">
        <v>114</v>
      </c>
      <c r="M84" s="4" t="s">
        <v>47</v>
      </c>
      <c r="N84" s="4" t="s">
        <v>647</v>
      </c>
      <c r="O84" s="4" t="s">
        <v>49</v>
      </c>
      <c r="P84" s="4">
        <v>1</v>
      </c>
      <c r="Q84" s="4">
        <v>1</v>
      </c>
      <c r="R84" s="4">
        <v>1</v>
      </c>
      <c r="S84" s="4">
        <v>1</v>
      </c>
      <c r="T84" s="4">
        <v>0</v>
      </c>
      <c r="U84" s="4">
        <v>0</v>
      </c>
      <c r="V84" s="4">
        <v>1</v>
      </c>
      <c r="W84" s="4">
        <v>1</v>
      </c>
      <c r="X84" s="4">
        <v>1</v>
      </c>
      <c r="Y84" s="4">
        <v>1</v>
      </c>
      <c r="Z84" s="4">
        <v>1</v>
      </c>
      <c r="AA84" s="4">
        <v>0</v>
      </c>
      <c r="AB84" s="4">
        <v>1</v>
      </c>
      <c r="AC84" s="4">
        <v>1</v>
      </c>
      <c r="AD84" s="4" t="s">
        <v>140</v>
      </c>
      <c r="AE84" s="4">
        <v>1</v>
      </c>
      <c r="AF84" s="4">
        <v>1</v>
      </c>
      <c r="AG84" s="4">
        <v>1</v>
      </c>
      <c r="AH84" s="4">
        <v>1</v>
      </c>
      <c r="AI84" s="4">
        <v>1</v>
      </c>
      <c r="AJ84" s="4">
        <v>1</v>
      </c>
      <c r="AK84" s="4">
        <v>1</v>
      </c>
      <c r="AL84" s="4">
        <v>1</v>
      </c>
      <c r="AM84" s="4">
        <v>1</v>
      </c>
      <c r="AN84" s="4" t="s">
        <v>140</v>
      </c>
      <c r="AO84" s="4">
        <v>1</v>
      </c>
      <c r="AP84" s="4">
        <v>1</v>
      </c>
      <c r="AQ84" s="4">
        <v>1</v>
      </c>
      <c r="AR84" s="4" t="s">
        <v>140</v>
      </c>
      <c r="AS84" s="4">
        <v>0</v>
      </c>
      <c r="AT84" s="4" t="s">
        <v>615</v>
      </c>
    </row>
    <row r="85" spans="1:46" x14ac:dyDescent="0.2">
      <c r="A85" s="4">
        <f t="shared" si="4"/>
        <v>5</v>
      </c>
      <c r="B85" s="4">
        <f t="shared" si="5"/>
        <v>1</v>
      </c>
      <c r="C85" s="13" t="str">
        <f>VLOOKUP(B85,Correspondance!$D$3:$E$14,2,FALSE)</f>
        <v>Janvier</v>
      </c>
      <c r="D85" s="1" t="s">
        <v>566</v>
      </c>
      <c r="E85" s="2" t="s">
        <v>40</v>
      </c>
      <c r="F85" s="3" t="s">
        <v>61</v>
      </c>
      <c r="G85" s="4" t="s">
        <v>68</v>
      </c>
      <c r="H85" s="4" t="s">
        <v>69</v>
      </c>
      <c r="I85" s="5" t="s">
        <v>57</v>
      </c>
      <c r="J85" s="6">
        <v>90</v>
      </c>
      <c r="K85" s="4" t="s">
        <v>648</v>
      </c>
      <c r="L85" s="4" t="s">
        <v>114</v>
      </c>
      <c r="M85" s="4" t="s">
        <v>47</v>
      </c>
      <c r="N85" s="4" t="s">
        <v>643</v>
      </c>
      <c r="O85" s="4" t="s">
        <v>49</v>
      </c>
      <c r="P85" s="4">
        <v>1</v>
      </c>
      <c r="Q85" s="4">
        <v>1</v>
      </c>
      <c r="R85" s="4">
        <v>1</v>
      </c>
      <c r="S85" s="4">
        <v>1</v>
      </c>
      <c r="T85" s="4">
        <v>0</v>
      </c>
      <c r="U85" s="4">
        <v>0</v>
      </c>
      <c r="V85" s="4">
        <v>1</v>
      </c>
      <c r="W85" s="4">
        <v>1</v>
      </c>
      <c r="X85" s="4">
        <v>1</v>
      </c>
      <c r="Y85" s="4">
        <v>1</v>
      </c>
      <c r="Z85" s="4">
        <v>1</v>
      </c>
      <c r="AA85" s="4">
        <v>1</v>
      </c>
      <c r="AB85" s="4">
        <v>1</v>
      </c>
      <c r="AC85" s="4">
        <v>1</v>
      </c>
      <c r="AD85" s="4" t="s">
        <v>140</v>
      </c>
      <c r="AE85" s="4">
        <v>1</v>
      </c>
      <c r="AF85" s="4">
        <v>1</v>
      </c>
      <c r="AG85" s="4">
        <v>1</v>
      </c>
      <c r="AH85" s="4">
        <v>1</v>
      </c>
      <c r="AI85" s="4">
        <v>1</v>
      </c>
      <c r="AJ85" s="4" t="s">
        <v>140</v>
      </c>
      <c r="AK85" s="4">
        <v>1</v>
      </c>
      <c r="AL85" s="4">
        <v>1</v>
      </c>
      <c r="AM85" s="4">
        <v>1</v>
      </c>
      <c r="AN85" s="4" t="s">
        <v>140</v>
      </c>
      <c r="AO85" s="4">
        <v>1</v>
      </c>
      <c r="AP85" s="4">
        <v>1</v>
      </c>
      <c r="AQ85" s="4">
        <v>1</v>
      </c>
      <c r="AR85" s="4" t="s">
        <v>140</v>
      </c>
      <c r="AS85" s="4">
        <v>1</v>
      </c>
      <c r="AT85" s="4" t="s">
        <v>615</v>
      </c>
    </row>
    <row r="86" spans="1:46" x14ac:dyDescent="0.2">
      <c r="A86" s="4">
        <f t="shared" si="4"/>
        <v>5</v>
      </c>
      <c r="B86" s="4">
        <f t="shared" si="5"/>
        <v>1</v>
      </c>
      <c r="C86" s="13" t="str">
        <f>VLOOKUP(B86,Correspondance!$D$3:$E$14,2,FALSE)</f>
        <v>Janvier</v>
      </c>
      <c r="D86" s="1" t="s">
        <v>566</v>
      </c>
      <c r="E86" s="2" t="s">
        <v>40</v>
      </c>
      <c r="F86" s="3" t="s">
        <v>61</v>
      </c>
      <c r="G86" s="4" t="s">
        <v>68</v>
      </c>
      <c r="H86" s="4" t="s">
        <v>69</v>
      </c>
      <c r="I86" s="5" t="s">
        <v>57</v>
      </c>
      <c r="J86" s="6">
        <v>91.166666666666671</v>
      </c>
      <c r="K86" s="4" t="s">
        <v>649</v>
      </c>
      <c r="L86" s="4" t="s">
        <v>114</v>
      </c>
      <c r="M86" s="4" t="s">
        <v>47</v>
      </c>
      <c r="N86" s="4" t="s">
        <v>643</v>
      </c>
      <c r="O86" s="4" t="s">
        <v>491</v>
      </c>
      <c r="P86" s="4">
        <v>1</v>
      </c>
      <c r="Q86" s="4">
        <v>1</v>
      </c>
      <c r="R86" s="4">
        <v>1</v>
      </c>
      <c r="S86" s="4">
        <v>1</v>
      </c>
      <c r="T86" s="4">
        <v>0</v>
      </c>
      <c r="U86" s="4">
        <v>0</v>
      </c>
      <c r="V86" s="4">
        <v>1</v>
      </c>
      <c r="W86" s="4">
        <v>1</v>
      </c>
      <c r="X86" s="4">
        <v>1</v>
      </c>
      <c r="Y86" s="4">
        <v>1</v>
      </c>
      <c r="Z86" s="4">
        <v>1</v>
      </c>
      <c r="AA86" s="4">
        <v>1</v>
      </c>
      <c r="AB86" s="4">
        <v>1</v>
      </c>
      <c r="AC86" s="4">
        <v>1</v>
      </c>
      <c r="AD86" s="4" t="s">
        <v>140</v>
      </c>
      <c r="AE86" s="4">
        <v>1</v>
      </c>
      <c r="AF86" s="4">
        <v>1</v>
      </c>
      <c r="AG86" s="4">
        <v>1</v>
      </c>
      <c r="AH86" s="4">
        <v>1</v>
      </c>
      <c r="AI86" s="4">
        <v>1</v>
      </c>
      <c r="AJ86" s="4">
        <v>1</v>
      </c>
      <c r="AK86" s="4">
        <v>1</v>
      </c>
      <c r="AL86" s="4">
        <v>1</v>
      </c>
      <c r="AM86" s="4">
        <v>1</v>
      </c>
      <c r="AN86" s="4" t="s">
        <v>140</v>
      </c>
      <c r="AO86" s="4">
        <v>1</v>
      </c>
      <c r="AP86" s="4">
        <v>1</v>
      </c>
      <c r="AQ86" s="4">
        <v>1</v>
      </c>
      <c r="AR86" s="4" t="s">
        <v>140</v>
      </c>
      <c r="AS86" s="4">
        <v>1</v>
      </c>
      <c r="AT86" s="4" t="s">
        <v>615</v>
      </c>
    </row>
    <row r="87" spans="1:46" x14ac:dyDescent="0.2">
      <c r="A87" s="4">
        <f t="shared" si="4"/>
        <v>5</v>
      </c>
      <c r="B87" s="4">
        <f t="shared" si="5"/>
        <v>1</v>
      </c>
      <c r="C87" s="13" t="str">
        <f>VLOOKUP(B87,Correspondance!$D$3:$E$14,2,FALSE)</f>
        <v>Janvier</v>
      </c>
      <c r="D87" s="1" t="s">
        <v>566</v>
      </c>
      <c r="E87" s="2" t="s">
        <v>40</v>
      </c>
      <c r="F87" s="3" t="s">
        <v>61</v>
      </c>
      <c r="G87" s="4" t="s">
        <v>505</v>
      </c>
      <c r="H87" s="4" t="s">
        <v>506</v>
      </c>
      <c r="I87" s="5" t="s">
        <v>57</v>
      </c>
      <c r="J87" s="6">
        <v>71.5</v>
      </c>
      <c r="K87" s="4" t="s">
        <v>650</v>
      </c>
      <c r="L87" s="4" t="s">
        <v>114</v>
      </c>
      <c r="M87" s="4" t="s">
        <v>47</v>
      </c>
      <c r="N87" s="4" t="s">
        <v>643</v>
      </c>
      <c r="O87" s="4" t="s">
        <v>49</v>
      </c>
      <c r="P87" s="4">
        <v>1</v>
      </c>
      <c r="Q87" s="4">
        <v>1</v>
      </c>
      <c r="R87" s="4">
        <v>1</v>
      </c>
      <c r="S87" s="4">
        <v>1</v>
      </c>
      <c r="T87" s="4">
        <v>0</v>
      </c>
      <c r="U87" s="4">
        <v>1</v>
      </c>
      <c r="V87" s="4">
        <v>1</v>
      </c>
      <c r="W87" s="4">
        <v>0</v>
      </c>
      <c r="X87" s="4">
        <v>1</v>
      </c>
      <c r="Y87" s="4">
        <v>1</v>
      </c>
      <c r="Z87" s="4">
        <v>1</v>
      </c>
      <c r="AA87" s="4">
        <v>1</v>
      </c>
      <c r="AB87" s="4">
        <v>1</v>
      </c>
      <c r="AC87" s="4">
        <v>1</v>
      </c>
      <c r="AD87" s="4" t="s">
        <v>140</v>
      </c>
      <c r="AE87" s="4" t="s">
        <v>140</v>
      </c>
      <c r="AF87" s="4">
        <v>0</v>
      </c>
      <c r="AG87" s="4">
        <v>1</v>
      </c>
      <c r="AH87" s="4">
        <v>1</v>
      </c>
      <c r="AI87" s="4">
        <v>1</v>
      </c>
      <c r="AJ87" s="4" t="s">
        <v>140</v>
      </c>
      <c r="AK87" s="4">
        <v>1</v>
      </c>
      <c r="AL87" s="4" t="s">
        <v>140</v>
      </c>
      <c r="AM87" s="4">
        <v>1</v>
      </c>
      <c r="AN87" s="4" t="s">
        <v>140</v>
      </c>
      <c r="AO87" s="4">
        <v>1</v>
      </c>
      <c r="AP87" s="4">
        <v>1</v>
      </c>
      <c r="AQ87" s="4">
        <v>1</v>
      </c>
      <c r="AR87" s="4" t="s">
        <v>140</v>
      </c>
      <c r="AS87" s="4">
        <v>0</v>
      </c>
      <c r="AT87" s="4" t="s">
        <v>615</v>
      </c>
    </row>
    <row r="88" spans="1:46" x14ac:dyDescent="0.2">
      <c r="A88" s="4">
        <f t="shared" si="4"/>
        <v>5</v>
      </c>
      <c r="B88" s="4">
        <f t="shared" si="5"/>
        <v>2</v>
      </c>
      <c r="C88" s="13" t="str">
        <f>VLOOKUP(B88,Correspondance!$D$3:$E$14,2,FALSE)</f>
        <v>Février</v>
      </c>
      <c r="D88" s="1" t="s">
        <v>1066</v>
      </c>
      <c r="E88" s="2" t="s">
        <v>40</v>
      </c>
      <c r="F88" s="3" t="s">
        <v>41</v>
      </c>
      <c r="G88" s="4" t="s">
        <v>109</v>
      </c>
      <c r="H88" s="4" t="s">
        <v>110</v>
      </c>
      <c r="I88" s="5" t="s">
        <v>57</v>
      </c>
      <c r="J88" s="6">
        <v>82.25</v>
      </c>
      <c r="K88" s="4" t="s">
        <v>1067</v>
      </c>
      <c r="L88" s="4" t="s">
        <v>46</v>
      </c>
      <c r="M88" s="4" t="s">
        <v>47</v>
      </c>
      <c r="N88" s="4" t="s">
        <v>1068</v>
      </c>
      <c r="O88" s="4" t="s">
        <v>49</v>
      </c>
      <c r="P88" s="4">
        <v>1</v>
      </c>
      <c r="Q88" s="4">
        <v>1</v>
      </c>
      <c r="R88" s="4">
        <v>1</v>
      </c>
      <c r="S88" s="4">
        <v>1</v>
      </c>
      <c r="T88" s="4">
        <v>0</v>
      </c>
      <c r="U88" s="4">
        <v>0</v>
      </c>
      <c r="V88" s="4">
        <v>1</v>
      </c>
      <c r="W88" s="4">
        <v>0</v>
      </c>
      <c r="X88" s="4">
        <v>1</v>
      </c>
      <c r="Y88" s="4">
        <v>1</v>
      </c>
      <c r="Z88" s="4">
        <v>1</v>
      </c>
      <c r="AA88" s="4">
        <v>1</v>
      </c>
      <c r="AB88" s="4">
        <v>1</v>
      </c>
      <c r="AC88" s="4">
        <v>1</v>
      </c>
      <c r="AD88" s="4" t="s">
        <v>140</v>
      </c>
      <c r="AE88" s="4">
        <v>1</v>
      </c>
      <c r="AF88" s="4">
        <v>1</v>
      </c>
      <c r="AG88" s="4">
        <v>1</v>
      </c>
      <c r="AH88" s="4">
        <v>1</v>
      </c>
      <c r="AI88" s="4">
        <v>1</v>
      </c>
      <c r="AJ88" s="4" t="s">
        <v>140</v>
      </c>
      <c r="AK88" s="4">
        <v>0</v>
      </c>
      <c r="AL88" s="4">
        <v>1</v>
      </c>
      <c r="AM88" s="4">
        <v>1</v>
      </c>
      <c r="AN88" s="4" t="s">
        <v>140</v>
      </c>
      <c r="AO88" s="4">
        <v>1</v>
      </c>
      <c r="AP88" s="4">
        <v>1</v>
      </c>
      <c r="AQ88" s="4">
        <v>0</v>
      </c>
      <c r="AR88" s="4" t="s">
        <v>140</v>
      </c>
      <c r="AS88" s="4">
        <v>1</v>
      </c>
      <c r="AT88" s="4" t="s">
        <v>1069</v>
      </c>
    </row>
    <row r="89" spans="1:46" x14ac:dyDescent="0.2">
      <c r="A89" s="4">
        <f t="shared" si="4"/>
        <v>5</v>
      </c>
      <c r="B89" s="4">
        <f t="shared" si="5"/>
        <v>2</v>
      </c>
      <c r="C89" s="13" t="str">
        <f>VLOOKUP(B89,Correspondance!$D$3:$E$14,2,FALSE)</f>
        <v>Février</v>
      </c>
      <c r="D89" s="1" t="s">
        <v>1066</v>
      </c>
      <c r="E89" s="2" t="s">
        <v>40</v>
      </c>
      <c r="F89" s="3" t="s">
        <v>52</v>
      </c>
      <c r="G89" s="4" t="s">
        <v>135</v>
      </c>
      <c r="H89" s="4" t="s">
        <v>136</v>
      </c>
      <c r="I89" s="5" t="s">
        <v>57</v>
      </c>
      <c r="J89" s="6">
        <v>73.833333333333329</v>
      </c>
      <c r="K89" s="4" t="s">
        <v>1070</v>
      </c>
      <c r="L89" s="4" t="s">
        <v>46</v>
      </c>
      <c r="M89" s="4" t="s">
        <v>47</v>
      </c>
      <c r="N89" s="4" t="s">
        <v>643</v>
      </c>
      <c r="O89" s="4" t="s">
        <v>49</v>
      </c>
      <c r="P89" s="4">
        <v>1</v>
      </c>
      <c r="Q89" s="4">
        <v>0</v>
      </c>
      <c r="R89" s="4">
        <v>1</v>
      </c>
      <c r="S89" s="4">
        <v>1</v>
      </c>
      <c r="T89" s="4">
        <v>0</v>
      </c>
      <c r="U89" s="4">
        <v>0</v>
      </c>
      <c r="V89" s="4">
        <v>1</v>
      </c>
      <c r="W89" s="4">
        <v>1</v>
      </c>
      <c r="X89" s="4">
        <v>1</v>
      </c>
      <c r="Y89" s="4">
        <v>1</v>
      </c>
      <c r="Z89" s="4">
        <v>1</v>
      </c>
      <c r="AA89" s="4">
        <v>1</v>
      </c>
      <c r="AB89" s="4">
        <v>1</v>
      </c>
      <c r="AC89" s="4">
        <v>1</v>
      </c>
      <c r="AD89" s="4" t="s">
        <v>140</v>
      </c>
      <c r="AE89" s="4">
        <v>1</v>
      </c>
      <c r="AF89" s="4">
        <v>1</v>
      </c>
      <c r="AG89" s="4">
        <v>1</v>
      </c>
      <c r="AH89" s="4">
        <v>1</v>
      </c>
      <c r="AI89" s="4">
        <v>1</v>
      </c>
      <c r="AJ89" s="4">
        <v>1</v>
      </c>
      <c r="AK89" s="4">
        <v>0</v>
      </c>
      <c r="AL89" s="4">
        <v>0</v>
      </c>
      <c r="AM89" s="4">
        <v>1</v>
      </c>
      <c r="AN89" s="4" t="s">
        <v>140</v>
      </c>
      <c r="AO89" s="4">
        <v>1</v>
      </c>
      <c r="AP89" s="4">
        <v>1</v>
      </c>
      <c r="AQ89" s="4">
        <v>0</v>
      </c>
      <c r="AR89" s="4" t="s">
        <v>140</v>
      </c>
      <c r="AS89" s="4">
        <v>0</v>
      </c>
      <c r="AT89" s="4" t="s">
        <v>1071</v>
      </c>
    </row>
    <row r="90" spans="1:46" x14ac:dyDescent="0.2">
      <c r="A90" s="4">
        <f t="shared" si="4"/>
        <v>5</v>
      </c>
      <c r="B90" s="4">
        <f t="shared" si="5"/>
        <v>2</v>
      </c>
      <c r="C90" s="13" t="str">
        <f>VLOOKUP(B90,Correspondance!$D$3:$E$14,2,FALSE)</f>
        <v>Février</v>
      </c>
      <c r="D90" s="1" t="s">
        <v>1066</v>
      </c>
      <c r="E90" s="2" t="s">
        <v>40</v>
      </c>
      <c r="F90" s="3" t="s">
        <v>61</v>
      </c>
      <c r="G90" s="4" t="s">
        <v>101</v>
      </c>
      <c r="H90" s="4" t="s">
        <v>102</v>
      </c>
      <c r="I90" s="5" t="s">
        <v>57</v>
      </c>
      <c r="J90" s="6">
        <v>89.5</v>
      </c>
      <c r="K90" s="4" t="s">
        <v>1072</v>
      </c>
      <c r="L90" s="4" t="s">
        <v>46</v>
      </c>
      <c r="M90" s="4" t="s">
        <v>47</v>
      </c>
      <c r="N90" s="4" t="s">
        <v>507</v>
      </c>
      <c r="O90" s="4" t="s">
        <v>49</v>
      </c>
      <c r="P90" s="4">
        <v>1</v>
      </c>
      <c r="Q90" s="4">
        <v>1</v>
      </c>
      <c r="R90" s="4">
        <v>1</v>
      </c>
      <c r="S90" s="4">
        <v>1</v>
      </c>
      <c r="T90" s="4">
        <v>1</v>
      </c>
      <c r="U90" s="4">
        <v>0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1</v>
      </c>
      <c r="AC90" s="4">
        <v>1</v>
      </c>
      <c r="AD90" s="4" t="s">
        <v>140</v>
      </c>
      <c r="AE90" s="4">
        <v>0</v>
      </c>
      <c r="AF90" s="4">
        <v>1</v>
      </c>
      <c r="AG90" s="4">
        <v>1</v>
      </c>
      <c r="AH90" s="4">
        <v>1</v>
      </c>
      <c r="AI90" s="4">
        <v>1</v>
      </c>
      <c r="AJ90" s="4" t="s">
        <v>140</v>
      </c>
      <c r="AK90" s="4">
        <v>1</v>
      </c>
      <c r="AL90" s="4">
        <v>0</v>
      </c>
      <c r="AM90" s="4">
        <v>1</v>
      </c>
      <c r="AN90" s="4" t="s">
        <v>140</v>
      </c>
      <c r="AO90" s="4">
        <v>1</v>
      </c>
      <c r="AP90" s="4">
        <v>1</v>
      </c>
      <c r="AQ90" s="4">
        <v>1</v>
      </c>
      <c r="AR90" s="4" t="s">
        <v>140</v>
      </c>
      <c r="AS90" s="4">
        <v>1</v>
      </c>
      <c r="AT90" s="4" t="s">
        <v>1073</v>
      </c>
    </row>
    <row r="91" spans="1:46" x14ac:dyDescent="0.2">
      <c r="A91" s="4">
        <f t="shared" si="4"/>
        <v>5</v>
      </c>
      <c r="B91" s="4">
        <f t="shared" si="5"/>
        <v>2</v>
      </c>
      <c r="C91" s="13" t="str">
        <f>VLOOKUP(B91,Correspondance!$D$3:$E$14,2,FALSE)</f>
        <v>Février</v>
      </c>
      <c r="D91" s="1" t="s">
        <v>1066</v>
      </c>
      <c r="E91" s="2" t="s">
        <v>40</v>
      </c>
      <c r="F91" s="3" t="s">
        <v>61</v>
      </c>
      <c r="G91" s="4" t="s">
        <v>68</v>
      </c>
      <c r="H91" s="4" t="s">
        <v>69</v>
      </c>
      <c r="I91" s="5" t="s">
        <v>61</v>
      </c>
      <c r="J91" s="6">
        <v>98</v>
      </c>
      <c r="K91" s="4" t="s">
        <v>1074</v>
      </c>
      <c r="L91" s="4" t="s">
        <v>66</v>
      </c>
      <c r="M91" s="4" t="s">
        <v>47</v>
      </c>
      <c r="N91" s="4" t="s">
        <v>1075</v>
      </c>
      <c r="O91" s="4" t="s">
        <v>49</v>
      </c>
      <c r="P91" s="4">
        <v>1</v>
      </c>
      <c r="Q91" s="4" t="s">
        <v>140</v>
      </c>
      <c r="R91" s="4">
        <v>1</v>
      </c>
      <c r="S91" s="4">
        <v>1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>
        <v>1</v>
      </c>
      <c r="Z91" s="4">
        <v>0</v>
      </c>
      <c r="AA91" s="4">
        <v>1</v>
      </c>
      <c r="AB91" s="4">
        <v>1</v>
      </c>
      <c r="AC91" s="4">
        <v>1</v>
      </c>
      <c r="AD91" s="4" t="s">
        <v>140</v>
      </c>
      <c r="AE91" s="4">
        <v>1</v>
      </c>
      <c r="AF91" s="4">
        <v>1</v>
      </c>
      <c r="AG91" s="4">
        <v>1</v>
      </c>
      <c r="AH91" s="4">
        <v>1</v>
      </c>
      <c r="AI91" s="4">
        <v>1</v>
      </c>
      <c r="AJ91" s="4">
        <v>1</v>
      </c>
      <c r="AK91" s="4">
        <v>1</v>
      </c>
      <c r="AL91" s="4">
        <v>1</v>
      </c>
      <c r="AM91" s="4">
        <v>1</v>
      </c>
      <c r="AN91" s="4" t="s">
        <v>140</v>
      </c>
      <c r="AO91" s="4">
        <v>1</v>
      </c>
      <c r="AP91" s="4">
        <v>1</v>
      </c>
      <c r="AQ91" s="4">
        <v>1</v>
      </c>
      <c r="AR91" s="4" t="s">
        <v>140</v>
      </c>
      <c r="AS91" s="4">
        <v>1</v>
      </c>
      <c r="AT91" s="4" t="s">
        <v>1066</v>
      </c>
    </row>
    <row r="92" spans="1:46" x14ac:dyDescent="0.2">
      <c r="A92" s="4">
        <f t="shared" si="4"/>
        <v>5</v>
      </c>
      <c r="B92" s="4">
        <f t="shared" si="5"/>
        <v>2</v>
      </c>
      <c r="C92" s="13" t="str">
        <f>VLOOKUP(B92,Correspondance!$D$3:$E$14,2,FALSE)</f>
        <v>Février</v>
      </c>
      <c r="D92" s="1" t="s">
        <v>1076</v>
      </c>
      <c r="E92" s="2" t="s">
        <v>40</v>
      </c>
      <c r="F92" s="3" t="s">
        <v>61</v>
      </c>
      <c r="G92" s="4" t="s">
        <v>101</v>
      </c>
      <c r="H92" s="4" t="s">
        <v>102</v>
      </c>
      <c r="I92" s="5" t="s">
        <v>61</v>
      </c>
      <c r="J92" s="6">
        <v>95</v>
      </c>
      <c r="K92" s="4" t="s">
        <v>1077</v>
      </c>
      <c r="L92" s="4" t="s">
        <v>66</v>
      </c>
      <c r="M92" s="4" t="s">
        <v>47</v>
      </c>
      <c r="N92" s="4" t="s">
        <v>1078</v>
      </c>
      <c r="O92" s="4" t="s">
        <v>49</v>
      </c>
      <c r="P92" s="4">
        <v>1</v>
      </c>
      <c r="Q92" s="4">
        <v>1</v>
      </c>
      <c r="R92" s="4">
        <v>1</v>
      </c>
      <c r="S92" s="4">
        <v>1</v>
      </c>
      <c r="T92" s="4">
        <v>1</v>
      </c>
      <c r="U92" s="4">
        <v>1</v>
      </c>
      <c r="V92" s="4">
        <v>0</v>
      </c>
      <c r="W92" s="4">
        <v>1</v>
      </c>
      <c r="X92" s="4">
        <v>1</v>
      </c>
      <c r="Y92" s="4">
        <v>1</v>
      </c>
      <c r="Z92" s="4">
        <v>1</v>
      </c>
      <c r="AA92" s="4">
        <v>1</v>
      </c>
      <c r="AB92" s="4">
        <v>1</v>
      </c>
      <c r="AC92" s="4">
        <v>1</v>
      </c>
      <c r="AD92" s="4">
        <v>1</v>
      </c>
      <c r="AE92" s="4">
        <v>1</v>
      </c>
      <c r="AF92" s="4">
        <v>1</v>
      </c>
      <c r="AG92" s="4">
        <v>1</v>
      </c>
      <c r="AH92" s="4">
        <v>1</v>
      </c>
      <c r="AI92" s="4">
        <v>1</v>
      </c>
      <c r="AJ92" s="4">
        <v>1</v>
      </c>
      <c r="AK92" s="4">
        <v>1</v>
      </c>
      <c r="AL92" s="4">
        <v>1</v>
      </c>
      <c r="AM92" s="4">
        <v>1</v>
      </c>
      <c r="AN92" s="4" t="s">
        <v>140</v>
      </c>
      <c r="AO92" s="4">
        <v>1</v>
      </c>
      <c r="AP92" s="4">
        <v>1</v>
      </c>
      <c r="AQ92" s="4">
        <v>1</v>
      </c>
      <c r="AR92" s="4">
        <v>1</v>
      </c>
      <c r="AS92" s="4">
        <v>0</v>
      </c>
      <c r="AT92" s="4" t="s">
        <v>1076</v>
      </c>
    </row>
    <row r="93" spans="1:46" x14ac:dyDescent="0.2">
      <c r="A93" s="4">
        <f t="shared" si="4"/>
        <v>5</v>
      </c>
      <c r="B93" s="4">
        <f t="shared" si="5"/>
        <v>2</v>
      </c>
      <c r="C93" s="13" t="str">
        <f>VLOOKUP(B93,Correspondance!$D$3:$E$14,2,FALSE)</f>
        <v>Février</v>
      </c>
      <c r="D93" s="1" t="s">
        <v>1076</v>
      </c>
      <c r="E93" s="2" t="s">
        <v>40</v>
      </c>
      <c r="F93" s="3" t="s">
        <v>61</v>
      </c>
      <c r="G93" s="4" t="s">
        <v>342</v>
      </c>
      <c r="H93" s="4" t="s">
        <v>343</v>
      </c>
      <c r="I93" s="5" t="s">
        <v>61</v>
      </c>
      <c r="J93" s="6">
        <v>95</v>
      </c>
      <c r="K93" s="4" t="s">
        <v>500</v>
      </c>
      <c r="L93" s="4" t="s">
        <v>66</v>
      </c>
      <c r="M93" s="4" t="s">
        <v>74</v>
      </c>
      <c r="N93" s="4" t="s">
        <v>714</v>
      </c>
      <c r="O93" s="4" t="s">
        <v>49</v>
      </c>
      <c r="P93" s="4">
        <v>1</v>
      </c>
      <c r="Q93" s="4">
        <v>1</v>
      </c>
      <c r="R93" s="4">
        <v>1</v>
      </c>
      <c r="S93" s="4">
        <v>1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>
        <v>1</v>
      </c>
      <c r="Z93" s="4">
        <v>1</v>
      </c>
      <c r="AA93" s="4">
        <v>1</v>
      </c>
      <c r="AB93" s="4">
        <v>1</v>
      </c>
      <c r="AC93" s="4">
        <v>1</v>
      </c>
      <c r="AD93" s="4">
        <v>1</v>
      </c>
      <c r="AE93" s="4">
        <v>1</v>
      </c>
      <c r="AF93" s="4">
        <v>1</v>
      </c>
      <c r="AG93" s="4">
        <v>1</v>
      </c>
      <c r="AH93" s="4">
        <v>1</v>
      </c>
      <c r="AI93" s="4">
        <v>1</v>
      </c>
      <c r="AJ93" s="4">
        <v>0</v>
      </c>
      <c r="AK93" s="4">
        <v>1</v>
      </c>
      <c r="AL93" s="4">
        <v>1</v>
      </c>
      <c r="AM93" s="4">
        <v>1</v>
      </c>
      <c r="AN93" s="4" t="s">
        <v>140</v>
      </c>
      <c r="AO93" s="4">
        <v>1</v>
      </c>
      <c r="AP93" s="4">
        <v>1</v>
      </c>
      <c r="AQ93" s="4">
        <v>1</v>
      </c>
      <c r="AR93" s="4">
        <v>1</v>
      </c>
      <c r="AS93" s="4">
        <v>1</v>
      </c>
      <c r="AT93" s="4" t="s">
        <v>1079</v>
      </c>
    </row>
    <row r="94" spans="1:46" x14ac:dyDescent="0.2">
      <c r="A94" s="4">
        <f t="shared" si="4"/>
        <v>5</v>
      </c>
      <c r="B94" s="4">
        <f t="shared" si="5"/>
        <v>2</v>
      </c>
      <c r="C94" s="13" t="str">
        <f>VLOOKUP(B94,Correspondance!$D$3:$E$14,2,FALSE)</f>
        <v>Février</v>
      </c>
      <c r="D94" s="1" t="s">
        <v>1076</v>
      </c>
      <c r="E94" s="2" t="s">
        <v>40</v>
      </c>
      <c r="F94" s="3" t="s">
        <v>61</v>
      </c>
      <c r="G94" s="4" t="s">
        <v>505</v>
      </c>
      <c r="H94" s="4" t="s">
        <v>506</v>
      </c>
      <c r="I94" s="5" t="s">
        <v>61</v>
      </c>
      <c r="J94" s="6">
        <v>96.25</v>
      </c>
      <c r="K94" s="4" t="s">
        <v>1080</v>
      </c>
      <c r="L94" s="4" t="s">
        <v>66</v>
      </c>
      <c r="M94" s="4" t="s">
        <v>47</v>
      </c>
      <c r="N94" s="4" t="s">
        <v>493</v>
      </c>
      <c r="O94" s="4" t="s">
        <v>49</v>
      </c>
      <c r="P94" s="4">
        <v>1</v>
      </c>
      <c r="Q94" s="4">
        <v>1</v>
      </c>
      <c r="R94" s="4">
        <v>1</v>
      </c>
      <c r="S94" s="4">
        <v>1</v>
      </c>
      <c r="T94" s="4">
        <v>1</v>
      </c>
      <c r="U94" s="4">
        <v>1</v>
      </c>
      <c r="V94" s="4">
        <v>1</v>
      </c>
      <c r="W94" s="4">
        <v>1</v>
      </c>
      <c r="X94" s="4">
        <v>1</v>
      </c>
      <c r="Y94" s="4">
        <v>1</v>
      </c>
      <c r="Z94" s="4">
        <v>1</v>
      </c>
      <c r="AA94" s="4">
        <v>1</v>
      </c>
      <c r="AB94" s="4">
        <v>1</v>
      </c>
      <c r="AC94" s="4">
        <v>1</v>
      </c>
      <c r="AD94" s="4">
        <v>1</v>
      </c>
      <c r="AE94" s="4">
        <v>1</v>
      </c>
      <c r="AF94" s="4">
        <v>1</v>
      </c>
      <c r="AG94" s="4">
        <v>1</v>
      </c>
      <c r="AH94" s="4">
        <v>1</v>
      </c>
      <c r="AI94" s="4">
        <v>1</v>
      </c>
      <c r="AJ94" s="4" t="s">
        <v>140</v>
      </c>
      <c r="AK94" s="4">
        <v>1</v>
      </c>
      <c r="AL94" s="4">
        <v>0</v>
      </c>
      <c r="AM94" s="4">
        <v>1</v>
      </c>
      <c r="AN94" s="4" t="s">
        <v>140</v>
      </c>
      <c r="AO94" s="4">
        <v>1</v>
      </c>
      <c r="AP94" s="4">
        <v>1</v>
      </c>
      <c r="AQ94" s="4">
        <v>1</v>
      </c>
      <c r="AR94" s="4" t="s">
        <v>140</v>
      </c>
      <c r="AS94" s="4">
        <v>1</v>
      </c>
      <c r="AT94" s="4" t="s">
        <v>1076</v>
      </c>
    </row>
    <row r="95" spans="1:46" x14ac:dyDescent="0.2">
      <c r="A95" s="4">
        <f t="shared" si="4"/>
        <v>6</v>
      </c>
      <c r="B95" s="4">
        <f t="shared" si="5"/>
        <v>2</v>
      </c>
      <c r="C95" s="13" t="str">
        <f>VLOOKUP(B95,Correspondance!$D$3:$E$14,2,FALSE)</f>
        <v>Février</v>
      </c>
      <c r="D95" s="1" t="s">
        <v>1081</v>
      </c>
      <c r="E95" s="2" t="s">
        <v>40</v>
      </c>
      <c r="F95" s="3" t="s">
        <v>41</v>
      </c>
      <c r="G95" s="4" t="s">
        <v>109</v>
      </c>
      <c r="H95" s="4" t="s">
        <v>110</v>
      </c>
      <c r="I95" s="5" t="s">
        <v>41</v>
      </c>
      <c r="J95" s="6">
        <v>86.25</v>
      </c>
      <c r="K95" s="4" t="s">
        <v>1082</v>
      </c>
      <c r="L95" s="4" t="s">
        <v>66</v>
      </c>
      <c r="M95" s="4" t="s">
        <v>47</v>
      </c>
      <c r="N95" s="4" t="s">
        <v>1015</v>
      </c>
      <c r="O95" s="4" t="s">
        <v>49</v>
      </c>
      <c r="P95" s="4">
        <v>1</v>
      </c>
      <c r="Q95" s="4">
        <v>0</v>
      </c>
      <c r="R95" s="4">
        <v>1</v>
      </c>
      <c r="S95" s="4">
        <v>1</v>
      </c>
      <c r="T95" s="4">
        <v>0</v>
      </c>
      <c r="U95" s="4">
        <v>0</v>
      </c>
      <c r="V95" s="4">
        <v>1</v>
      </c>
      <c r="W95" s="4">
        <v>1</v>
      </c>
      <c r="X95" s="4">
        <v>1</v>
      </c>
      <c r="Y95" s="4">
        <v>1</v>
      </c>
      <c r="Z95" s="4">
        <v>1</v>
      </c>
      <c r="AA95" s="4">
        <v>1</v>
      </c>
      <c r="AB95" s="4">
        <v>1</v>
      </c>
      <c r="AC95" s="4">
        <v>1</v>
      </c>
      <c r="AD95" s="4" t="s">
        <v>140</v>
      </c>
      <c r="AE95" s="4">
        <v>1</v>
      </c>
      <c r="AF95" s="4">
        <v>1</v>
      </c>
      <c r="AG95" s="4">
        <v>1</v>
      </c>
      <c r="AH95" s="4">
        <v>1</v>
      </c>
      <c r="AI95" s="4">
        <v>1</v>
      </c>
      <c r="AJ95" s="4" t="s">
        <v>140</v>
      </c>
      <c r="AK95" s="4" t="s">
        <v>140</v>
      </c>
      <c r="AL95" s="4" t="s">
        <v>140</v>
      </c>
      <c r="AM95" s="4">
        <v>1</v>
      </c>
      <c r="AN95" s="4">
        <v>1</v>
      </c>
      <c r="AO95" s="4">
        <v>1</v>
      </c>
      <c r="AP95" s="4">
        <v>1</v>
      </c>
      <c r="AQ95" s="4" t="s">
        <v>140</v>
      </c>
      <c r="AR95" s="4" t="s">
        <v>140</v>
      </c>
      <c r="AS95" s="4">
        <v>1</v>
      </c>
      <c r="AT95" s="4" t="s">
        <v>1069</v>
      </c>
    </row>
    <row r="96" spans="1:46" x14ac:dyDescent="0.2">
      <c r="A96" s="4">
        <f t="shared" si="4"/>
        <v>6</v>
      </c>
      <c r="B96" s="4">
        <f t="shared" si="5"/>
        <v>2</v>
      </c>
      <c r="C96" s="13" t="str">
        <f>VLOOKUP(B96,Correspondance!$D$3:$E$14,2,FALSE)</f>
        <v>Février</v>
      </c>
      <c r="D96" s="1" t="s">
        <v>1081</v>
      </c>
      <c r="E96" s="2" t="s">
        <v>40</v>
      </c>
      <c r="F96" s="3" t="s">
        <v>41</v>
      </c>
      <c r="G96" s="4" t="s">
        <v>42</v>
      </c>
      <c r="H96" s="4" t="s">
        <v>43</v>
      </c>
      <c r="I96" s="5" t="s">
        <v>41</v>
      </c>
      <c r="J96" s="6">
        <v>97</v>
      </c>
      <c r="K96" s="4" t="s">
        <v>1083</v>
      </c>
      <c r="L96" s="4" t="s">
        <v>66</v>
      </c>
      <c r="M96" s="4" t="s">
        <v>74</v>
      </c>
      <c r="N96" s="4" t="s">
        <v>1084</v>
      </c>
      <c r="O96" s="4" t="s">
        <v>49</v>
      </c>
      <c r="P96" s="4">
        <v>1</v>
      </c>
      <c r="Q96" s="4">
        <v>1</v>
      </c>
      <c r="R96" s="4">
        <v>1</v>
      </c>
      <c r="S96" s="4">
        <v>1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>
        <v>1</v>
      </c>
      <c r="Z96" s="4">
        <v>1</v>
      </c>
      <c r="AA96" s="4">
        <v>1</v>
      </c>
      <c r="AB96" s="4">
        <v>1</v>
      </c>
      <c r="AC96" s="4">
        <v>1</v>
      </c>
      <c r="AD96" s="4" t="s">
        <v>140</v>
      </c>
      <c r="AE96" s="4">
        <v>0</v>
      </c>
      <c r="AF96" s="4">
        <v>1</v>
      </c>
      <c r="AG96" s="4">
        <v>1</v>
      </c>
      <c r="AH96" s="4">
        <v>1</v>
      </c>
      <c r="AI96" s="4">
        <v>1</v>
      </c>
      <c r="AJ96" s="4" t="s">
        <v>140</v>
      </c>
      <c r="AK96" s="4">
        <v>1</v>
      </c>
      <c r="AL96" s="4">
        <v>1</v>
      </c>
      <c r="AM96" s="4">
        <v>1</v>
      </c>
      <c r="AN96" s="4">
        <v>1</v>
      </c>
      <c r="AO96" s="4">
        <v>1</v>
      </c>
      <c r="AP96" s="4">
        <v>1</v>
      </c>
      <c r="AQ96" s="4">
        <v>1</v>
      </c>
      <c r="AR96" s="4" t="s">
        <v>140</v>
      </c>
      <c r="AS96" s="4">
        <v>1</v>
      </c>
      <c r="AT96" s="4" t="s">
        <v>1085</v>
      </c>
    </row>
    <row r="97" spans="1:46" x14ac:dyDescent="0.2">
      <c r="A97" s="4">
        <f t="shared" ref="A97:A128" si="6">WEEKNUM(D97)</f>
        <v>6</v>
      </c>
      <c r="B97" s="4">
        <f t="shared" ref="B97:B128" si="7">MONTH(D97)</f>
        <v>2</v>
      </c>
      <c r="C97" s="13" t="str">
        <f>VLOOKUP(B97,Correspondance!$D$3:$E$14,2,FALSE)</f>
        <v>Février</v>
      </c>
      <c r="D97" s="1" t="s">
        <v>1081</v>
      </c>
      <c r="E97" s="2" t="s">
        <v>40</v>
      </c>
      <c r="F97" s="3" t="s">
        <v>52</v>
      </c>
      <c r="G97" s="4" t="s">
        <v>93</v>
      </c>
      <c r="H97" s="4" t="s">
        <v>94</v>
      </c>
      <c r="I97" s="5" t="s">
        <v>57</v>
      </c>
      <c r="J97" s="6">
        <v>91</v>
      </c>
      <c r="K97" s="4" t="s">
        <v>1086</v>
      </c>
      <c r="L97" s="4" t="s">
        <v>46</v>
      </c>
      <c r="M97" s="4" t="s">
        <v>74</v>
      </c>
      <c r="N97" s="4" t="s">
        <v>570</v>
      </c>
      <c r="O97" s="4" t="s">
        <v>49</v>
      </c>
      <c r="P97" s="4">
        <v>1</v>
      </c>
      <c r="Q97" s="4">
        <v>1</v>
      </c>
      <c r="R97" s="4">
        <v>1</v>
      </c>
      <c r="S97" s="4">
        <v>1</v>
      </c>
      <c r="T97" s="4">
        <v>1</v>
      </c>
      <c r="U97" s="4">
        <v>1</v>
      </c>
      <c r="V97" s="4">
        <v>1</v>
      </c>
      <c r="W97" s="4">
        <v>1</v>
      </c>
      <c r="X97" s="4">
        <v>1</v>
      </c>
      <c r="Y97" s="4">
        <v>1</v>
      </c>
      <c r="Z97" s="4">
        <v>1</v>
      </c>
      <c r="AA97" s="4">
        <v>0</v>
      </c>
      <c r="AB97" s="4">
        <v>1</v>
      </c>
      <c r="AC97" s="4">
        <v>1</v>
      </c>
      <c r="AD97" s="4" t="s">
        <v>140</v>
      </c>
      <c r="AE97" s="4">
        <v>1</v>
      </c>
      <c r="AF97" s="4">
        <v>1</v>
      </c>
      <c r="AG97" s="4">
        <v>1</v>
      </c>
      <c r="AH97" s="4">
        <v>1</v>
      </c>
      <c r="AI97" s="4">
        <v>1</v>
      </c>
      <c r="AJ97" s="4" t="s">
        <v>140</v>
      </c>
      <c r="AK97" s="4">
        <v>0</v>
      </c>
      <c r="AL97" s="4">
        <v>1</v>
      </c>
      <c r="AM97" s="4">
        <v>1</v>
      </c>
      <c r="AN97" s="4" t="s">
        <v>140</v>
      </c>
      <c r="AO97" s="4">
        <v>1</v>
      </c>
      <c r="AP97" s="4">
        <v>1</v>
      </c>
      <c r="AQ97" s="4">
        <v>1</v>
      </c>
      <c r="AR97" s="4" t="s">
        <v>140</v>
      </c>
      <c r="AS97" s="4">
        <v>1</v>
      </c>
      <c r="AT97" s="4" t="s">
        <v>1085</v>
      </c>
    </row>
    <row r="98" spans="1:46" x14ac:dyDescent="0.2">
      <c r="A98" s="4">
        <f t="shared" si="6"/>
        <v>6</v>
      </c>
      <c r="B98" s="4">
        <f t="shared" si="7"/>
        <v>2</v>
      </c>
      <c r="C98" s="13" t="str">
        <f>VLOOKUP(B98,Correspondance!$D$3:$E$14,2,FALSE)</f>
        <v>Février</v>
      </c>
      <c r="D98" s="1" t="s">
        <v>1081</v>
      </c>
      <c r="E98" s="2" t="s">
        <v>40</v>
      </c>
      <c r="F98" s="3" t="s">
        <v>52</v>
      </c>
      <c r="G98" s="4" t="s">
        <v>120</v>
      </c>
      <c r="H98" s="4" t="s">
        <v>121</v>
      </c>
      <c r="I98" s="5" t="s">
        <v>57</v>
      </c>
      <c r="J98" s="6">
        <v>98</v>
      </c>
      <c r="K98" s="4" t="s">
        <v>1087</v>
      </c>
      <c r="L98" s="4" t="s">
        <v>46</v>
      </c>
      <c r="M98" s="4" t="s">
        <v>47</v>
      </c>
      <c r="N98" s="4" t="s">
        <v>1068</v>
      </c>
      <c r="O98" s="4" t="s">
        <v>49</v>
      </c>
      <c r="P98" s="4">
        <v>1</v>
      </c>
      <c r="Q98" s="4">
        <v>1</v>
      </c>
      <c r="R98" s="4">
        <v>1</v>
      </c>
      <c r="S98" s="4">
        <v>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>
        <v>1</v>
      </c>
      <c r="Z98" s="4">
        <v>1</v>
      </c>
      <c r="AA98" s="4">
        <v>1</v>
      </c>
      <c r="AB98" s="4">
        <v>1</v>
      </c>
      <c r="AC98" s="4">
        <v>1</v>
      </c>
      <c r="AD98" s="4" t="s">
        <v>140</v>
      </c>
      <c r="AE98" s="4">
        <v>1</v>
      </c>
      <c r="AF98" s="4" t="s">
        <v>140</v>
      </c>
      <c r="AG98" s="4">
        <v>1</v>
      </c>
      <c r="AH98" s="4">
        <v>1</v>
      </c>
      <c r="AI98" s="4">
        <v>1</v>
      </c>
      <c r="AJ98" s="4">
        <v>1</v>
      </c>
      <c r="AK98" s="4">
        <v>1</v>
      </c>
      <c r="AL98" s="4">
        <v>1</v>
      </c>
      <c r="AM98" s="4">
        <v>1</v>
      </c>
      <c r="AN98" s="4" t="s">
        <v>140</v>
      </c>
      <c r="AO98" s="4">
        <v>1</v>
      </c>
      <c r="AP98" s="4">
        <v>1</v>
      </c>
      <c r="AQ98" s="4">
        <v>0</v>
      </c>
      <c r="AR98" s="4" t="s">
        <v>140</v>
      </c>
      <c r="AS98" s="4" t="s">
        <v>140</v>
      </c>
      <c r="AT98" s="4"/>
    </row>
    <row r="99" spans="1:46" x14ac:dyDescent="0.2">
      <c r="A99" s="4">
        <f t="shared" si="6"/>
        <v>6</v>
      </c>
      <c r="B99" s="4">
        <f t="shared" si="7"/>
        <v>2</v>
      </c>
      <c r="C99" s="13" t="str">
        <f>VLOOKUP(B99,Correspondance!$D$3:$E$14,2,FALSE)</f>
        <v>Février</v>
      </c>
      <c r="D99" s="1" t="s">
        <v>1081</v>
      </c>
      <c r="E99" s="2" t="s">
        <v>40</v>
      </c>
      <c r="F99" s="3" t="s">
        <v>61</v>
      </c>
      <c r="G99" s="4" t="s">
        <v>96</v>
      </c>
      <c r="H99" s="4" t="s">
        <v>97</v>
      </c>
      <c r="I99" s="5" t="s">
        <v>61</v>
      </c>
      <c r="J99" s="6">
        <v>100</v>
      </c>
      <c r="K99" s="4" t="s">
        <v>1088</v>
      </c>
      <c r="L99" s="4" t="s">
        <v>66</v>
      </c>
      <c r="M99" s="4" t="s">
        <v>99</v>
      </c>
      <c r="N99" s="4" t="s">
        <v>1089</v>
      </c>
      <c r="O99" s="4" t="s">
        <v>49</v>
      </c>
      <c r="P99" s="4">
        <v>1</v>
      </c>
      <c r="Q99" s="4">
        <v>1</v>
      </c>
      <c r="R99" s="4">
        <v>1</v>
      </c>
      <c r="S99" s="4">
        <v>1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>
        <v>1</v>
      </c>
      <c r="Z99" s="4">
        <v>1</v>
      </c>
      <c r="AA99" s="4">
        <v>1</v>
      </c>
      <c r="AB99" s="4">
        <v>1</v>
      </c>
      <c r="AC99" s="4">
        <v>1</v>
      </c>
      <c r="AD99" s="4" t="s">
        <v>140</v>
      </c>
      <c r="AE99" s="4">
        <v>1</v>
      </c>
      <c r="AF99" s="4">
        <v>1</v>
      </c>
      <c r="AG99" s="4">
        <v>1</v>
      </c>
      <c r="AH99" s="4">
        <v>1</v>
      </c>
      <c r="AI99" s="4" t="s">
        <v>140</v>
      </c>
      <c r="AJ99" s="4" t="s">
        <v>140</v>
      </c>
      <c r="AK99" s="4">
        <v>1</v>
      </c>
      <c r="AL99" s="4">
        <v>1</v>
      </c>
      <c r="AM99" s="4">
        <v>1</v>
      </c>
      <c r="AN99" s="4" t="s">
        <v>140</v>
      </c>
      <c r="AO99" s="4">
        <v>1</v>
      </c>
      <c r="AP99" s="4">
        <v>1</v>
      </c>
      <c r="AQ99" s="4">
        <v>1</v>
      </c>
      <c r="AR99" s="4" t="s">
        <v>140</v>
      </c>
      <c r="AS99" s="4">
        <v>1</v>
      </c>
      <c r="AT99" s="4" t="s">
        <v>1085</v>
      </c>
    </row>
    <row r="100" spans="1:46" x14ac:dyDescent="0.2">
      <c r="A100" s="4">
        <f t="shared" si="6"/>
        <v>6</v>
      </c>
      <c r="B100" s="4">
        <f t="shared" si="7"/>
        <v>2</v>
      </c>
      <c r="C100" s="13" t="str">
        <f>VLOOKUP(B100,Correspondance!$D$3:$E$14,2,FALSE)</f>
        <v>Février</v>
      </c>
      <c r="D100" s="1" t="s">
        <v>1081</v>
      </c>
      <c r="E100" s="2" t="s">
        <v>40</v>
      </c>
      <c r="F100" s="3" t="s">
        <v>61</v>
      </c>
      <c r="G100" s="4" t="s">
        <v>96</v>
      </c>
      <c r="H100" s="4" t="s">
        <v>97</v>
      </c>
      <c r="I100" s="5" t="s">
        <v>57</v>
      </c>
      <c r="J100" s="6">
        <v>100</v>
      </c>
      <c r="K100" s="4" t="s">
        <v>1090</v>
      </c>
      <c r="L100" s="4" t="s">
        <v>46</v>
      </c>
      <c r="M100" s="4" t="s">
        <v>99</v>
      </c>
      <c r="N100" s="4" t="s">
        <v>1091</v>
      </c>
      <c r="O100" s="4" t="s">
        <v>49</v>
      </c>
      <c r="P100" s="4">
        <v>1</v>
      </c>
      <c r="Q100" s="4">
        <v>1</v>
      </c>
      <c r="R100" s="4">
        <v>1</v>
      </c>
      <c r="S100" s="4">
        <v>1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>
        <v>1</v>
      </c>
      <c r="Z100" s="4">
        <v>1</v>
      </c>
      <c r="AA100" s="4">
        <v>1</v>
      </c>
      <c r="AB100" s="4">
        <v>1</v>
      </c>
      <c r="AC100" s="4">
        <v>1</v>
      </c>
      <c r="AD100" s="4" t="s">
        <v>140</v>
      </c>
      <c r="AE100" s="4">
        <v>1</v>
      </c>
      <c r="AF100" s="4">
        <v>1</v>
      </c>
      <c r="AG100" s="4">
        <v>1</v>
      </c>
      <c r="AH100" s="4">
        <v>1</v>
      </c>
      <c r="AI100" s="4">
        <v>1</v>
      </c>
      <c r="AJ100" s="4">
        <v>1</v>
      </c>
      <c r="AK100" s="4">
        <v>1</v>
      </c>
      <c r="AL100" s="4">
        <v>1</v>
      </c>
      <c r="AM100" s="4">
        <v>1</v>
      </c>
      <c r="AN100" s="4" t="s">
        <v>140</v>
      </c>
      <c r="AO100" s="4">
        <v>1</v>
      </c>
      <c r="AP100" s="4">
        <v>1</v>
      </c>
      <c r="AQ100" s="4">
        <v>1</v>
      </c>
      <c r="AR100" s="4" t="s">
        <v>140</v>
      </c>
      <c r="AS100" s="4">
        <v>1</v>
      </c>
      <c r="AT100" s="4" t="s">
        <v>1085</v>
      </c>
    </row>
    <row r="101" spans="1:46" x14ac:dyDescent="0.2">
      <c r="A101" s="4">
        <f t="shared" si="6"/>
        <v>6</v>
      </c>
      <c r="B101" s="4">
        <f t="shared" si="7"/>
        <v>2</v>
      </c>
      <c r="C101" s="13" t="str">
        <f>VLOOKUP(B101,Correspondance!$D$3:$E$14,2,FALSE)</f>
        <v>Février</v>
      </c>
      <c r="D101" s="1" t="s">
        <v>1081</v>
      </c>
      <c r="E101" s="2" t="s">
        <v>40</v>
      </c>
      <c r="F101" s="3" t="s">
        <v>61</v>
      </c>
      <c r="G101" s="4" t="s">
        <v>68</v>
      </c>
      <c r="H101" s="4" t="s">
        <v>69</v>
      </c>
      <c r="I101" s="5" t="s">
        <v>61</v>
      </c>
      <c r="J101" s="6">
        <v>100</v>
      </c>
      <c r="K101" s="4" t="s">
        <v>1092</v>
      </c>
      <c r="L101" s="4" t="s">
        <v>66</v>
      </c>
      <c r="M101" s="4" t="s">
        <v>47</v>
      </c>
      <c r="N101" s="4" t="s">
        <v>493</v>
      </c>
      <c r="O101" s="4" t="s">
        <v>49</v>
      </c>
      <c r="P101" s="4">
        <v>1</v>
      </c>
      <c r="Q101" s="4">
        <v>1</v>
      </c>
      <c r="R101" s="4">
        <v>1</v>
      </c>
      <c r="S101" s="4">
        <v>1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>
        <v>1</v>
      </c>
      <c r="Z101" s="4">
        <v>1</v>
      </c>
      <c r="AA101" s="4">
        <v>1</v>
      </c>
      <c r="AB101" s="4">
        <v>1</v>
      </c>
      <c r="AC101" s="4">
        <v>1</v>
      </c>
      <c r="AD101" s="4" t="s">
        <v>140</v>
      </c>
      <c r="AE101" s="4">
        <v>1</v>
      </c>
      <c r="AF101" s="4">
        <v>1</v>
      </c>
      <c r="AG101" s="4">
        <v>1</v>
      </c>
      <c r="AH101" s="4">
        <v>1</v>
      </c>
      <c r="AI101" s="4">
        <v>1</v>
      </c>
      <c r="AJ101" s="4">
        <v>1</v>
      </c>
      <c r="AK101" s="4">
        <v>1</v>
      </c>
      <c r="AL101" s="4">
        <v>1</v>
      </c>
      <c r="AM101" s="4">
        <v>1</v>
      </c>
      <c r="AN101" s="4" t="s">
        <v>140</v>
      </c>
      <c r="AO101" s="4">
        <v>1</v>
      </c>
      <c r="AP101" s="4">
        <v>1</v>
      </c>
      <c r="AQ101" s="4">
        <v>1</v>
      </c>
      <c r="AR101" s="4" t="s">
        <v>140</v>
      </c>
      <c r="AS101" s="4">
        <v>1</v>
      </c>
      <c r="AT101" s="4" t="s">
        <v>1069</v>
      </c>
    </row>
    <row r="102" spans="1:46" x14ac:dyDescent="0.2">
      <c r="A102" s="4">
        <f t="shared" si="6"/>
        <v>6</v>
      </c>
      <c r="B102" s="4">
        <f t="shared" si="7"/>
        <v>2</v>
      </c>
      <c r="C102" s="13" t="str">
        <f>VLOOKUP(B102,Correspondance!$D$3:$E$14,2,FALSE)</f>
        <v>Février</v>
      </c>
      <c r="D102" s="1" t="s">
        <v>1081</v>
      </c>
      <c r="E102" s="2" t="s">
        <v>40</v>
      </c>
      <c r="F102" s="3" t="s">
        <v>61</v>
      </c>
      <c r="G102" s="4" t="s">
        <v>505</v>
      </c>
      <c r="H102" s="4" t="s">
        <v>506</v>
      </c>
      <c r="I102" s="5" t="s">
        <v>61</v>
      </c>
      <c r="J102" s="6">
        <v>100</v>
      </c>
      <c r="K102" s="4" t="s">
        <v>1093</v>
      </c>
      <c r="L102" s="4" t="s">
        <v>66</v>
      </c>
      <c r="M102" s="4" t="s">
        <v>47</v>
      </c>
      <c r="N102" s="4" t="s">
        <v>71</v>
      </c>
      <c r="O102" s="4" t="s">
        <v>49</v>
      </c>
      <c r="P102" s="4">
        <v>1</v>
      </c>
      <c r="Q102" s="4">
        <v>1</v>
      </c>
      <c r="R102" s="4">
        <v>1</v>
      </c>
      <c r="S102" s="4">
        <v>1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>
        <v>1</v>
      </c>
      <c r="Z102" s="4">
        <v>1</v>
      </c>
      <c r="AA102" s="4">
        <v>1</v>
      </c>
      <c r="AB102" s="4">
        <v>1</v>
      </c>
      <c r="AC102" s="4">
        <v>1</v>
      </c>
      <c r="AD102" s="4" t="s">
        <v>140</v>
      </c>
      <c r="AE102" s="4">
        <v>1</v>
      </c>
      <c r="AF102" s="4">
        <v>1</v>
      </c>
      <c r="AG102" s="4">
        <v>1</v>
      </c>
      <c r="AH102" s="4">
        <v>1</v>
      </c>
      <c r="AI102" s="4">
        <v>1</v>
      </c>
      <c r="AJ102" s="4" t="s">
        <v>140</v>
      </c>
      <c r="AK102" s="4">
        <v>1</v>
      </c>
      <c r="AL102" s="4">
        <v>1</v>
      </c>
      <c r="AM102" s="4">
        <v>1</v>
      </c>
      <c r="AN102" s="4" t="s">
        <v>140</v>
      </c>
      <c r="AO102" s="4">
        <v>1</v>
      </c>
      <c r="AP102" s="4">
        <v>1</v>
      </c>
      <c r="AQ102" s="4">
        <v>1</v>
      </c>
      <c r="AR102" s="4" t="s">
        <v>140</v>
      </c>
      <c r="AS102" s="4">
        <v>1</v>
      </c>
      <c r="AT102" s="4" t="s">
        <v>1073</v>
      </c>
    </row>
    <row r="103" spans="1:46" x14ac:dyDescent="0.2">
      <c r="A103" s="4">
        <f t="shared" si="6"/>
        <v>6</v>
      </c>
      <c r="B103" s="4">
        <f t="shared" si="7"/>
        <v>2</v>
      </c>
      <c r="C103" s="13" t="str">
        <f>VLOOKUP(B103,Correspondance!$D$3:$E$14,2,FALSE)</f>
        <v>Février</v>
      </c>
      <c r="D103" s="1" t="s">
        <v>1069</v>
      </c>
      <c r="E103" s="2" t="s">
        <v>40</v>
      </c>
      <c r="F103" s="3" t="s">
        <v>41</v>
      </c>
      <c r="G103" s="4" t="s">
        <v>82</v>
      </c>
      <c r="H103" s="4" t="s">
        <v>83</v>
      </c>
      <c r="I103" s="5" t="s">
        <v>41</v>
      </c>
      <c r="J103" s="6">
        <v>94.25</v>
      </c>
      <c r="K103" s="4" t="s">
        <v>1094</v>
      </c>
      <c r="L103" s="4" t="s">
        <v>66</v>
      </c>
      <c r="M103" s="4" t="s">
        <v>74</v>
      </c>
      <c r="N103" s="4" t="s">
        <v>497</v>
      </c>
      <c r="O103" s="4" t="s">
        <v>49</v>
      </c>
      <c r="P103" s="4">
        <v>1</v>
      </c>
      <c r="Q103" s="4">
        <v>0</v>
      </c>
      <c r="R103" s="4">
        <v>1</v>
      </c>
      <c r="S103" s="4">
        <v>1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>
        <v>1</v>
      </c>
      <c r="Z103" s="4">
        <v>1</v>
      </c>
      <c r="AA103" s="4">
        <v>1</v>
      </c>
      <c r="AB103" s="4">
        <v>1</v>
      </c>
      <c r="AC103" s="4">
        <v>1</v>
      </c>
      <c r="AD103" s="4" t="s">
        <v>140</v>
      </c>
      <c r="AE103" s="4">
        <v>1</v>
      </c>
      <c r="AF103" s="4">
        <v>1</v>
      </c>
      <c r="AG103" s="4">
        <v>1</v>
      </c>
      <c r="AH103" s="4">
        <v>1</v>
      </c>
      <c r="AI103" s="4">
        <v>1</v>
      </c>
      <c r="AJ103" s="4">
        <v>1</v>
      </c>
      <c r="AK103" s="4">
        <v>0</v>
      </c>
      <c r="AL103" s="4">
        <v>1</v>
      </c>
      <c r="AM103" s="4">
        <v>1</v>
      </c>
      <c r="AN103" s="4" t="s">
        <v>140</v>
      </c>
      <c r="AO103" s="4">
        <v>1</v>
      </c>
      <c r="AP103" s="4">
        <v>1</v>
      </c>
      <c r="AQ103" s="4">
        <v>1</v>
      </c>
      <c r="AR103" s="4" t="s">
        <v>140</v>
      </c>
      <c r="AS103" s="4">
        <v>1</v>
      </c>
      <c r="AT103" s="4" t="s">
        <v>1095</v>
      </c>
    </row>
    <row r="104" spans="1:46" x14ac:dyDescent="0.2">
      <c r="A104" s="4">
        <f t="shared" si="6"/>
        <v>6</v>
      </c>
      <c r="B104" s="4">
        <f t="shared" si="7"/>
        <v>2</v>
      </c>
      <c r="C104" s="13" t="str">
        <f>VLOOKUP(B104,Correspondance!$D$3:$E$14,2,FALSE)</f>
        <v>Février</v>
      </c>
      <c r="D104" s="1" t="s">
        <v>1096</v>
      </c>
      <c r="E104" s="2" t="s">
        <v>40</v>
      </c>
      <c r="F104" s="3" t="s">
        <v>52</v>
      </c>
      <c r="G104" s="4" t="s">
        <v>53</v>
      </c>
      <c r="H104" s="4" t="s">
        <v>54</v>
      </c>
      <c r="I104" s="5" t="s">
        <v>57</v>
      </c>
      <c r="J104" s="6">
        <v>100</v>
      </c>
      <c r="K104" s="4" t="s">
        <v>1097</v>
      </c>
      <c r="L104" s="4" t="s">
        <v>46</v>
      </c>
      <c r="M104" s="4" t="s">
        <v>47</v>
      </c>
      <c r="N104" s="4" t="s">
        <v>647</v>
      </c>
      <c r="O104" s="4" t="s">
        <v>49</v>
      </c>
      <c r="P104" s="4">
        <v>1</v>
      </c>
      <c r="Q104" s="4">
        <v>1</v>
      </c>
      <c r="R104" s="4">
        <v>1</v>
      </c>
      <c r="S104" s="4">
        <v>1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>
        <v>1</v>
      </c>
      <c r="Z104" s="4">
        <v>1</v>
      </c>
      <c r="AA104" s="4">
        <v>1</v>
      </c>
      <c r="AB104" s="4">
        <v>1</v>
      </c>
      <c r="AC104" s="4">
        <v>1</v>
      </c>
      <c r="AD104" s="4" t="s">
        <v>140</v>
      </c>
      <c r="AE104" s="4">
        <v>1</v>
      </c>
      <c r="AF104" s="4">
        <v>1</v>
      </c>
      <c r="AG104" s="4">
        <v>1</v>
      </c>
      <c r="AH104" s="4">
        <v>1</v>
      </c>
      <c r="AI104" s="4">
        <v>1</v>
      </c>
      <c r="AJ104" s="4">
        <v>1</v>
      </c>
      <c r="AK104" s="4">
        <v>1</v>
      </c>
      <c r="AL104" s="4">
        <v>1</v>
      </c>
      <c r="AM104" s="4">
        <v>1</v>
      </c>
      <c r="AN104" s="4" t="s">
        <v>140</v>
      </c>
      <c r="AO104" s="4">
        <v>1</v>
      </c>
      <c r="AP104" s="4">
        <v>1</v>
      </c>
      <c r="AQ104" s="4">
        <v>1</v>
      </c>
      <c r="AR104" s="4" t="s">
        <v>140</v>
      </c>
      <c r="AS104" s="4">
        <v>1</v>
      </c>
      <c r="AT104" s="4" t="s">
        <v>1085</v>
      </c>
    </row>
    <row r="105" spans="1:46" x14ac:dyDescent="0.2">
      <c r="A105" s="4">
        <f t="shared" si="6"/>
        <v>6</v>
      </c>
      <c r="B105" s="4">
        <f t="shared" si="7"/>
        <v>2</v>
      </c>
      <c r="C105" s="13" t="str">
        <f>VLOOKUP(B105,Correspondance!$D$3:$E$14,2,FALSE)</f>
        <v>Février</v>
      </c>
      <c r="D105" s="1" t="s">
        <v>1096</v>
      </c>
      <c r="E105" s="2" t="s">
        <v>40</v>
      </c>
      <c r="F105" s="3" t="s">
        <v>61</v>
      </c>
      <c r="G105" s="4" t="s">
        <v>96</v>
      </c>
      <c r="H105" s="4" t="s">
        <v>97</v>
      </c>
      <c r="I105" s="5" t="s">
        <v>57</v>
      </c>
      <c r="J105" s="6">
        <v>100</v>
      </c>
      <c r="K105" s="4" t="s">
        <v>1098</v>
      </c>
      <c r="L105" s="4" t="s">
        <v>46</v>
      </c>
      <c r="M105" s="4" t="s">
        <v>99</v>
      </c>
      <c r="N105" s="4" t="s">
        <v>1099</v>
      </c>
      <c r="O105" s="4" t="s">
        <v>49</v>
      </c>
      <c r="P105" s="4">
        <v>1</v>
      </c>
      <c r="Q105" s="4">
        <v>1</v>
      </c>
      <c r="R105" s="4">
        <v>1</v>
      </c>
      <c r="S105" s="4">
        <v>1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>
        <v>1</v>
      </c>
      <c r="Z105" s="4">
        <v>1</v>
      </c>
      <c r="AA105" s="4">
        <v>1</v>
      </c>
      <c r="AB105" s="4">
        <v>1</v>
      </c>
      <c r="AC105" s="4">
        <v>1</v>
      </c>
      <c r="AD105" s="4" t="s">
        <v>140</v>
      </c>
      <c r="AE105" s="4">
        <v>1</v>
      </c>
      <c r="AF105" s="4">
        <v>1</v>
      </c>
      <c r="AG105" s="4">
        <v>1</v>
      </c>
      <c r="AH105" s="4">
        <v>1</v>
      </c>
      <c r="AI105" s="4">
        <v>1</v>
      </c>
      <c r="AJ105" s="4" t="s">
        <v>140</v>
      </c>
      <c r="AK105" s="4">
        <v>1</v>
      </c>
      <c r="AL105" s="4">
        <v>1</v>
      </c>
      <c r="AM105" s="4">
        <v>1</v>
      </c>
      <c r="AN105" s="4" t="s">
        <v>140</v>
      </c>
      <c r="AO105" s="4">
        <v>1</v>
      </c>
      <c r="AP105" s="4">
        <v>1</v>
      </c>
      <c r="AQ105" s="4">
        <v>1</v>
      </c>
      <c r="AR105" s="4" t="s">
        <v>140</v>
      </c>
      <c r="AS105" s="4">
        <v>1</v>
      </c>
      <c r="AT105" s="4" t="s">
        <v>1085</v>
      </c>
    </row>
    <row r="106" spans="1:46" x14ac:dyDescent="0.2">
      <c r="A106" s="4">
        <f t="shared" si="6"/>
        <v>6</v>
      </c>
      <c r="B106" s="4">
        <f t="shared" si="7"/>
        <v>2</v>
      </c>
      <c r="C106" s="13" t="str">
        <f>VLOOKUP(B106,Correspondance!$D$3:$E$14,2,FALSE)</f>
        <v>Février</v>
      </c>
      <c r="D106" s="1" t="s">
        <v>1096</v>
      </c>
      <c r="E106" s="2" t="s">
        <v>40</v>
      </c>
      <c r="F106" s="3" t="s">
        <v>61</v>
      </c>
      <c r="G106" s="4" t="s">
        <v>201</v>
      </c>
      <c r="H106" s="4" t="s">
        <v>202</v>
      </c>
      <c r="I106" s="5" t="s">
        <v>57</v>
      </c>
      <c r="J106" s="6">
        <v>97</v>
      </c>
      <c r="K106" s="4" t="s">
        <v>1100</v>
      </c>
      <c r="L106" s="4" t="s">
        <v>46</v>
      </c>
      <c r="M106" s="4" t="s">
        <v>74</v>
      </c>
      <c r="N106" s="4" t="s">
        <v>1101</v>
      </c>
      <c r="O106" s="4" t="s">
        <v>49</v>
      </c>
      <c r="P106" s="4">
        <v>1</v>
      </c>
      <c r="Q106" s="4">
        <v>1</v>
      </c>
      <c r="R106" s="4">
        <v>1</v>
      </c>
      <c r="S106" s="4">
        <v>1</v>
      </c>
      <c r="T106" s="4">
        <v>1</v>
      </c>
      <c r="U106" s="4">
        <v>0</v>
      </c>
      <c r="V106" s="4">
        <v>1</v>
      </c>
      <c r="W106" s="4">
        <v>1</v>
      </c>
      <c r="X106" s="4">
        <v>1</v>
      </c>
      <c r="Y106" s="4">
        <v>1</v>
      </c>
      <c r="Z106" s="4">
        <v>1</v>
      </c>
      <c r="AA106" s="4" t="s">
        <v>140</v>
      </c>
      <c r="AB106" s="4">
        <v>1</v>
      </c>
      <c r="AC106" s="4">
        <v>1</v>
      </c>
      <c r="AD106" s="4" t="s">
        <v>140</v>
      </c>
      <c r="AE106" s="4">
        <v>1</v>
      </c>
      <c r="AF106" s="4">
        <v>1</v>
      </c>
      <c r="AG106" s="4">
        <v>1</v>
      </c>
      <c r="AH106" s="4">
        <v>1</v>
      </c>
      <c r="AI106" s="4">
        <v>1</v>
      </c>
      <c r="AJ106" s="4" t="s">
        <v>140</v>
      </c>
      <c r="AK106" s="4">
        <v>1</v>
      </c>
      <c r="AL106" s="4">
        <v>1</v>
      </c>
      <c r="AM106" s="4">
        <v>1</v>
      </c>
      <c r="AN106" s="4" t="s">
        <v>140</v>
      </c>
      <c r="AO106" s="4">
        <v>1</v>
      </c>
      <c r="AP106" s="4">
        <v>1</v>
      </c>
      <c r="AQ106" s="4">
        <v>1</v>
      </c>
      <c r="AR106" s="4" t="s">
        <v>140</v>
      </c>
      <c r="AS106" s="4">
        <v>1</v>
      </c>
      <c r="AT106" s="4" t="s">
        <v>1095</v>
      </c>
    </row>
    <row r="107" spans="1:46" x14ac:dyDescent="0.2">
      <c r="A107" s="4">
        <f t="shared" si="6"/>
        <v>6</v>
      </c>
      <c r="B107" s="4">
        <f t="shared" si="7"/>
        <v>2</v>
      </c>
      <c r="C107" s="13" t="str">
        <f>VLOOKUP(B107,Correspondance!$D$3:$E$14,2,FALSE)</f>
        <v>Février</v>
      </c>
      <c r="D107" s="1" t="s">
        <v>1096</v>
      </c>
      <c r="E107" s="2" t="s">
        <v>40</v>
      </c>
      <c r="F107" s="3" t="s">
        <v>61</v>
      </c>
      <c r="G107" s="4" t="s">
        <v>62</v>
      </c>
      <c r="H107" s="4" t="s">
        <v>63</v>
      </c>
      <c r="I107" s="5" t="s">
        <v>61</v>
      </c>
      <c r="J107" s="6">
        <v>96.2</v>
      </c>
      <c r="K107" s="4" t="s">
        <v>1102</v>
      </c>
      <c r="L107" s="4" t="s">
        <v>66</v>
      </c>
      <c r="M107" s="4" t="s">
        <v>47</v>
      </c>
      <c r="N107" s="4" t="s">
        <v>1103</v>
      </c>
      <c r="O107" s="4" t="s">
        <v>49</v>
      </c>
      <c r="P107" s="4">
        <v>1</v>
      </c>
      <c r="Q107" s="4">
        <v>1</v>
      </c>
      <c r="R107" s="4">
        <v>1</v>
      </c>
      <c r="S107" s="4">
        <v>1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</v>
      </c>
      <c r="AC107" s="4">
        <v>1</v>
      </c>
      <c r="AD107" s="4" t="s">
        <v>140</v>
      </c>
      <c r="AE107" s="4">
        <v>1</v>
      </c>
      <c r="AF107" s="4">
        <v>1</v>
      </c>
      <c r="AG107" s="4">
        <v>1</v>
      </c>
      <c r="AH107" s="4">
        <v>0</v>
      </c>
      <c r="AI107" s="4">
        <v>1</v>
      </c>
      <c r="AJ107" s="4" t="s">
        <v>140</v>
      </c>
      <c r="AK107" s="4">
        <v>1</v>
      </c>
      <c r="AL107" s="4">
        <v>1</v>
      </c>
      <c r="AM107" s="4">
        <v>1</v>
      </c>
      <c r="AN107" s="4" t="s">
        <v>140</v>
      </c>
      <c r="AO107" s="4">
        <v>1</v>
      </c>
      <c r="AP107" s="4">
        <v>1</v>
      </c>
      <c r="AQ107" s="4">
        <v>1</v>
      </c>
      <c r="AR107" s="4" t="s">
        <v>140</v>
      </c>
      <c r="AS107" s="4">
        <v>1</v>
      </c>
      <c r="AT107" s="4" t="s">
        <v>1104</v>
      </c>
    </row>
    <row r="108" spans="1:46" x14ac:dyDescent="0.2">
      <c r="A108" s="4">
        <f t="shared" si="6"/>
        <v>6</v>
      </c>
      <c r="B108" s="4">
        <f t="shared" si="7"/>
        <v>2</v>
      </c>
      <c r="C108" s="13" t="str">
        <f>VLOOKUP(B108,Correspondance!$D$3:$E$14,2,FALSE)</f>
        <v>Février</v>
      </c>
      <c r="D108" s="1" t="s">
        <v>1096</v>
      </c>
      <c r="E108" s="2" t="s">
        <v>40</v>
      </c>
      <c r="F108" s="3" t="s">
        <v>61</v>
      </c>
      <c r="G108" s="4" t="s">
        <v>62</v>
      </c>
      <c r="H108" s="4" t="s">
        <v>63</v>
      </c>
      <c r="I108" s="5" t="s">
        <v>61</v>
      </c>
      <c r="J108" s="6">
        <v>96.25</v>
      </c>
      <c r="K108" s="4" t="s">
        <v>1105</v>
      </c>
      <c r="L108" s="4" t="s">
        <v>66</v>
      </c>
      <c r="M108" s="4" t="s">
        <v>47</v>
      </c>
      <c r="N108" s="4" t="s">
        <v>501</v>
      </c>
      <c r="O108" s="4" t="s">
        <v>49</v>
      </c>
      <c r="P108" s="4">
        <v>1</v>
      </c>
      <c r="Q108" s="4">
        <v>1</v>
      </c>
      <c r="R108" s="4">
        <v>1</v>
      </c>
      <c r="S108" s="4">
        <v>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>
        <v>1</v>
      </c>
      <c r="AA108" s="4">
        <v>1</v>
      </c>
      <c r="AB108" s="4">
        <v>1</v>
      </c>
      <c r="AC108" s="4">
        <v>1</v>
      </c>
      <c r="AD108" s="4" t="s">
        <v>140</v>
      </c>
      <c r="AE108" s="4">
        <v>1</v>
      </c>
      <c r="AF108" s="4">
        <v>1</v>
      </c>
      <c r="AG108" s="4">
        <v>1</v>
      </c>
      <c r="AH108" s="4">
        <v>1</v>
      </c>
      <c r="AI108" s="4">
        <v>1</v>
      </c>
      <c r="AJ108" s="4" t="s">
        <v>140</v>
      </c>
      <c r="AK108" s="4">
        <v>1</v>
      </c>
      <c r="AL108" s="4">
        <v>0</v>
      </c>
      <c r="AM108" s="4">
        <v>1</v>
      </c>
      <c r="AN108" s="4" t="s">
        <v>140</v>
      </c>
      <c r="AO108" s="4">
        <v>1</v>
      </c>
      <c r="AP108" s="4">
        <v>1</v>
      </c>
      <c r="AQ108" s="4">
        <v>1</v>
      </c>
      <c r="AR108" s="4" t="s">
        <v>140</v>
      </c>
      <c r="AS108" s="4">
        <v>1</v>
      </c>
      <c r="AT108" s="4" t="s">
        <v>1104</v>
      </c>
    </row>
    <row r="109" spans="1:46" x14ac:dyDescent="0.2">
      <c r="A109" s="4">
        <f t="shared" si="6"/>
        <v>6</v>
      </c>
      <c r="B109" s="4">
        <f t="shared" si="7"/>
        <v>2</v>
      </c>
      <c r="C109" s="13" t="str">
        <f>VLOOKUP(B109,Correspondance!$D$3:$E$14,2,FALSE)</f>
        <v>Février</v>
      </c>
      <c r="D109" s="1" t="s">
        <v>1096</v>
      </c>
      <c r="E109" s="2" t="s">
        <v>40</v>
      </c>
      <c r="F109" s="3" t="s">
        <v>61</v>
      </c>
      <c r="G109" s="4" t="s">
        <v>62</v>
      </c>
      <c r="H109" s="4" t="s">
        <v>63</v>
      </c>
      <c r="I109" s="5" t="s">
        <v>61</v>
      </c>
      <c r="J109" s="6">
        <v>97</v>
      </c>
      <c r="K109" s="4" t="s">
        <v>1106</v>
      </c>
      <c r="L109" s="4" t="s">
        <v>46</v>
      </c>
      <c r="M109" s="4" t="s">
        <v>47</v>
      </c>
      <c r="N109" s="4" t="s">
        <v>1107</v>
      </c>
      <c r="O109" s="4" t="s">
        <v>49</v>
      </c>
      <c r="P109" s="4">
        <v>1</v>
      </c>
      <c r="Q109" s="4">
        <v>1</v>
      </c>
      <c r="R109" s="4">
        <v>1</v>
      </c>
      <c r="S109" s="4">
        <v>1</v>
      </c>
      <c r="T109" s="4">
        <v>1</v>
      </c>
      <c r="U109" s="4">
        <v>0</v>
      </c>
      <c r="V109" s="4">
        <v>1</v>
      </c>
      <c r="W109" s="4">
        <v>1</v>
      </c>
      <c r="X109" s="4">
        <v>1</v>
      </c>
      <c r="Y109" s="4">
        <v>1</v>
      </c>
      <c r="Z109" s="4">
        <v>1</v>
      </c>
      <c r="AA109" s="4">
        <v>1</v>
      </c>
      <c r="AB109" s="4">
        <v>1</v>
      </c>
      <c r="AC109" s="4">
        <v>1</v>
      </c>
      <c r="AD109" s="4">
        <v>1</v>
      </c>
      <c r="AE109" s="4">
        <v>1</v>
      </c>
      <c r="AF109" s="4">
        <v>1</v>
      </c>
      <c r="AG109" s="4">
        <v>1</v>
      </c>
      <c r="AH109" s="4">
        <v>1</v>
      </c>
      <c r="AI109" s="4">
        <v>1</v>
      </c>
      <c r="AJ109" s="4">
        <v>1</v>
      </c>
      <c r="AK109" s="4">
        <v>1</v>
      </c>
      <c r="AL109" s="4">
        <v>1</v>
      </c>
      <c r="AM109" s="4">
        <v>1</v>
      </c>
      <c r="AN109" s="4" t="s">
        <v>140</v>
      </c>
      <c r="AO109" s="4">
        <v>1</v>
      </c>
      <c r="AP109" s="4">
        <v>1</v>
      </c>
      <c r="AQ109" s="4">
        <v>1</v>
      </c>
      <c r="AR109" s="4" t="s">
        <v>140</v>
      </c>
      <c r="AS109" s="4">
        <v>1</v>
      </c>
      <c r="AT109" s="4" t="s">
        <v>1104</v>
      </c>
    </row>
    <row r="110" spans="1:46" x14ac:dyDescent="0.2">
      <c r="A110" s="4">
        <f t="shared" si="6"/>
        <v>6</v>
      </c>
      <c r="B110" s="4">
        <f t="shared" si="7"/>
        <v>2</v>
      </c>
      <c r="C110" s="13" t="str">
        <f>VLOOKUP(B110,Correspondance!$D$3:$E$14,2,FALSE)</f>
        <v>Février</v>
      </c>
      <c r="D110" s="1" t="s">
        <v>1096</v>
      </c>
      <c r="E110" s="2" t="s">
        <v>40</v>
      </c>
      <c r="F110" s="3" t="s">
        <v>61</v>
      </c>
      <c r="G110" s="4" t="s">
        <v>342</v>
      </c>
      <c r="H110" s="4" t="s">
        <v>343</v>
      </c>
      <c r="I110" s="5" t="s">
        <v>57</v>
      </c>
      <c r="J110" s="6">
        <v>100</v>
      </c>
      <c r="K110" s="4" t="s">
        <v>1108</v>
      </c>
      <c r="L110" s="4" t="s">
        <v>46</v>
      </c>
      <c r="M110" s="4" t="s">
        <v>175</v>
      </c>
      <c r="N110" s="4" t="s">
        <v>774</v>
      </c>
      <c r="O110" s="4" t="s">
        <v>49</v>
      </c>
      <c r="P110" s="4">
        <v>1</v>
      </c>
      <c r="Q110" s="4">
        <v>1</v>
      </c>
      <c r="R110" s="4">
        <v>1</v>
      </c>
      <c r="S110" s="4">
        <v>1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>
        <v>1</v>
      </c>
      <c r="AA110" s="4">
        <v>1</v>
      </c>
      <c r="AB110" s="4">
        <v>1</v>
      </c>
      <c r="AC110" s="4">
        <v>1</v>
      </c>
      <c r="AD110" s="4" t="s">
        <v>140</v>
      </c>
      <c r="AE110" s="4">
        <v>1</v>
      </c>
      <c r="AF110" s="4">
        <v>1</v>
      </c>
      <c r="AG110" s="4">
        <v>1</v>
      </c>
      <c r="AH110" s="4">
        <v>1</v>
      </c>
      <c r="AI110" s="4">
        <v>1</v>
      </c>
      <c r="AJ110" s="4">
        <v>1</v>
      </c>
      <c r="AK110" s="4">
        <v>1</v>
      </c>
      <c r="AL110" s="4">
        <v>1</v>
      </c>
      <c r="AM110" s="4">
        <v>1</v>
      </c>
      <c r="AN110" s="4" t="s">
        <v>140</v>
      </c>
      <c r="AO110" s="4">
        <v>1</v>
      </c>
      <c r="AP110" s="4">
        <v>1</v>
      </c>
      <c r="AQ110" s="4">
        <v>1</v>
      </c>
      <c r="AR110" s="4" t="s">
        <v>140</v>
      </c>
      <c r="AS110" s="4">
        <v>1</v>
      </c>
      <c r="AT110" s="4" t="s">
        <v>1079</v>
      </c>
    </row>
    <row r="111" spans="1:46" x14ac:dyDescent="0.2">
      <c r="A111" s="4">
        <f t="shared" si="6"/>
        <v>6</v>
      </c>
      <c r="B111" s="4">
        <f t="shared" si="7"/>
        <v>2</v>
      </c>
      <c r="C111" s="13" t="str">
        <f>VLOOKUP(B111,Correspondance!$D$3:$E$14,2,FALSE)</f>
        <v>Février</v>
      </c>
      <c r="D111" s="1" t="s">
        <v>1096</v>
      </c>
      <c r="E111" s="2" t="s">
        <v>40</v>
      </c>
      <c r="F111" s="3" t="s">
        <v>61</v>
      </c>
      <c r="G111" s="4" t="s">
        <v>68</v>
      </c>
      <c r="H111" s="4" t="s">
        <v>69</v>
      </c>
      <c r="I111" s="5" t="s">
        <v>57</v>
      </c>
      <c r="J111" s="6">
        <v>100</v>
      </c>
      <c r="K111" s="4" t="s">
        <v>1070</v>
      </c>
      <c r="L111" s="4" t="s">
        <v>46</v>
      </c>
      <c r="M111" s="4" t="s">
        <v>47</v>
      </c>
      <c r="N111" s="4" t="s">
        <v>643</v>
      </c>
      <c r="O111" s="4" t="s">
        <v>49</v>
      </c>
      <c r="P111" s="4">
        <v>1</v>
      </c>
      <c r="Q111" s="4">
        <v>1</v>
      </c>
      <c r="R111" s="4">
        <v>1</v>
      </c>
      <c r="S111" s="4">
        <v>1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>
        <v>1</v>
      </c>
      <c r="AA111" s="4">
        <v>1</v>
      </c>
      <c r="AB111" s="4">
        <v>1</v>
      </c>
      <c r="AC111" s="4">
        <v>1</v>
      </c>
      <c r="AD111" s="4" t="s">
        <v>140</v>
      </c>
      <c r="AE111" s="4">
        <v>1</v>
      </c>
      <c r="AF111" s="4">
        <v>1</v>
      </c>
      <c r="AG111" s="4">
        <v>1</v>
      </c>
      <c r="AH111" s="4">
        <v>1</v>
      </c>
      <c r="AI111" s="4">
        <v>1</v>
      </c>
      <c r="AJ111" s="4">
        <v>1</v>
      </c>
      <c r="AK111" s="4">
        <v>1</v>
      </c>
      <c r="AL111" s="4">
        <v>1</v>
      </c>
      <c r="AM111" s="4">
        <v>1</v>
      </c>
      <c r="AN111" s="4" t="s">
        <v>140</v>
      </c>
      <c r="AO111" s="4">
        <v>1</v>
      </c>
      <c r="AP111" s="4">
        <v>1</v>
      </c>
      <c r="AQ111" s="4">
        <v>1</v>
      </c>
      <c r="AR111" s="4" t="s">
        <v>140</v>
      </c>
      <c r="AS111" s="4">
        <v>1</v>
      </c>
      <c r="AT111" s="4" t="s">
        <v>1109</v>
      </c>
    </row>
    <row r="112" spans="1:46" x14ac:dyDescent="0.2">
      <c r="A112" s="4">
        <f t="shared" si="6"/>
        <v>6</v>
      </c>
      <c r="B112" s="4">
        <f t="shared" si="7"/>
        <v>2</v>
      </c>
      <c r="C112" s="13" t="str">
        <f>VLOOKUP(B112,Correspondance!$D$3:$E$14,2,FALSE)</f>
        <v>Février</v>
      </c>
      <c r="D112" s="1" t="s">
        <v>1073</v>
      </c>
      <c r="E112" s="2" t="s">
        <v>40</v>
      </c>
      <c r="F112" s="3" t="s">
        <v>41</v>
      </c>
      <c r="G112" s="4" t="s">
        <v>42</v>
      </c>
      <c r="H112" s="4" t="s">
        <v>43</v>
      </c>
      <c r="I112" s="5" t="s">
        <v>57</v>
      </c>
      <c r="J112" s="6">
        <v>100</v>
      </c>
      <c r="K112" s="4" t="s">
        <v>1110</v>
      </c>
      <c r="L112" s="4" t="s">
        <v>46</v>
      </c>
      <c r="M112" s="4" t="s">
        <v>175</v>
      </c>
      <c r="N112" s="4" t="s">
        <v>1111</v>
      </c>
      <c r="O112" s="4" t="s">
        <v>49</v>
      </c>
      <c r="P112" s="4">
        <v>1</v>
      </c>
      <c r="Q112" s="4">
        <v>1</v>
      </c>
      <c r="R112" s="4">
        <v>1</v>
      </c>
      <c r="S112" s="4">
        <v>1</v>
      </c>
      <c r="T112" s="4">
        <v>1</v>
      </c>
      <c r="U112" s="4">
        <v>1</v>
      </c>
      <c r="V112" s="4">
        <v>1</v>
      </c>
      <c r="W112" s="4" t="s">
        <v>140</v>
      </c>
      <c r="X112" s="4">
        <v>1</v>
      </c>
      <c r="Y112" s="4">
        <v>1</v>
      </c>
      <c r="Z112" s="4">
        <v>1</v>
      </c>
      <c r="AA112" s="4">
        <v>1</v>
      </c>
      <c r="AB112" s="4">
        <v>1</v>
      </c>
      <c r="AC112" s="4">
        <v>1</v>
      </c>
      <c r="AD112" s="4">
        <v>1</v>
      </c>
      <c r="AE112" s="4">
        <v>1</v>
      </c>
      <c r="AF112" s="4">
        <v>1</v>
      </c>
      <c r="AG112" s="4">
        <v>1</v>
      </c>
      <c r="AH112" s="4">
        <v>1</v>
      </c>
      <c r="AI112" s="4">
        <v>1</v>
      </c>
      <c r="AJ112" s="4" t="s">
        <v>140</v>
      </c>
      <c r="AK112" s="4">
        <v>1</v>
      </c>
      <c r="AL112" s="4">
        <v>1</v>
      </c>
      <c r="AM112" s="4">
        <v>1</v>
      </c>
      <c r="AN112" s="4" t="s">
        <v>140</v>
      </c>
      <c r="AO112" s="4">
        <v>1</v>
      </c>
      <c r="AP112" s="4">
        <v>1</v>
      </c>
      <c r="AQ112" s="4">
        <v>1</v>
      </c>
      <c r="AR112" s="4" t="s">
        <v>140</v>
      </c>
      <c r="AS112" s="4">
        <v>1</v>
      </c>
      <c r="AT112" s="4" t="s">
        <v>1085</v>
      </c>
    </row>
    <row r="113" spans="1:46" x14ac:dyDescent="0.2">
      <c r="A113" s="4">
        <f t="shared" si="6"/>
        <v>6</v>
      </c>
      <c r="B113" s="4">
        <f t="shared" si="7"/>
        <v>2</v>
      </c>
      <c r="C113" s="13" t="str">
        <f>VLOOKUP(B113,Correspondance!$D$3:$E$14,2,FALSE)</f>
        <v>Février</v>
      </c>
      <c r="D113" s="1" t="s">
        <v>1073</v>
      </c>
      <c r="E113" s="2" t="s">
        <v>40</v>
      </c>
      <c r="F113" s="3" t="s">
        <v>41</v>
      </c>
      <c r="G113" s="4" t="s">
        <v>82</v>
      </c>
      <c r="H113" s="4" t="s">
        <v>83</v>
      </c>
      <c r="I113" s="5" t="s">
        <v>57</v>
      </c>
      <c r="J113" s="6">
        <v>83.416666666666671</v>
      </c>
      <c r="K113" s="4" t="s">
        <v>1013</v>
      </c>
      <c r="L113" s="4" t="s">
        <v>46</v>
      </c>
      <c r="M113" s="4" t="s">
        <v>47</v>
      </c>
      <c r="N113" s="4" t="s">
        <v>577</v>
      </c>
      <c r="O113" s="4" t="s">
        <v>49</v>
      </c>
      <c r="P113" s="4">
        <v>1</v>
      </c>
      <c r="Q113" s="4">
        <v>0</v>
      </c>
      <c r="R113" s="4">
        <v>1</v>
      </c>
      <c r="S113" s="4">
        <v>1</v>
      </c>
      <c r="T113" s="4">
        <v>0</v>
      </c>
      <c r="U113" s="4">
        <v>0</v>
      </c>
      <c r="V113" s="4">
        <v>1</v>
      </c>
      <c r="W113" s="4">
        <v>1</v>
      </c>
      <c r="X113" s="4">
        <v>1</v>
      </c>
      <c r="Y113" s="4">
        <v>1</v>
      </c>
      <c r="Z113" s="4">
        <v>1</v>
      </c>
      <c r="AA113" s="4">
        <v>1</v>
      </c>
      <c r="AB113" s="4">
        <v>1</v>
      </c>
      <c r="AC113" s="4">
        <v>1</v>
      </c>
      <c r="AD113" s="4">
        <v>1</v>
      </c>
      <c r="AE113" s="4">
        <v>1</v>
      </c>
      <c r="AF113" s="4">
        <v>1</v>
      </c>
      <c r="AG113" s="4">
        <v>1</v>
      </c>
      <c r="AH113" s="4">
        <v>1</v>
      </c>
      <c r="AI113" s="4">
        <v>1</v>
      </c>
      <c r="AJ113" s="4">
        <v>1</v>
      </c>
      <c r="AK113" s="4">
        <v>0</v>
      </c>
      <c r="AL113" s="4">
        <v>1</v>
      </c>
      <c r="AM113" s="4">
        <v>1</v>
      </c>
      <c r="AN113" s="4" t="s">
        <v>140</v>
      </c>
      <c r="AO113" s="4">
        <v>1</v>
      </c>
      <c r="AP113" s="4">
        <v>1</v>
      </c>
      <c r="AQ113" s="4">
        <v>0</v>
      </c>
      <c r="AR113" s="4" t="s">
        <v>140</v>
      </c>
      <c r="AS113" s="4">
        <v>1</v>
      </c>
      <c r="AT113" s="4" t="s">
        <v>1095</v>
      </c>
    </row>
    <row r="114" spans="1:46" x14ac:dyDescent="0.2">
      <c r="A114" s="4">
        <f t="shared" si="6"/>
        <v>6</v>
      </c>
      <c r="B114" s="4">
        <f t="shared" si="7"/>
        <v>2</v>
      </c>
      <c r="C114" s="13" t="str">
        <f>VLOOKUP(B114,Correspondance!$D$3:$E$14,2,FALSE)</f>
        <v>Février</v>
      </c>
      <c r="D114" s="1" t="s">
        <v>1073</v>
      </c>
      <c r="E114" s="2" t="s">
        <v>40</v>
      </c>
      <c r="F114" s="3" t="s">
        <v>61</v>
      </c>
      <c r="G114" s="4" t="s">
        <v>505</v>
      </c>
      <c r="H114" s="4" t="s">
        <v>506</v>
      </c>
      <c r="I114" s="5" t="s">
        <v>57</v>
      </c>
      <c r="J114" s="6">
        <v>97</v>
      </c>
      <c r="K114" s="4" t="s">
        <v>1112</v>
      </c>
      <c r="L114" s="4" t="s">
        <v>46</v>
      </c>
      <c r="M114" s="4" t="s">
        <v>47</v>
      </c>
      <c r="N114" s="4" t="s">
        <v>998</v>
      </c>
      <c r="O114" s="4" t="s">
        <v>49</v>
      </c>
      <c r="P114" s="4">
        <v>1</v>
      </c>
      <c r="Q114" s="4">
        <v>1</v>
      </c>
      <c r="R114" s="4">
        <v>1</v>
      </c>
      <c r="S114" s="4">
        <v>1</v>
      </c>
      <c r="T114" s="4">
        <v>1</v>
      </c>
      <c r="U114" s="4">
        <v>0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</v>
      </c>
      <c r="AC114" s="4">
        <v>1</v>
      </c>
      <c r="AD114" s="4">
        <v>1</v>
      </c>
      <c r="AE114" s="4">
        <v>1</v>
      </c>
      <c r="AF114" s="4">
        <v>1</v>
      </c>
      <c r="AG114" s="4">
        <v>1</v>
      </c>
      <c r="AH114" s="4">
        <v>1</v>
      </c>
      <c r="AI114" s="4">
        <v>1</v>
      </c>
      <c r="AJ114" s="4" t="s">
        <v>140</v>
      </c>
      <c r="AK114" s="4">
        <v>1</v>
      </c>
      <c r="AL114" s="4">
        <v>1</v>
      </c>
      <c r="AM114" s="4">
        <v>1</v>
      </c>
      <c r="AN114" s="4" t="s">
        <v>140</v>
      </c>
      <c r="AO114" s="4">
        <v>1</v>
      </c>
      <c r="AP114" s="4">
        <v>1</v>
      </c>
      <c r="AQ114" s="4">
        <v>1</v>
      </c>
      <c r="AR114" s="4">
        <v>1</v>
      </c>
      <c r="AS114" s="4">
        <v>1</v>
      </c>
      <c r="AT114" s="4" t="s">
        <v>1073</v>
      </c>
    </row>
    <row r="115" spans="1:46" x14ac:dyDescent="0.2">
      <c r="A115" s="4">
        <f t="shared" si="6"/>
        <v>7</v>
      </c>
      <c r="B115" s="4">
        <f t="shared" si="7"/>
        <v>2</v>
      </c>
      <c r="C115" s="13" t="str">
        <f>VLOOKUP(B115,Correspondance!$D$3:$E$14,2,FALSE)</f>
        <v>Février</v>
      </c>
      <c r="D115" s="1" t="s">
        <v>1113</v>
      </c>
      <c r="E115" s="2" t="s">
        <v>40</v>
      </c>
      <c r="F115" s="3" t="s">
        <v>41</v>
      </c>
      <c r="G115" s="4" t="s">
        <v>109</v>
      </c>
      <c r="H115" s="4" t="s">
        <v>110</v>
      </c>
      <c r="I115" s="5" t="s">
        <v>41</v>
      </c>
      <c r="J115" s="6">
        <v>92.5</v>
      </c>
      <c r="K115" s="4" t="s">
        <v>1114</v>
      </c>
      <c r="L115" s="4" t="s">
        <v>66</v>
      </c>
      <c r="M115" s="4" t="s">
        <v>47</v>
      </c>
      <c r="N115" s="4" t="s">
        <v>1115</v>
      </c>
      <c r="O115" s="4" t="s">
        <v>49</v>
      </c>
      <c r="P115" s="4">
        <v>1</v>
      </c>
      <c r="Q115" s="4" t="s">
        <v>140</v>
      </c>
      <c r="R115" s="4">
        <v>1</v>
      </c>
      <c r="S115" s="4">
        <v>1</v>
      </c>
      <c r="T115" s="4">
        <v>1</v>
      </c>
      <c r="U115" s="4">
        <v>1</v>
      </c>
      <c r="V115" s="4">
        <v>1</v>
      </c>
      <c r="W115" s="4" t="s">
        <v>140</v>
      </c>
      <c r="X115" s="4">
        <v>1</v>
      </c>
      <c r="Y115" s="4">
        <v>1</v>
      </c>
      <c r="Z115" s="4">
        <v>1</v>
      </c>
      <c r="AA115" s="4">
        <v>1</v>
      </c>
      <c r="AB115" s="4">
        <v>1</v>
      </c>
      <c r="AC115" s="4">
        <v>1</v>
      </c>
      <c r="AD115" s="4">
        <v>1</v>
      </c>
      <c r="AE115" s="4">
        <v>1</v>
      </c>
      <c r="AF115" s="4">
        <v>1</v>
      </c>
      <c r="AG115" s="4">
        <v>1</v>
      </c>
      <c r="AH115" s="4">
        <v>1</v>
      </c>
      <c r="AI115" s="4">
        <v>1</v>
      </c>
      <c r="AJ115" s="4">
        <v>1</v>
      </c>
      <c r="AK115" s="4" t="s">
        <v>140</v>
      </c>
      <c r="AL115" s="4">
        <v>0</v>
      </c>
      <c r="AM115" s="4">
        <v>1</v>
      </c>
      <c r="AN115" s="4" t="s">
        <v>140</v>
      </c>
      <c r="AO115" s="4">
        <v>1</v>
      </c>
      <c r="AP115" s="4" t="s">
        <v>140</v>
      </c>
      <c r="AQ115" s="4" t="s">
        <v>140</v>
      </c>
      <c r="AR115" s="4" t="s">
        <v>140</v>
      </c>
      <c r="AS115" s="4">
        <v>1</v>
      </c>
      <c r="AT115" s="4" t="s">
        <v>1109</v>
      </c>
    </row>
    <row r="116" spans="1:46" x14ac:dyDescent="0.2">
      <c r="A116" s="4">
        <f t="shared" si="6"/>
        <v>7</v>
      </c>
      <c r="B116" s="4">
        <f t="shared" si="7"/>
        <v>2</v>
      </c>
      <c r="C116" s="13" t="str">
        <f>VLOOKUP(B116,Correspondance!$D$3:$E$14,2,FALSE)</f>
        <v>Février</v>
      </c>
      <c r="D116" s="1" t="s">
        <v>1113</v>
      </c>
      <c r="E116" s="2" t="s">
        <v>40</v>
      </c>
      <c r="F116" s="3" t="s">
        <v>41</v>
      </c>
      <c r="G116" s="4" t="s">
        <v>42</v>
      </c>
      <c r="H116" s="4" t="s">
        <v>43</v>
      </c>
      <c r="I116" s="5" t="s">
        <v>41</v>
      </c>
      <c r="J116" s="6">
        <v>100</v>
      </c>
      <c r="K116" s="4" t="s">
        <v>1116</v>
      </c>
      <c r="L116" s="4" t="s">
        <v>66</v>
      </c>
      <c r="M116" s="4" t="s">
        <v>74</v>
      </c>
      <c r="N116" s="4" t="s">
        <v>182</v>
      </c>
      <c r="O116" s="4" t="s">
        <v>49</v>
      </c>
      <c r="P116" s="4">
        <v>1</v>
      </c>
      <c r="Q116" s="4">
        <v>1</v>
      </c>
      <c r="R116" s="4">
        <v>1</v>
      </c>
      <c r="S116" s="4">
        <v>1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>
        <v>1</v>
      </c>
      <c r="AA116" s="4">
        <v>1</v>
      </c>
      <c r="AB116" s="4">
        <v>1</v>
      </c>
      <c r="AC116" s="4">
        <v>1</v>
      </c>
      <c r="AD116" s="4">
        <v>1</v>
      </c>
      <c r="AE116" s="4">
        <v>1</v>
      </c>
      <c r="AF116" s="4">
        <v>1</v>
      </c>
      <c r="AG116" s="4">
        <v>1</v>
      </c>
      <c r="AH116" s="4">
        <v>1</v>
      </c>
      <c r="AI116" s="4">
        <v>1</v>
      </c>
      <c r="AJ116" s="4">
        <v>1</v>
      </c>
      <c r="AK116" s="4">
        <v>1</v>
      </c>
      <c r="AL116" s="4">
        <v>1</v>
      </c>
      <c r="AM116" s="4">
        <v>1</v>
      </c>
      <c r="AN116" s="4" t="s">
        <v>140</v>
      </c>
      <c r="AO116" s="4">
        <v>1</v>
      </c>
      <c r="AP116" s="4">
        <v>1</v>
      </c>
      <c r="AQ116" s="4">
        <v>1</v>
      </c>
      <c r="AR116" s="4" t="s">
        <v>140</v>
      </c>
      <c r="AS116" s="4">
        <v>1</v>
      </c>
      <c r="AT116" s="4" t="s">
        <v>1085</v>
      </c>
    </row>
    <row r="117" spans="1:46" x14ac:dyDescent="0.2">
      <c r="A117" s="4">
        <f t="shared" si="6"/>
        <v>7</v>
      </c>
      <c r="B117" s="4">
        <f t="shared" si="7"/>
        <v>2</v>
      </c>
      <c r="C117" s="13" t="str">
        <f>VLOOKUP(B117,Correspondance!$D$3:$E$14,2,FALSE)</f>
        <v>Février</v>
      </c>
      <c r="D117" s="1" t="s">
        <v>1113</v>
      </c>
      <c r="E117" s="2" t="s">
        <v>40</v>
      </c>
      <c r="F117" s="3" t="s">
        <v>41</v>
      </c>
      <c r="G117" s="4" t="s">
        <v>42</v>
      </c>
      <c r="H117" s="4" t="s">
        <v>43</v>
      </c>
      <c r="I117" s="5" t="s">
        <v>57</v>
      </c>
      <c r="J117" s="6">
        <v>100</v>
      </c>
      <c r="K117" s="4" t="s">
        <v>1117</v>
      </c>
      <c r="L117" s="4" t="s">
        <v>114</v>
      </c>
      <c r="M117" s="4" t="s">
        <v>175</v>
      </c>
      <c r="N117" s="4" t="s">
        <v>275</v>
      </c>
      <c r="O117" s="4" t="s">
        <v>49</v>
      </c>
      <c r="P117" s="4">
        <v>1</v>
      </c>
      <c r="Q117" s="4">
        <v>1</v>
      </c>
      <c r="R117" s="4">
        <v>1</v>
      </c>
      <c r="S117" s="4">
        <v>1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>
        <v>1</v>
      </c>
      <c r="AA117" s="4">
        <v>1</v>
      </c>
      <c r="AB117" s="4">
        <v>1</v>
      </c>
      <c r="AC117" s="4">
        <v>1</v>
      </c>
      <c r="AD117" s="4" t="s">
        <v>140</v>
      </c>
      <c r="AE117" s="4">
        <v>1</v>
      </c>
      <c r="AF117" s="4">
        <v>1</v>
      </c>
      <c r="AG117" s="4">
        <v>1</v>
      </c>
      <c r="AH117" s="4">
        <v>1</v>
      </c>
      <c r="AI117" s="4">
        <v>1</v>
      </c>
      <c r="AJ117" s="4">
        <v>1</v>
      </c>
      <c r="AK117" s="4">
        <v>1</v>
      </c>
      <c r="AL117" s="4">
        <v>1</v>
      </c>
      <c r="AM117" s="4">
        <v>1</v>
      </c>
      <c r="AN117" s="4" t="s">
        <v>140</v>
      </c>
      <c r="AO117" s="4">
        <v>1</v>
      </c>
      <c r="AP117" s="4">
        <v>1</v>
      </c>
      <c r="AQ117" s="4">
        <v>1</v>
      </c>
      <c r="AR117" s="4" t="s">
        <v>140</v>
      </c>
      <c r="AS117" s="4">
        <v>1</v>
      </c>
      <c r="AT117" s="4" t="s">
        <v>1085</v>
      </c>
    </row>
    <row r="118" spans="1:46" x14ac:dyDescent="0.2">
      <c r="A118" s="4">
        <f t="shared" si="6"/>
        <v>7</v>
      </c>
      <c r="B118" s="4">
        <f t="shared" si="7"/>
        <v>2</v>
      </c>
      <c r="C118" s="13" t="str">
        <f>VLOOKUP(B118,Correspondance!$D$3:$E$14,2,FALSE)</f>
        <v>Février</v>
      </c>
      <c r="D118" s="1" t="s">
        <v>1113</v>
      </c>
      <c r="E118" s="2" t="s">
        <v>40</v>
      </c>
      <c r="F118" s="3" t="s">
        <v>41</v>
      </c>
      <c r="G118" s="4" t="s">
        <v>42</v>
      </c>
      <c r="H118" s="4" t="s">
        <v>43</v>
      </c>
      <c r="I118" s="5" t="s">
        <v>57</v>
      </c>
      <c r="J118" s="6">
        <v>100</v>
      </c>
      <c r="K118" s="4" t="s">
        <v>1118</v>
      </c>
      <c r="L118" s="4" t="s">
        <v>114</v>
      </c>
      <c r="M118" s="4" t="s">
        <v>175</v>
      </c>
      <c r="N118" s="4" t="s">
        <v>1119</v>
      </c>
      <c r="O118" s="4" t="s">
        <v>49</v>
      </c>
      <c r="P118" s="4">
        <v>1</v>
      </c>
      <c r="Q118" s="4">
        <v>1</v>
      </c>
      <c r="R118" s="4">
        <v>1</v>
      </c>
      <c r="S118" s="4">
        <v>1</v>
      </c>
      <c r="T118" s="4">
        <v>1</v>
      </c>
      <c r="U118" s="4">
        <v>1</v>
      </c>
      <c r="V118" s="4">
        <v>1</v>
      </c>
      <c r="W118" s="4">
        <v>1</v>
      </c>
      <c r="X118" s="4">
        <v>1</v>
      </c>
      <c r="Y118" s="4">
        <v>1</v>
      </c>
      <c r="Z118" s="4">
        <v>1</v>
      </c>
      <c r="AA118" s="4">
        <v>1</v>
      </c>
      <c r="AB118" s="4">
        <v>1</v>
      </c>
      <c r="AC118" s="4">
        <v>1</v>
      </c>
      <c r="AD118" s="4" t="s">
        <v>140</v>
      </c>
      <c r="AE118" s="4">
        <v>1</v>
      </c>
      <c r="AF118" s="4">
        <v>1</v>
      </c>
      <c r="AG118" s="4">
        <v>1</v>
      </c>
      <c r="AH118" s="4">
        <v>1</v>
      </c>
      <c r="AI118" s="4">
        <v>1</v>
      </c>
      <c r="AJ118" s="4">
        <v>1</v>
      </c>
      <c r="AK118" s="4">
        <v>1</v>
      </c>
      <c r="AL118" s="4">
        <v>1</v>
      </c>
      <c r="AM118" s="4">
        <v>1</v>
      </c>
      <c r="AN118" s="4" t="s">
        <v>140</v>
      </c>
      <c r="AO118" s="4">
        <v>1</v>
      </c>
      <c r="AP118" s="4">
        <v>1</v>
      </c>
      <c r="AQ118" s="4">
        <v>1</v>
      </c>
      <c r="AR118" s="4" t="s">
        <v>140</v>
      </c>
      <c r="AS118" s="4">
        <v>1</v>
      </c>
      <c r="AT118" s="4" t="s">
        <v>1085</v>
      </c>
    </row>
    <row r="119" spans="1:46" x14ac:dyDescent="0.2">
      <c r="A119" s="4">
        <f t="shared" si="6"/>
        <v>7</v>
      </c>
      <c r="B119" s="4">
        <f t="shared" si="7"/>
        <v>2</v>
      </c>
      <c r="C119" s="13" t="str">
        <f>VLOOKUP(B119,Correspondance!$D$3:$E$14,2,FALSE)</f>
        <v>Février</v>
      </c>
      <c r="D119" s="1" t="s">
        <v>1113</v>
      </c>
      <c r="E119" s="2" t="s">
        <v>40</v>
      </c>
      <c r="F119" s="3" t="s">
        <v>41</v>
      </c>
      <c r="G119" s="4" t="s">
        <v>78</v>
      </c>
      <c r="H119" s="4" t="s">
        <v>79</v>
      </c>
      <c r="I119" s="5" t="s">
        <v>41</v>
      </c>
      <c r="J119" s="6">
        <v>98</v>
      </c>
      <c r="K119" s="4" t="s">
        <v>1120</v>
      </c>
      <c r="L119" s="4" t="s">
        <v>66</v>
      </c>
      <c r="M119" s="4" t="s">
        <v>74</v>
      </c>
      <c r="N119" s="4" t="s">
        <v>943</v>
      </c>
      <c r="O119" s="4" t="s">
        <v>49</v>
      </c>
      <c r="P119" s="4">
        <v>1</v>
      </c>
      <c r="Q119" s="4">
        <v>1</v>
      </c>
      <c r="R119" s="4">
        <v>1</v>
      </c>
      <c r="S119" s="4">
        <v>1</v>
      </c>
      <c r="T119" s="4">
        <v>1</v>
      </c>
      <c r="U119" s="4">
        <v>1</v>
      </c>
      <c r="V119" s="4">
        <v>1</v>
      </c>
      <c r="W119" s="4">
        <v>1</v>
      </c>
      <c r="X119" s="4">
        <v>1</v>
      </c>
      <c r="Y119" s="4">
        <v>1</v>
      </c>
      <c r="Z119" s="4">
        <v>1</v>
      </c>
      <c r="AA119" s="4">
        <v>1</v>
      </c>
      <c r="AB119" s="4">
        <v>1</v>
      </c>
      <c r="AC119" s="4">
        <v>1</v>
      </c>
      <c r="AD119" s="4">
        <v>1</v>
      </c>
      <c r="AE119" s="4">
        <v>1</v>
      </c>
      <c r="AF119" s="4">
        <v>1</v>
      </c>
      <c r="AG119" s="4">
        <v>1</v>
      </c>
      <c r="AH119" s="4">
        <v>1</v>
      </c>
      <c r="AI119" s="4">
        <v>1</v>
      </c>
      <c r="AJ119" s="4">
        <v>1</v>
      </c>
      <c r="AK119" s="4">
        <v>0</v>
      </c>
      <c r="AL119" s="4" t="s">
        <v>140</v>
      </c>
      <c r="AM119" s="4">
        <v>1</v>
      </c>
      <c r="AN119" s="4" t="s">
        <v>140</v>
      </c>
      <c r="AO119" s="4">
        <v>1</v>
      </c>
      <c r="AP119" s="4">
        <v>1</v>
      </c>
      <c r="AQ119" s="4">
        <v>1</v>
      </c>
      <c r="AR119" s="4" t="s">
        <v>140</v>
      </c>
      <c r="AS119" s="4">
        <v>1</v>
      </c>
      <c r="AT119" s="4" t="s">
        <v>1095</v>
      </c>
    </row>
    <row r="120" spans="1:46" x14ac:dyDescent="0.2">
      <c r="A120" s="4">
        <f t="shared" si="6"/>
        <v>7</v>
      </c>
      <c r="B120" s="4">
        <f t="shared" si="7"/>
        <v>2</v>
      </c>
      <c r="C120" s="13" t="str">
        <f>VLOOKUP(B120,Correspondance!$D$3:$E$14,2,FALSE)</f>
        <v>Février</v>
      </c>
      <c r="D120" s="1" t="s">
        <v>1113</v>
      </c>
      <c r="E120" s="2" t="s">
        <v>40</v>
      </c>
      <c r="F120" s="3" t="s">
        <v>41</v>
      </c>
      <c r="G120" s="4" t="s">
        <v>78</v>
      </c>
      <c r="H120" s="4" t="s">
        <v>79</v>
      </c>
      <c r="I120" s="5" t="s">
        <v>41</v>
      </c>
      <c r="J120" s="6">
        <v>100</v>
      </c>
      <c r="K120" s="4" t="s">
        <v>1121</v>
      </c>
      <c r="L120" s="4" t="s">
        <v>66</v>
      </c>
      <c r="M120" s="4" t="s">
        <v>74</v>
      </c>
      <c r="N120" s="4" t="s">
        <v>943</v>
      </c>
      <c r="O120" s="4" t="s">
        <v>49</v>
      </c>
      <c r="P120" s="4">
        <v>1</v>
      </c>
      <c r="Q120" s="4">
        <v>1</v>
      </c>
      <c r="R120" s="4">
        <v>1</v>
      </c>
      <c r="S120" s="4">
        <v>1</v>
      </c>
      <c r="T120" s="4">
        <v>1</v>
      </c>
      <c r="U120" s="4">
        <v>1</v>
      </c>
      <c r="V120" s="4">
        <v>1</v>
      </c>
      <c r="W120" s="4">
        <v>1</v>
      </c>
      <c r="X120" s="4">
        <v>1</v>
      </c>
      <c r="Y120" s="4">
        <v>1</v>
      </c>
      <c r="Z120" s="4">
        <v>1</v>
      </c>
      <c r="AA120" s="4">
        <v>1</v>
      </c>
      <c r="AB120" s="4">
        <v>1</v>
      </c>
      <c r="AC120" s="4">
        <v>1</v>
      </c>
      <c r="AD120" s="4">
        <v>1</v>
      </c>
      <c r="AE120" s="4">
        <v>1</v>
      </c>
      <c r="AF120" s="4">
        <v>1</v>
      </c>
      <c r="AG120" s="4">
        <v>1</v>
      </c>
      <c r="AH120" s="4">
        <v>1</v>
      </c>
      <c r="AI120" s="4">
        <v>1</v>
      </c>
      <c r="AJ120" s="4" t="s">
        <v>140</v>
      </c>
      <c r="AK120" s="4">
        <v>1</v>
      </c>
      <c r="AL120" s="4">
        <v>1</v>
      </c>
      <c r="AM120" s="4">
        <v>1</v>
      </c>
      <c r="AN120" s="4" t="s">
        <v>140</v>
      </c>
      <c r="AO120" s="4">
        <v>1</v>
      </c>
      <c r="AP120" s="4">
        <v>1</v>
      </c>
      <c r="AQ120" s="4">
        <v>1</v>
      </c>
      <c r="AR120" s="4" t="s">
        <v>140</v>
      </c>
      <c r="AS120" s="4">
        <v>1</v>
      </c>
      <c r="AT120" s="4" t="s">
        <v>1095</v>
      </c>
    </row>
    <row r="121" spans="1:46" x14ac:dyDescent="0.2">
      <c r="A121" s="4">
        <f t="shared" si="6"/>
        <v>7</v>
      </c>
      <c r="B121" s="4">
        <f t="shared" si="7"/>
        <v>2</v>
      </c>
      <c r="C121" s="13" t="str">
        <f>VLOOKUP(B121,Correspondance!$D$3:$E$14,2,FALSE)</f>
        <v>Février</v>
      </c>
      <c r="D121" s="1" t="s">
        <v>1113</v>
      </c>
      <c r="E121" s="2" t="s">
        <v>40</v>
      </c>
      <c r="F121" s="3" t="s">
        <v>52</v>
      </c>
      <c r="G121" s="4" t="s">
        <v>93</v>
      </c>
      <c r="H121" s="4" t="s">
        <v>94</v>
      </c>
      <c r="I121" s="5" t="s">
        <v>57</v>
      </c>
      <c r="J121" s="6">
        <v>96</v>
      </c>
      <c r="K121" s="4" t="s">
        <v>1122</v>
      </c>
      <c r="L121" s="4" t="s">
        <v>114</v>
      </c>
      <c r="M121" s="4" t="s">
        <v>175</v>
      </c>
      <c r="N121" s="4" t="s">
        <v>275</v>
      </c>
      <c r="O121" s="4" t="s">
        <v>49</v>
      </c>
      <c r="P121" s="4">
        <v>1</v>
      </c>
      <c r="Q121" s="4">
        <v>1</v>
      </c>
      <c r="R121" s="4">
        <v>1</v>
      </c>
      <c r="S121" s="4">
        <v>1</v>
      </c>
      <c r="T121" s="4">
        <v>1</v>
      </c>
      <c r="U121" s="4">
        <v>1</v>
      </c>
      <c r="V121" s="4">
        <v>1</v>
      </c>
      <c r="W121" s="4">
        <v>1</v>
      </c>
      <c r="X121" s="4">
        <v>1</v>
      </c>
      <c r="Y121" s="4">
        <v>1</v>
      </c>
      <c r="Z121" s="4">
        <v>1</v>
      </c>
      <c r="AA121" s="4">
        <v>1</v>
      </c>
      <c r="AB121" s="4">
        <v>1</v>
      </c>
      <c r="AC121" s="4">
        <v>1</v>
      </c>
      <c r="AD121" s="4" t="s">
        <v>140</v>
      </c>
      <c r="AE121" s="4">
        <v>1</v>
      </c>
      <c r="AF121" s="4">
        <v>1</v>
      </c>
      <c r="AG121" s="4">
        <v>1</v>
      </c>
      <c r="AH121" s="4">
        <v>1</v>
      </c>
      <c r="AI121" s="4">
        <v>1</v>
      </c>
      <c r="AJ121" s="4">
        <v>1</v>
      </c>
      <c r="AK121" s="4">
        <v>0</v>
      </c>
      <c r="AL121" s="4">
        <v>1</v>
      </c>
      <c r="AM121" s="4">
        <v>1</v>
      </c>
      <c r="AN121" s="4" t="s">
        <v>140</v>
      </c>
      <c r="AO121" s="4">
        <v>1</v>
      </c>
      <c r="AP121" s="4">
        <v>1</v>
      </c>
      <c r="AQ121" s="4">
        <v>0</v>
      </c>
      <c r="AR121" s="4" t="s">
        <v>140</v>
      </c>
      <c r="AS121" s="4">
        <v>1</v>
      </c>
      <c r="AT121" s="4" t="s">
        <v>1085</v>
      </c>
    </row>
    <row r="122" spans="1:46" x14ac:dyDescent="0.2">
      <c r="A122" s="4">
        <f t="shared" si="6"/>
        <v>7</v>
      </c>
      <c r="B122" s="4">
        <f t="shared" si="7"/>
        <v>2</v>
      </c>
      <c r="C122" s="13" t="str">
        <f>VLOOKUP(B122,Correspondance!$D$3:$E$14,2,FALSE)</f>
        <v>Février</v>
      </c>
      <c r="D122" s="1" t="s">
        <v>1113</v>
      </c>
      <c r="E122" s="2" t="s">
        <v>40</v>
      </c>
      <c r="F122" s="3" t="s">
        <v>52</v>
      </c>
      <c r="G122" s="4" t="s">
        <v>93</v>
      </c>
      <c r="H122" s="4" t="s">
        <v>94</v>
      </c>
      <c r="I122" s="5" t="s">
        <v>57</v>
      </c>
      <c r="J122" s="6">
        <v>100</v>
      </c>
      <c r="K122" s="4" t="s">
        <v>1123</v>
      </c>
      <c r="L122" s="4" t="s">
        <v>114</v>
      </c>
      <c r="M122" s="4" t="s">
        <v>175</v>
      </c>
      <c r="N122" s="4" t="s">
        <v>1124</v>
      </c>
      <c r="O122" s="4" t="s">
        <v>49</v>
      </c>
      <c r="P122" s="4">
        <v>1</v>
      </c>
      <c r="Q122" s="4">
        <v>1</v>
      </c>
      <c r="R122" s="4">
        <v>1</v>
      </c>
      <c r="S122" s="4">
        <v>1</v>
      </c>
      <c r="T122" s="4">
        <v>1</v>
      </c>
      <c r="U122" s="4">
        <v>1</v>
      </c>
      <c r="V122" s="4">
        <v>1</v>
      </c>
      <c r="W122" s="4">
        <v>1</v>
      </c>
      <c r="X122" s="4">
        <v>1</v>
      </c>
      <c r="Y122" s="4">
        <v>1</v>
      </c>
      <c r="Z122" s="4">
        <v>1</v>
      </c>
      <c r="AA122" s="4">
        <v>1</v>
      </c>
      <c r="AB122" s="4">
        <v>1</v>
      </c>
      <c r="AC122" s="4">
        <v>1</v>
      </c>
      <c r="AD122" s="4" t="s">
        <v>140</v>
      </c>
      <c r="AE122" s="4">
        <v>1</v>
      </c>
      <c r="AF122" s="4">
        <v>1</v>
      </c>
      <c r="AG122" s="4">
        <v>1</v>
      </c>
      <c r="AH122" s="4">
        <v>1</v>
      </c>
      <c r="AI122" s="4">
        <v>1</v>
      </c>
      <c r="AJ122" s="4">
        <v>1</v>
      </c>
      <c r="AK122" s="4">
        <v>1</v>
      </c>
      <c r="AL122" s="4">
        <v>1</v>
      </c>
      <c r="AM122" s="4">
        <v>1</v>
      </c>
      <c r="AN122" s="4" t="s">
        <v>140</v>
      </c>
      <c r="AO122" s="4">
        <v>1</v>
      </c>
      <c r="AP122" s="4">
        <v>1</v>
      </c>
      <c r="AQ122" s="4">
        <v>1</v>
      </c>
      <c r="AR122" s="4" t="s">
        <v>140</v>
      </c>
      <c r="AS122" s="4">
        <v>1</v>
      </c>
      <c r="AT122" s="4" t="s">
        <v>1085</v>
      </c>
    </row>
    <row r="123" spans="1:46" x14ac:dyDescent="0.2">
      <c r="A123" s="4">
        <f t="shared" si="6"/>
        <v>7</v>
      </c>
      <c r="B123" s="4">
        <f t="shared" si="7"/>
        <v>2</v>
      </c>
      <c r="C123" s="13" t="str">
        <f>VLOOKUP(B123,Correspondance!$D$3:$E$14,2,FALSE)</f>
        <v>Février</v>
      </c>
      <c r="D123" s="1" t="s">
        <v>1113</v>
      </c>
      <c r="E123" s="2" t="s">
        <v>40</v>
      </c>
      <c r="F123" s="3" t="s">
        <v>52</v>
      </c>
      <c r="G123" s="4" t="s">
        <v>93</v>
      </c>
      <c r="H123" s="4" t="s">
        <v>94</v>
      </c>
      <c r="I123" s="5" t="s">
        <v>57</v>
      </c>
      <c r="J123" s="6">
        <v>100</v>
      </c>
      <c r="K123" s="4" t="s">
        <v>1125</v>
      </c>
      <c r="L123" s="4" t="s">
        <v>114</v>
      </c>
      <c r="M123" s="4" t="s">
        <v>74</v>
      </c>
      <c r="N123" s="4" t="s">
        <v>275</v>
      </c>
      <c r="O123" s="4" t="s">
        <v>49</v>
      </c>
      <c r="P123" s="4">
        <v>1</v>
      </c>
      <c r="Q123" s="4">
        <v>1</v>
      </c>
      <c r="R123" s="4">
        <v>1</v>
      </c>
      <c r="S123" s="4">
        <v>1</v>
      </c>
      <c r="T123" s="4">
        <v>1</v>
      </c>
      <c r="U123" s="4">
        <v>1</v>
      </c>
      <c r="V123" s="4">
        <v>1</v>
      </c>
      <c r="W123" s="4">
        <v>1</v>
      </c>
      <c r="X123" s="4">
        <v>1</v>
      </c>
      <c r="Y123" s="4">
        <v>1</v>
      </c>
      <c r="Z123" s="4">
        <v>1</v>
      </c>
      <c r="AA123" s="4">
        <v>1</v>
      </c>
      <c r="AB123" s="4">
        <v>1</v>
      </c>
      <c r="AC123" s="4">
        <v>1</v>
      </c>
      <c r="AD123" s="4" t="s">
        <v>140</v>
      </c>
      <c r="AE123" s="4">
        <v>1</v>
      </c>
      <c r="AF123" s="4">
        <v>1</v>
      </c>
      <c r="AG123" s="4">
        <v>1</v>
      </c>
      <c r="AH123" s="4">
        <v>1</v>
      </c>
      <c r="AI123" s="4">
        <v>1</v>
      </c>
      <c r="AJ123" s="4">
        <v>1</v>
      </c>
      <c r="AK123" s="4">
        <v>1</v>
      </c>
      <c r="AL123" s="4">
        <v>1</v>
      </c>
      <c r="AM123" s="4">
        <v>1</v>
      </c>
      <c r="AN123" s="4" t="s">
        <v>140</v>
      </c>
      <c r="AO123" s="4">
        <v>1</v>
      </c>
      <c r="AP123" s="4">
        <v>1</v>
      </c>
      <c r="AQ123" s="4">
        <v>1</v>
      </c>
      <c r="AR123" s="4" t="s">
        <v>140</v>
      </c>
      <c r="AS123" s="4">
        <v>1</v>
      </c>
      <c r="AT123" s="4" t="s">
        <v>1085</v>
      </c>
    </row>
    <row r="124" spans="1:46" x14ac:dyDescent="0.2">
      <c r="A124" s="4">
        <f t="shared" si="6"/>
        <v>7</v>
      </c>
      <c r="B124" s="4">
        <f t="shared" si="7"/>
        <v>2</v>
      </c>
      <c r="C124" s="13" t="str">
        <f>VLOOKUP(B124,Correspondance!$D$3:$E$14,2,FALSE)</f>
        <v>Février</v>
      </c>
      <c r="D124" s="1" t="s">
        <v>1113</v>
      </c>
      <c r="E124" s="2" t="s">
        <v>40</v>
      </c>
      <c r="F124" s="3" t="s">
        <v>52</v>
      </c>
      <c r="G124" s="4" t="s">
        <v>53</v>
      </c>
      <c r="H124" s="4" t="s">
        <v>54</v>
      </c>
      <c r="I124" s="5" t="s">
        <v>57</v>
      </c>
      <c r="J124" s="6">
        <v>100</v>
      </c>
      <c r="K124" s="4" t="s">
        <v>1126</v>
      </c>
      <c r="L124" s="4" t="s">
        <v>114</v>
      </c>
      <c r="M124" s="4" t="s">
        <v>74</v>
      </c>
      <c r="N124" s="4" t="s">
        <v>504</v>
      </c>
      <c r="O124" s="4" t="s">
        <v>49</v>
      </c>
      <c r="P124" s="4">
        <v>1</v>
      </c>
      <c r="Q124" s="4">
        <v>1</v>
      </c>
      <c r="R124" s="4">
        <v>1</v>
      </c>
      <c r="S124" s="4">
        <v>1</v>
      </c>
      <c r="T124" s="4">
        <v>1</v>
      </c>
      <c r="U124" s="4">
        <v>1</v>
      </c>
      <c r="V124" s="4">
        <v>1</v>
      </c>
      <c r="W124" s="4">
        <v>1</v>
      </c>
      <c r="X124" s="4">
        <v>1</v>
      </c>
      <c r="Y124" s="4">
        <v>1</v>
      </c>
      <c r="Z124" s="4">
        <v>1</v>
      </c>
      <c r="AA124" s="4">
        <v>1</v>
      </c>
      <c r="AB124" s="4">
        <v>1</v>
      </c>
      <c r="AC124" s="4">
        <v>1</v>
      </c>
      <c r="AD124" s="4">
        <v>1</v>
      </c>
      <c r="AE124" s="4">
        <v>1</v>
      </c>
      <c r="AF124" s="4">
        <v>1</v>
      </c>
      <c r="AG124" s="4">
        <v>1</v>
      </c>
      <c r="AH124" s="4">
        <v>1</v>
      </c>
      <c r="AI124" s="4">
        <v>1</v>
      </c>
      <c r="AJ124" s="4">
        <v>1</v>
      </c>
      <c r="AK124" s="4">
        <v>1</v>
      </c>
      <c r="AL124" s="4">
        <v>1</v>
      </c>
      <c r="AM124" s="4">
        <v>1</v>
      </c>
      <c r="AN124" s="4" t="s">
        <v>140</v>
      </c>
      <c r="AO124" s="4">
        <v>1</v>
      </c>
      <c r="AP124" s="4">
        <v>1</v>
      </c>
      <c r="AQ124" s="4">
        <v>1</v>
      </c>
      <c r="AR124" s="4" t="s">
        <v>140</v>
      </c>
      <c r="AS124" s="4">
        <v>1</v>
      </c>
      <c r="AT124" s="4" t="s">
        <v>1085</v>
      </c>
    </row>
    <row r="125" spans="1:46" x14ac:dyDescent="0.2">
      <c r="A125" s="4">
        <f t="shared" si="6"/>
        <v>7</v>
      </c>
      <c r="B125" s="4">
        <f t="shared" si="7"/>
        <v>2</v>
      </c>
      <c r="C125" s="13" t="str">
        <f>VLOOKUP(B125,Correspondance!$D$3:$E$14,2,FALSE)</f>
        <v>Février</v>
      </c>
      <c r="D125" s="1" t="s">
        <v>1113</v>
      </c>
      <c r="E125" s="2" t="s">
        <v>40</v>
      </c>
      <c r="F125" s="3" t="s">
        <v>52</v>
      </c>
      <c r="G125" s="4" t="s">
        <v>53</v>
      </c>
      <c r="H125" s="4" t="s">
        <v>54</v>
      </c>
      <c r="I125" s="5" t="s">
        <v>57</v>
      </c>
      <c r="J125" s="6">
        <v>100</v>
      </c>
      <c r="K125" s="4" t="s">
        <v>1127</v>
      </c>
      <c r="L125" s="4" t="s">
        <v>114</v>
      </c>
      <c r="M125" s="4" t="s">
        <v>74</v>
      </c>
      <c r="N125" s="4" t="s">
        <v>1128</v>
      </c>
      <c r="O125" s="4" t="s">
        <v>49</v>
      </c>
      <c r="P125" s="4">
        <v>1</v>
      </c>
      <c r="Q125" s="4">
        <v>1</v>
      </c>
      <c r="R125" s="4">
        <v>1</v>
      </c>
      <c r="S125" s="4">
        <v>1</v>
      </c>
      <c r="T125" s="4">
        <v>1</v>
      </c>
      <c r="U125" s="4">
        <v>1</v>
      </c>
      <c r="V125" s="4">
        <v>1</v>
      </c>
      <c r="W125" s="4">
        <v>1</v>
      </c>
      <c r="X125" s="4">
        <v>1</v>
      </c>
      <c r="Y125" s="4">
        <v>1</v>
      </c>
      <c r="Z125" s="4">
        <v>1</v>
      </c>
      <c r="AA125" s="4">
        <v>1</v>
      </c>
      <c r="AB125" s="4">
        <v>1</v>
      </c>
      <c r="AC125" s="4">
        <v>1</v>
      </c>
      <c r="AD125" s="4" t="s">
        <v>140</v>
      </c>
      <c r="AE125" s="4">
        <v>1</v>
      </c>
      <c r="AF125" s="4">
        <v>1</v>
      </c>
      <c r="AG125" s="4">
        <v>1</v>
      </c>
      <c r="AH125" s="4">
        <v>1</v>
      </c>
      <c r="AI125" s="4">
        <v>1</v>
      </c>
      <c r="AJ125" s="4">
        <v>1</v>
      </c>
      <c r="AK125" s="4">
        <v>1</v>
      </c>
      <c r="AL125" s="4">
        <v>1</v>
      </c>
      <c r="AM125" s="4">
        <v>1</v>
      </c>
      <c r="AN125" s="4" t="s">
        <v>140</v>
      </c>
      <c r="AO125" s="4">
        <v>1</v>
      </c>
      <c r="AP125" s="4">
        <v>1</v>
      </c>
      <c r="AQ125" s="4">
        <v>1</v>
      </c>
      <c r="AR125" s="4" t="s">
        <v>140</v>
      </c>
      <c r="AS125" s="4">
        <v>1</v>
      </c>
      <c r="AT125" s="4" t="s">
        <v>1085</v>
      </c>
    </row>
    <row r="126" spans="1:46" x14ac:dyDescent="0.2">
      <c r="A126" s="4">
        <f t="shared" si="6"/>
        <v>7</v>
      </c>
      <c r="B126" s="4">
        <f t="shared" si="7"/>
        <v>2</v>
      </c>
      <c r="C126" s="13" t="str">
        <f>VLOOKUP(B126,Correspondance!$D$3:$E$14,2,FALSE)</f>
        <v>Février</v>
      </c>
      <c r="D126" s="1" t="s">
        <v>1113</v>
      </c>
      <c r="E126" s="2" t="s">
        <v>40</v>
      </c>
      <c r="F126" s="3" t="s">
        <v>52</v>
      </c>
      <c r="G126" s="4" t="s">
        <v>53</v>
      </c>
      <c r="H126" s="4" t="s">
        <v>54</v>
      </c>
      <c r="I126" s="5" t="s">
        <v>57</v>
      </c>
      <c r="J126" s="6">
        <v>100</v>
      </c>
      <c r="K126" s="4" t="s">
        <v>1129</v>
      </c>
      <c r="L126" s="4" t="s">
        <v>114</v>
      </c>
      <c r="M126" s="4" t="s">
        <v>74</v>
      </c>
      <c r="N126" s="4" t="s">
        <v>504</v>
      </c>
      <c r="O126" s="4" t="s">
        <v>49</v>
      </c>
      <c r="P126" s="4">
        <v>1</v>
      </c>
      <c r="Q126" s="4">
        <v>1</v>
      </c>
      <c r="R126" s="4">
        <v>1</v>
      </c>
      <c r="S126" s="4">
        <v>1</v>
      </c>
      <c r="T126" s="4">
        <v>1</v>
      </c>
      <c r="U126" s="4">
        <v>1</v>
      </c>
      <c r="V126" s="4">
        <v>1</v>
      </c>
      <c r="W126" s="4">
        <v>1</v>
      </c>
      <c r="X126" s="4">
        <v>1</v>
      </c>
      <c r="Y126" s="4">
        <v>1</v>
      </c>
      <c r="Z126" s="4">
        <v>1</v>
      </c>
      <c r="AA126" s="4">
        <v>1</v>
      </c>
      <c r="AB126" s="4">
        <v>1</v>
      </c>
      <c r="AC126" s="4">
        <v>1</v>
      </c>
      <c r="AD126" s="4">
        <v>1</v>
      </c>
      <c r="AE126" s="4">
        <v>1</v>
      </c>
      <c r="AF126" s="4">
        <v>1</v>
      </c>
      <c r="AG126" s="4">
        <v>1</v>
      </c>
      <c r="AH126" s="4">
        <v>1</v>
      </c>
      <c r="AI126" s="4">
        <v>1</v>
      </c>
      <c r="AJ126" s="4">
        <v>1</v>
      </c>
      <c r="AK126" s="4">
        <v>1</v>
      </c>
      <c r="AL126" s="4">
        <v>1</v>
      </c>
      <c r="AM126" s="4">
        <v>1</v>
      </c>
      <c r="AN126" s="4" t="s">
        <v>140</v>
      </c>
      <c r="AO126" s="4">
        <v>1</v>
      </c>
      <c r="AP126" s="4">
        <v>1</v>
      </c>
      <c r="AQ126" s="4">
        <v>1</v>
      </c>
      <c r="AR126" s="4" t="s">
        <v>140</v>
      </c>
      <c r="AS126" s="4">
        <v>1</v>
      </c>
      <c r="AT126" s="4" t="s">
        <v>1085</v>
      </c>
    </row>
    <row r="127" spans="1:46" x14ac:dyDescent="0.2">
      <c r="A127" s="4">
        <f t="shared" si="6"/>
        <v>7</v>
      </c>
      <c r="B127" s="4">
        <f t="shared" si="7"/>
        <v>2</v>
      </c>
      <c r="C127" s="13" t="str">
        <f>VLOOKUP(B127,Correspondance!$D$3:$E$14,2,FALSE)</f>
        <v>Février</v>
      </c>
      <c r="D127" s="1" t="s">
        <v>1113</v>
      </c>
      <c r="E127" s="2" t="s">
        <v>40</v>
      </c>
      <c r="F127" s="3" t="s">
        <v>52</v>
      </c>
      <c r="G127" s="4" t="s">
        <v>53</v>
      </c>
      <c r="H127" s="4" t="s">
        <v>54</v>
      </c>
      <c r="I127" s="5" t="s">
        <v>57</v>
      </c>
      <c r="J127" s="6">
        <v>100</v>
      </c>
      <c r="K127" s="4" t="s">
        <v>1130</v>
      </c>
      <c r="L127" s="4" t="s">
        <v>114</v>
      </c>
      <c r="M127" s="4" t="s">
        <v>74</v>
      </c>
      <c r="N127" s="4" t="s">
        <v>1131</v>
      </c>
      <c r="O127" s="4" t="s">
        <v>49</v>
      </c>
      <c r="P127" s="4">
        <v>1</v>
      </c>
      <c r="Q127" s="4">
        <v>1</v>
      </c>
      <c r="R127" s="4">
        <v>1</v>
      </c>
      <c r="S127" s="4">
        <v>1</v>
      </c>
      <c r="T127" s="4">
        <v>1</v>
      </c>
      <c r="U127" s="4">
        <v>1</v>
      </c>
      <c r="V127" s="4">
        <v>1</v>
      </c>
      <c r="W127" s="4">
        <v>1</v>
      </c>
      <c r="X127" s="4">
        <v>1</v>
      </c>
      <c r="Y127" s="4">
        <v>1</v>
      </c>
      <c r="Z127" s="4">
        <v>1</v>
      </c>
      <c r="AA127" s="4">
        <v>1</v>
      </c>
      <c r="AB127" s="4">
        <v>1</v>
      </c>
      <c r="AC127" s="4">
        <v>1</v>
      </c>
      <c r="AD127" s="4" t="s">
        <v>140</v>
      </c>
      <c r="AE127" s="4">
        <v>1</v>
      </c>
      <c r="AF127" s="4">
        <v>1</v>
      </c>
      <c r="AG127" s="4">
        <v>1</v>
      </c>
      <c r="AH127" s="4" t="s">
        <v>140</v>
      </c>
      <c r="AI127" s="4">
        <v>1</v>
      </c>
      <c r="AJ127" s="4">
        <v>1</v>
      </c>
      <c r="AK127" s="4">
        <v>1</v>
      </c>
      <c r="AL127" s="4">
        <v>1</v>
      </c>
      <c r="AM127" s="4">
        <v>1</v>
      </c>
      <c r="AN127" s="4" t="s">
        <v>140</v>
      </c>
      <c r="AO127" s="4">
        <v>1</v>
      </c>
      <c r="AP127" s="4">
        <v>1</v>
      </c>
      <c r="AQ127" s="4">
        <v>1</v>
      </c>
      <c r="AR127" s="4" t="s">
        <v>140</v>
      </c>
      <c r="AS127" s="4">
        <v>1</v>
      </c>
      <c r="AT127" s="4" t="s">
        <v>1085</v>
      </c>
    </row>
    <row r="128" spans="1:46" x14ac:dyDescent="0.2">
      <c r="A128" s="4">
        <f t="shared" si="6"/>
        <v>7</v>
      </c>
      <c r="B128" s="4">
        <f t="shared" si="7"/>
        <v>2</v>
      </c>
      <c r="C128" s="13" t="str">
        <f>VLOOKUP(B128,Correspondance!$D$3:$E$14,2,FALSE)</f>
        <v>Février</v>
      </c>
      <c r="D128" s="1" t="s">
        <v>1113</v>
      </c>
      <c r="E128" s="2" t="s">
        <v>40</v>
      </c>
      <c r="F128" s="3" t="s">
        <v>61</v>
      </c>
      <c r="G128" s="4" t="s">
        <v>342</v>
      </c>
      <c r="H128" s="4" t="s">
        <v>343</v>
      </c>
      <c r="I128" s="5" t="s">
        <v>57</v>
      </c>
      <c r="J128" s="6">
        <v>100</v>
      </c>
      <c r="K128" s="4" t="s">
        <v>1132</v>
      </c>
      <c r="L128" s="4" t="s">
        <v>114</v>
      </c>
      <c r="M128" s="4" t="s">
        <v>74</v>
      </c>
      <c r="N128" s="4" t="s">
        <v>77</v>
      </c>
      <c r="O128" s="4" t="s">
        <v>49</v>
      </c>
      <c r="P128" s="4">
        <v>1</v>
      </c>
      <c r="Q128" s="4">
        <v>1</v>
      </c>
      <c r="R128" s="4">
        <v>1</v>
      </c>
      <c r="S128" s="4">
        <v>1</v>
      </c>
      <c r="T128" s="4">
        <v>1</v>
      </c>
      <c r="U128" s="4">
        <v>1</v>
      </c>
      <c r="V128" s="4">
        <v>1</v>
      </c>
      <c r="W128" s="4">
        <v>1</v>
      </c>
      <c r="X128" s="4">
        <v>1</v>
      </c>
      <c r="Y128" s="4">
        <v>1</v>
      </c>
      <c r="Z128" s="4">
        <v>1</v>
      </c>
      <c r="AA128" s="4">
        <v>1</v>
      </c>
      <c r="AB128" s="4">
        <v>1</v>
      </c>
      <c r="AC128" s="4">
        <v>1</v>
      </c>
      <c r="AD128" s="4" t="s">
        <v>140</v>
      </c>
      <c r="AE128" s="4">
        <v>1</v>
      </c>
      <c r="AF128" s="4">
        <v>1</v>
      </c>
      <c r="AG128" s="4">
        <v>1</v>
      </c>
      <c r="AH128" s="4">
        <v>1</v>
      </c>
      <c r="AI128" s="4">
        <v>1</v>
      </c>
      <c r="AJ128" s="4">
        <v>1</v>
      </c>
      <c r="AK128" s="4">
        <v>1</v>
      </c>
      <c r="AL128" s="4">
        <v>1</v>
      </c>
      <c r="AM128" s="4">
        <v>1</v>
      </c>
      <c r="AN128" s="4" t="s">
        <v>140</v>
      </c>
      <c r="AO128" s="4">
        <v>1</v>
      </c>
      <c r="AP128" s="4">
        <v>1</v>
      </c>
      <c r="AQ128" s="4">
        <v>1</v>
      </c>
      <c r="AR128" s="4" t="s">
        <v>140</v>
      </c>
      <c r="AS128" s="4">
        <v>1</v>
      </c>
      <c r="AT128" s="4" t="s">
        <v>1133</v>
      </c>
    </row>
    <row r="129" spans="1:46" x14ac:dyDescent="0.2">
      <c r="A129" s="4">
        <f t="shared" ref="A129:A160" si="8">WEEKNUM(D129)</f>
        <v>7</v>
      </c>
      <c r="B129" s="4">
        <f t="shared" ref="B129:B160" si="9">MONTH(D129)</f>
        <v>2</v>
      </c>
      <c r="C129" s="13" t="str">
        <f>VLOOKUP(B129,Correspondance!$D$3:$E$14,2,FALSE)</f>
        <v>Février</v>
      </c>
      <c r="D129" s="1" t="s">
        <v>1113</v>
      </c>
      <c r="E129" s="2" t="s">
        <v>40</v>
      </c>
      <c r="F129" s="3" t="s">
        <v>61</v>
      </c>
      <c r="G129" s="4" t="s">
        <v>342</v>
      </c>
      <c r="H129" s="4" t="s">
        <v>343</v>
      </c>
      <c r="I129" s="5" t="s">
        <v>57</v>
      </c>
      <c r="J129" s="6">
        <v>100</v>
      </c>
      <c r="K129" s="4" t="s">
        <v>1134</v>
      </c>
      <c r="L129" s="4" t="s">
        <v>114</v>
      </c>
      <c r="M129" s="4" t="s">
        <v>175</v>
      </c>
      <c r="N129" s="4" t="s">
        <v>782</v>
      </c>
      <c r="O129" s="4" t="s">
        <v>49</v>
      </c>
      <c r="P129" s="4">
        <v>1</v>
      </c>
      <c r="Q129" s="4">
        <v>1</v>
      </c>
      <c r="R129" s="4">
        <v>1</v>
      </c>
      <c r="S129" s="4">
        <v>1</v>
      </c>
      <c r="T129" s="4">
        <v>1</v>
      </c>
      <c r="U129" s="4">
        <v>1</v>
      </c>
      <c r="V129" s="4">
        <v>1</v>
      </c>
      <c r="W129" s="4">
        <v>1</v>
      </c>
      <c r="X129" s="4">
        <v>1</v>
      </c>
      <c r="Y129" s="4">
        <v>1</v>
      </c>
      <c r="Z129" s="4">
        <v>1</v>
      </c>
      <c r="AA129" s="4">
        <v>1</v>
      </c>
      <c r="AB129" s="4">
        <v>1</v>
      </c>
      <c r="AC129" s="4">
        <v>1</v>
      </c>
      <c r="AD129" s="4">
        <v>1</v>
      </c>
      <c r="AE129" s="4">
        <v>1</v>
      </c>
      <c r="AF129" s="4">
        <v>1</v>
      </c>
      <c r="AG129" s="4">
        <v>1</v>
      </c>
      <c r="AH129" s="4">
        <v>1</v>
      </c>
      <c r="AI129" s="4">
        <v>1</v>
      </c>
      <c r="AJ129" s="4">
        <v>1</v>
      </c>
      <c r="AK129" s="4">
        <v>1</v>
      </c>
      <c r="AL129" s="4">
        <v>1</v>
      </c>
      <c r="AM129" s="4">
        <v>1</v>
      </c>
      <c r="AN129" s="4" t="s">
        <v>140</v>
      </c>
      <c r="AO129" s="4">
        <v>1</v>
      </c>
      <c r="AP129" s="4">
        <v>1</v>
      </c>
      <c r="AQ129" s="4">
        <v>1</v>
      </c>
      <c r="AR129" s="4" t="s">
        <v>140</v>
      </c>
      <c r="AS129" s="4">
        <v>1</v>
      </c>
      <c r="AT129" s="4" t="s">
        <v>1133</v>
      </c>
    </row>
    <row r="130" spans="1:46" x14ac:dyDescent="0.2">
      <c r="A130" s="4">
        <f t="shared" si="8"/>
        <v>7</v>
      </c>
      <c r="B130" s="4">
        <f t="shared" si="9"/>
        <v>2</v>
      </c>
      <c r="C130" s="13" t="str">
        <f>VLOOKUP(B130,Correspondance!$D$3:$E$14,2,FALSE)</f>
        <v>Février</v>
      </c>
      <c r="D130" s="1" t="s">
        <v>1113</v>
      </c>
      <c r="E130" s="2" t="s">
        <v>40</v>
      </c>
      <c r="F130" s="3" t="s">
        <v>61</v>
      </c>
      <c r="G130" s="4" t="s">
        <v>342</v>
      </c>
      <c r="H130" s="4" t="s">
        <v>343</v>
      </c>
      <c r="I130" s="5" t="s">
        <v>57</v>
      </c>
      <c r="J130" s="6">
        <v>100</v>
      </c>
      <c r="K130" s="4" t="s">
        <v>1135</v>
      </c>
      <c r="L130" s="4" t="s">
        <v>114</v>
      </c>
      <c r="M130" s="4" t="s">
        <v>175</v>
      </c>
      <c r="N130" s="4" t="s">
        <v>1128</v>
      </c>
      <c r="O130" s="4" t="s">
        <v>49</v>
      </c>
      <c r="P130" s="4">
        <v>1</v>
      </c>
      <c r="Q130" s="4">
        <v>1</v>
      </c>
      <c r="R130" s="4">
        <v>1</v>
      </c>
      <c r="S130" s="4">
        <v>1</v>
      </c>
      <c r="T130" s="4">
        <v>1</v>
      </c>
      <c r="U130" s="4">
        <v>1</v>
      </c>
      <c r="V130" s="4">
        <v>1</v>
      </c>
      <c r="W130" s="4">
        <v>1</v>
      </c>
      <c r="X130" s="4">
        <v>1</v>
      </c>
      <c r="Y130" s="4">
        <v>1</v>
      </c>
      <c r="Z130" s="4">
        <v>1</v>
      </c>
      <c r="AA130" s="4">
        <v>1</v>
      </c>
      <c r="AB130" s="4">
        <v>1</v>
      </c>
      <c r="AC130" s="4">
        <v>1</v>
      </c>
      <c r="AD130" s="4" t="s">
        <v>140</v>
      </c>
      <c r="AE130" s="4">
        <v>1</v>
      </c>
      <c r="AF130" s="4">
        <v>1</v>
      </c>
      <c r="AG130" s="4">
        <v>1</v>
      </c>
      <c r="AH130" s="4">
        <v>1</v>
      </c>
      <c r="AI130" s="4">
        <v>1</v>
      </c>
      <c r="AJ130" s="4">
        <v>1</v>
      </c>
      <c r="AK130" s="4">
        <v>1</v>
      </c>
      <c r="AL130" s="4">
        <v>1</v>
      </c>
      <c r="AM130" s="4">
        <v>1</v>
      </c>
      <c r="AN130" s="4" t="s">
        <v>140</v>
      </c>
      <c r="AO130" s="4">
        <v>1</v>
      </c>
      <c r="AP130" s="4">
        <v>1</v>
      </c>
      <c r="AQ130" s="4">
        <v>1</v>
      </c>
      <c r="AR130" s="4" t="s">
        <v>140</v>
      </c>
      <c r="AS130" s="4">
        <v>1</v>
      </c>
      <c r="AT130" s="4" t="s">
        <v>1133</v>
      </c>
    </row>
    <row r="131" spans="1:46" x14ac:dyDescent="0.2">
      <c r="A131" s="4">
        <f t="shared" si="8"/>
        <v>7</v>
      </c>
      <c r="B131" s="4">
        <f t="shared" si="9"/>
        <v>2</v>
      </c>
      <c r="C131" s="13" t="str">
        <f>VLOOKUP(B131,Correspondance!$D$3:$E$14,2,FALSE)</f>
        <v>Février</v>
      </c>
      <c r="D131" s="1" t="s">
        <v>1085</v>
      </c>
      <c r="E131" s="2" t="s">
        <v>40</v>
      </c>
      <c r="F131" s="3" t="s">
        <v>61</v>
      </c>
      <c r="G131" s="4" t="s">
        <v>96</v>
      </c>
      <c r="H131" s="4" t="s">
        <v>97</v>
      </c>
      <c r="I131" s="5" t="s">
        <v>61</v>
      </c>
      <c r="J131" s="6">
        <v>96.2</v>
      </c>
      <c r="K131" s="4" t="s">
        <v>1136</v>
      </c>
      <c r="L131" s="4" t="s">
        <v>66</v>
      </c>
      <c r="M131" s="4" t="s">
        <v>47</v>
      </c>
      <c r="N131" s="4" t="s">
        <v>996</v>
      </c>
      <c r="O131" s="4" t="s">
        <v>49</v>
      </c>
      <c r="P131" s="4">
        <v>1</v>
      </c>
      <c r="Q131" s="4">
        <v>1</v>
      </c>
      <c r="R131" s="4">
        <v>1</v>
      </c>
      <c r="S131" s="4">
        <v>1</v>
      </c>
      <c r="T131" s="4">
        <v>1</v>
      </c>
      <c r="U131" s="4">
        <v>1</v>
      </c>
      <c r="V131" s="4">
        <v>0</v>
      </c>
      <c r="W131" s="4">
        <v>1</v>
      </c>
      <c r="X131" s="4">
        <v>1</v>
      </c>
      <c r="Y131" s="4">
        <v>1</v>
      </c>
      <c r="Z131" s="4">
        <v>1</v>
      </c>
      <c r="AA131" s="4">
        <v>1</v>
      </c>
      <c r="AB131" s="4">
        <v>1</v>
      </c>
      <c r="AC131" s="4">
        <v>0</v>
      </c>
      <c r="AD131" s="4" t="s">
        <v>140</v>
      </c>
      <c r="AE131" s="4">
        <v>1</v>
      </c>
      <c r="AF131" s="4">
        <v>1</v>
      </c>
      <c r="AG131" s="4">
        <v>1</v>
      </c>
      <c r="AH131" s="4">
        <v>0</v>
      </c>
      <c r="AI131" s="4">
        <v>1</v>
      </c>
      <c r="AJ131" s="4" t="s">
        <v>140</v>
      </c>
      <c r="AK131" s="4">
        <v>1</v>
      </c>
      <c r="AL131" s="4">
        <v>1</v>
      </c>
      <c r="AM131" s="4">
        <v>1</v>
      </c>
      <c r="AN131" s="4" t="s">
        <v>140</v>
      </c>
      <c r="AO131" s="4">
        <v>1</v>
      </c>
      <c r="AP131" s="4">
        <v>1</v>
      </c>
      <c r="AQ131" s="4">
        <v>1</v>
      </c>
      <c r="AR131" s="4" t="s">
        <v>140</v>
      </c>
      <c r="AS131" s="4">
        <v>1</v>
      </c>
      <c r="AT131" s="4" t="s">
        <v>1085</v>
      </c>
    </row>
    <row r="132" spans="1:46" x14ac:dyDescent="0.2">
      <c r="A132" s="4">
        <f t="shared" si="8"/>
        <v>7</v>
      </c>
      <c r="B132" s="4">
        <f t="shared" si="9"/>
        <v>2</v>
      </c>
      <c r="C132" s="13" t="str">
        <f>VLOOKUP(B132,Correspondance!$D$3:$E$14,2,FALSE)</f>
        <v>Février</v>
      </c>
      <c r="D132" s="1" t="s">
        <v>1085</v>
      </c>
      <c r="E132" s="2" t="s">
        <v>40</v>
      </c>
      <c r="F132" s="3" t="s">
        <v>61</v>
      </c>
      <c r="G132" s="4" t="s">
        <v>130</v>
      </c>
      <c r="H132" s="4" t="s">
        <v>131</v>
      </c>
      <c r="I132" s="5" t="s">
        <v>61</v>
      </c>
      <c r="J132" s="6">
        <v>100</v>
      </c>
      <c r="K132" s="4" t="s">
        <v>1137</v>
      </c>
      <c r="L132" s="4" t="s">
        <v>66</v>
      </c>
      <c r="M132" s="4" t="s">
        <v>175</v>
      </c>
      <c r="N132" s="4" t="s">
        <v>1138</v>
      </c>
      <c r="O132" s="4" t="s">
        <v>49</v>
      </c>
      <c r="P132" s="4">
        <v>1</v>
      </c>
      <c r="Q132" s="4" t="s">
        <v>140</v>
      </c>
      <c r="R132" s="4">
        <v>1</v>
      </c>
      <c r="S132" s="4">
        <v>1</v>
      </c>
      <c r="T132" s="4">
        <v>1</v>
      </c>
      <c r="U132" s="4">
        <v>1</v>
      </c>
      <c r="V132" s="4">
        <v>1</v>
      </c>
      <c r="W132" s="4">
        <v>1</v>
      </c>
      <c r="X132" s="4">
        <v>1</v>
      </c>
      <c r="Y132" s="4">
        <v>1</v>
      </c>
      <c r="Z132" s="4">
        <v>1</v>
      </c>
      <c r="AA132" s="4">
        <v>1</v>
      </c>
      <c r="AB132" s="4">
        <v>1</v>
      </c>
      <c r="AC132" s="4">
        <v>1</v>
      </c>
      <c r="AD132" s="4" t="s">
        <v>140</v>
      </c>
      <c r="AE132" s="4">
        <v>1</v>
      </c>
      <c r="AF132" s="4">
        <v>1</v>
      </c>
      <c r="AG132" s="4">
        <v>1</v>
      </c>
      <c r="AH132" s="4">
        <v>1</v>
      </c>
      <c r="AI132" s="4">
        <v>1</v>
      </c>
      <c r="AJ132" s="4" t="s">
        <v>140</v>
      </c>
      <c r="AK132" s="4">
        <v>1</v>
      </c>
      <c r="AL132" s="4">
        <v>1</v>
      </c>
      <c r="AM132" s="4">
        <v>1</v>
      </c>
      <c r="AN132" s="4" t="s">
        <v>140</v>
      </c>
      <c r="AO132" s="4">
        <v>1</v>
      </c>
      <c r="AP132" s="4">
        <v>1</v>
      </c>
      <c r="AQ132" s="4">
        <v>1</v>
      </c>
      <c r="AR132" s="4" t="s">
        <v>140</v>
      </c>
      <c r="AS132" s="4">
        <v>1</v>
      </c>
      <c r="AT132" s="4" t="s">
        <v>1079</v>
      </c>
    </row>
    <row r="133" spans="1:46" x14ac:dyDescent="0.2">
      <c r="A133" s="4">
        <f t="shared" si="8"/>
        <v>7</v>
      </c>
      <c r="B133" s="4">
        <f t="shared" si="9"/>
        <v>2</v>
      </c>
      <c r="C133" s="13" t="str">
        <f>VLOOKUP(B133,Correspondance!$D$3:$E$14,2,FALSE)</f>
        <v>Février</v>
      </c>
      <c r="D133" s="1" t="s">
        <v>1133</v>
      </c>
      <c r="E133" s="2" t="s">
        <v>40</v>
      </c>
      <c r="F133" s="3" t="s">
        <v>41</v>
      </c>
      <c r="G133" s="4" t="s">
        <v>109</v>
      </c>
      <c r="H133" s="4" t="s">
        <v>110</v>
      </c>
      <c r="I133" s="5" t="s">
        <v>57</v>
      </c>
      <c r="J133" s="6">
        <v>85.666666666666671</v>
      </c>
      <c r="K133" s="4" t="s">
        <v>1139</v>
      </c>
      <c r="L133" s="4" t="s">
        <v>46</v>
      </c>
      <c r="M133" s="4" t="s">
        <v>47</v>
      </c>
      <c r="N133" s="4"/>
      <c r="O133" s="4" t="s">
        <v>49</v>
      </c>
      <c r="P133" s="4">
        <v>1</v>
      </c>
      <c r="Q133" s="4">
        <v>1</v>
      </c>
      <c r="R133" s="4">
        <v>1</v>
      </c>
      <c r="S133" s="4">
        <v>1</v>
      </c>
      <c r="T133" s="4">
        <v>0</v>
      </c>
      <c r="U133" s="4">
        <v>0</v>
      </c>
      <c r="V133" s="4">
        <v>1</v>
      </c>
      <c r="W133" s="4">
        <v>1</v>
      </c>
      <c r="X133" s="4">
        <v>1</v>
      </c>
      <c r="Y133" s="4">
        <v>1</v>
      </c>
      <c r="Z133" s="4">
        <v>1</v>
      </c>
      <c r="AA133" s="4">
        <v>1</v>
      </c>
      <c r="AB133" s="4">
        <v>0</v>
      </c>
      <c r="AC133" s="4">
        <v>1</v>
      </c>
      <c r="AD133" s="4" t="s">
        <v>140</v>
      </c>
      <c r="AE133" s="4">
        <v>1</v>
      </c>
      <c r="AF133" s="4">
        <v>1</v>
      </c>
      <c r="AG133" s="4">
        <v>1</v>
      </c>
      <c r="AH133" s="4">
        <v>1</v>
      </c>
      <c r="AI133" s="4">
        <v>1</v>
      </c>
      <c r="AJ133" s="4">
        <v>1</v>
      </c>
      <c r="AK133" s="4">
        <v>0</v>
      </c>
      <c r="AL133" s="4">
        <v>1</v>
      </c>
      <c r="AM133" s="4">
        <v>1</v>
      </c>
      <c r="AN133" s="4" t="s">
        <v>140</v>
      </c>
      <c r="AO133" s="4">
        <v>1</v>
      </c>
      <c r="AP133" s="4">
        <v>1</v>
      </c>
      <c r="AQ133" s="4" t="s">
        <v>140</v>
      </c>
      <c r="AR133" s="4" t="s">
        <v>140</v>
      </c>
      <c r="AS133" s="4">
        <v>1</v>
      </c>
      <c r="AT133" s="4" t="s">
        <v>1109</v>
      </c>
    </row>
    <row r="134" spans="1:46" x14ac:dyDescent="0.2">
      <c r="A134" s="4">
        <f t="shared" si="8"/>
        <v>7</v>
      </c>
      <c r="B134" s="4">
        <f t="shared" si="9"/>
        <v>2</v>
      </c>
      <c r="C134" s="13" t="str">
        <f>VLOOKUP(B134,Correspondance!$D$3:$E$14,2,FALSE)</f>
        <v>Février</v>
      </c>
      <c r="D134" s="1" t="s">
        <v>1133</v>
      </c>
      <c r="E134" s="2" t="s">
        <v>40</v>
      </c>
      <c r="F134" s="3" t="s">
        <v>41</v>
      </c>
      <c r="G134" s="4" t="s">
        <v>109</v>
      </c>
      <c r="H134" s="4" t="s">
        <v>110</v>
      </c>
      <c r="I134" s="5" t="s">
        <v>57</v>
      </c>
      <c r="J134" s="6">
        <v>90.36666666666666</v>
      </c>
      <c r="K134" s="4" t="s">
        <v>1140</v>
      </c>
      <c r="L134" s="4" t="s">
        <v>46</v>
      </c>
      <c r="M134" s="4" t="s">
        <v>47</v>
      </c>
      <c r="N134" s="4" t="s">
        <v>539</v>
      </c>
      <c r="O134" s="4" t="s">
        <v>49</v>
      </c>
      <c r="P134" s="4">
        <v>1</v>
      </c>
      <c r="Q134" s="4">
        <v>1</v>
      </c>
      <c r="R134" s="4">
        <v>1</v>
      </c>
      <c r="S134" s="4">
        <v>1</v>
      </c>
      <c r="T134" s="4">
        <v>0</v>
      </c>
      <c r="U134" s="4">
        <v>1</v>
      </c>
      <c r="V134" s="4">
        <v>1</v>
      </c>
      <c r="W134" s="4">
        <v>1</v>
      </c>
      <c r="X134" s="4">
        <v>1</v>
      </c>
      <c r="Y134" s="4">
        <v>1</v>
      </c>
      <c r="Z134" s="4">
        <v>1</v>
      </c>
      <c r="AA134" s="4">
        <v>1</v>
      </c>
      <c r="AB134" s="4">
        <v>1</v>
      </c>
      <c r="AC134" s="4">
        <v>1</v>
      </c>
      <c r="AD134" s="4" t="s">
        <v>140</v>
      </c>
      <c r="AE134" s="4">
        <v>1</v>
      </c>
      <c r="AF134" s="4">
        <v>1</v>
      </c>
      <c r="AG134" s="4">
        <v>1</v>
      </c>
      <c r="AH134" s="4">
        <v>1</v>
      </c>
      <c r="AI134" s="4">
        <v>1</v>
      </c>
      <c r="AJ134" s="4">
        <v>1</v>
      </c>
      <c r="AK134" s="4">
        <v>1</v>
      </c>
      <c r="AL134" s="4">
        <v>1</v>
      </c>
      <c r="AM134" s="4">
        <v>0</v>
      </c>
      <c r="AN134" s="4" t="s">
        <v>140</v>
      </c>
      <c r="AO134" s="4">
        <v>1</v>
      </c>
      <c r="AP134" s="4">
        <v>1</v>
      </c>
      <c r="AQ134" s="4">
        <v>1</v>
      </c>
      <c r="AR134" s="4" t="s">
        <v>140</v>
      </c>
      <c r="AS134" s="4">
        <v>1</v>
      </c>
      <c r="AT134" s="4" t="s">
        <v>1109</v>
      </c>
    </row>
    <row r="135" spans="1:46" x14ac:dyDescent="0.2">
      <c r="A135" s="4">
        <f t="shared" si="8"/>
        <v>7</v>
      </c>
      <c r="B135" s="4">
        <f t="shared" si="9"/>
        <v>2</v>
      </c>
      <c r="C135" s="13" t="str">
        <f>VLOOKUP(B135,Correspondance!$D$3:$E$14,2,FALSE)</f>
        <v>Février</v>
      </c>
      <c r="D135" s="1" t="s">
        <v>1133</v>
      </c>
      <c r="E135" s="2" t="s">
        <v>40</v>
      </c>
      <c r="F135" s="3" t="s">
        <v>41</v>
      </c>
      <c r="G135" s="4" t="s">
        <v>78</v>
      </c>
      <c r="H135" s="4" t="s">
        <v>79</v>
      </c>
      <c r="I135" s="5" t="s">
        <v>57</v>
      </c>
      <c r="J135" s="6">
        <v>91.166666666666671</v>
      </c>
      <c r="K135" s="4" t="s">
        <v>1141</v>
      </c>
      <c r="L135" s="4" t="s">
        <v>46</v>
      </c>
      <c r="M135" s="4" t="s">
        <v>74</v>
      </c>
      <c r="N135" s="4" t="s">
        <v>1142</v>
      </c>
      <c r="O135" s="4" t="s">
        <v>49</v>
      </c>
      <c r="P135" s="4">
        <v>1</v>
      </c>
      <c r="Q135" s="4">
        <v>1</v>
      </c>
      <c r="R135" s="4">
        <v>1</v>
      </c>
      <c r="S135" s="4">
        <v>1</v>
      </c>
      <c r="T135" s="4">
        <v>0</v>
      </c>
      <c r="U135" s="4">
        <v>0</v>
      </c>
      <c r="V135" s="4">
        <v>1</v>
      </c>
      <c r="W135" s="4">
        <v>1</v>
      </c>
      <c r="X135" s="4">
        <v>1</v>
      </c>
      <c r="Y135" s="4">
        <v>1</v>
      </c>
      <c r="Z135" s="4">
        <v>1</v>
      </c>
      <c r="AA135" s="4">
        <v>1</v>
      </c>
      <c r="AB135" s="4">
        <v>1</v>
      </c>
      <c r="AC135" s="4">
        <v>1</v>
      </c>
      <c r="AD135" s="4" t="s">
        <v>140</v>
      </c>
      <c r="AE135" s="4">
        <v>1</v>
      </c>
      <c r="AF135" s="4">
        <v>1</v>
      </c>
      <c r="AG135" s="4">
        <v>1</v>
      </c>
      <c r="AH135" s="4">
        <v>1</v>
      </c>
      <c r="AI135" s="4">
        <v>1</v>
      </c>
      <c r="AJ135" s="4">
        <v>1</v>
      </c>
      <c r="AK135" s="4">
        <v>1</v>
      </c>
      <c r="AL135" s="4">
        <v>1</v>
      </c>
      <c r="AM135" s="4">
        <v>1</v>
      </c>
      <c r="AN135" s="4" t="s">
        <v>140</v>
      </c>
      <c r="AO135" s="4">
        <v>1</v>
      </c>
      <c r="AP135" s="4">
        <v>1</v>
      </c>
      <c r="AQ135" s="4">
        <v>1</v>
      </c>
      <c r="AR135" s="4" t="s">
        <v>140</v>
      </c>
      <c r="AS135" s="4">
        <v>1</v>
      </c>
      <c r="AT135" s="4" t="s">
        <v>1095</v>
      </c>
    </row>
    <row r="136" spans="1:46" x14ac:dyDescent="0.2">
      <c r="A136" s="4">
        <f t="shared" si="8"/>
        <v>7</v>
      </c>
      <c r="B136" s="4">
        <f t="shared" si="9"/>
        <v>2</v>
      </c>
      <c r="C136" s="13" t="str">
        <f>VLOOKUP(B136,Correspondance!$D$3:$E$14,2,FALSE)</f>
        <v>Février</v>
      </c>
      <c r="D136" s="1" t="s">
        <v>1133</v>
      </c>
      <c r="E136" s="2" t="s">
        <v>40</v>
      </c>
      <c r="F136" s="3" t="s">
        <v>52</v>
      </c>
      <c r="G136" s="4" t="s">
        <v>484</v>
      </c>
      <c r="H136" s="4" t="s">
        <v>485</v>
      </c>
      <c r="I136" s="5" t="s">
        <v>57</v>
      </c>
      <c r="J136" s="6">
        <v>100</v>
      </c>
      <c r="K136" s="4" t="s">
        <v>1143</v>
      </c>
      <c r="L136" s="4" t="s">
        <v>46</v>
      </c>
      <c r="M136" s="4" t="s">
        <v>99</v>
      </c>
      <c r="N136" s="4" t="s">
        <v>695</v>
      </c>
      <c r="O136" s="4" t="s">
        <v>49</v>
      </c>
      <c r="P136" s="4">
        <v>1</v>
      </c>
      <c r="Q136" s="4" t="s">
        <v>140</v>
      </c>
      <c r="R136" s="4">
        <v>1</v>
      </c>
      <c r="S136" s="4">
        <v>1</v>
      </c>
      <c r="T136" s="4">
        <v>1</v>
      </c>
      <c r="U136" s="4">
        <v>1</v>
      </c>
      <c r="V136" s="4">
        <v>1</v>
      </c>
      <c r="W136" s="4">
        <v>1</v>
      </c>
      <c r="X136" s="4">
        <v>1</v>
      </c>
      <c r="Y136" s="4">
        <v>1</v>
      </c>
      <c r="Z136" s="4">
        <v>1</v>
      </c>
      <c r="AA136" s="4">
        <v>1</v>
      </c>
      <c r="AB136" s="4">
        <v>1</v>
      </c>
      <c r="AC136" s="4">
        <v>1</v>
      </c>
      <c r="AD136" s="4" t="s">
        <v>140</v>
      </c>
      <c r="AE136" s="4">
        <v>1</v>
      </c>
      <c r="AF136" s="4">
        <v>1</v>
      </c>
      <c r="AG136" s="4">
        <v>1</v>
      </c>
      <c r="AH136" s="4">
        <v>1</v>
      </c>
      <c r="AI136" s="4">
        <v>1</v>
      </c>
      <c r="AJ136" s="4" t="s">
        <v>140</v>
      </c>
      <c r="AK136" s="4">
        <v>1</v>
      </c>
      <c r="AL136" s="4">
        <v>1</v>
      </c>
      <c r="AM136" s="4">
        <v>1</v>
      </c>
      <c r="AN136" s="4" t="s">
        <v>140</v>
      </c>
      <c r="AO136" s="4">
        <v>1</v>
      </c>
      <c r="AP136" s="4">
        <v>1</v>
      </c>
      <c r="AQ136" s="4">
        <v>1</v>
      </c>
      <c r="AR136" s="4">
        <v>1</v>
      </c>
      <c r="AS136" s="4">
        <v>1</v>
      </c>
      <c r="AT136" s="4" t="s">
        <v>1071</v>
      </c>
    </row>
    <row r="137" spans="1:46" x14ac:dyDescent="0.2">
      <c r="A137" s="4">
        <f t="shared" si="8"/>
        <v>7</v>
      </c>
      <c r="B137" s="4">
        <f t="shared" si="9"/>
        <v>2</v>
      </c>
      <c r="C137" s="13" t="str">
        <f>VLOOKUP(B137,Correspondance!$D$3:$E$14,2,FALSE)</f>
        <v>Février</v>
      </c>
      <c r="D137" s="1" t="s">
        <v>1133</v>
      </c>
      <c r="E137" s="2" t="s">
        <v>40</v>
      </c>
      <c r="F137" s="3" t="s">
        <v>52</v>
      </c>
      <c r="G137" s="4" t="s">
        <v>484</v>
      </c>
      <c r="H137" s="4" t="s">
        <v>485</v>
      </c>
      <c r="I137" s="5" t="s">
        <v>57</v>
      </c>
      <c r="J137" s="6">
        <v>100</v>
      </c>
      <c r="K137" s="4" t="s">
        <v>1144</v>
      </c>
      <c r="L137" s="4" t="s">
        <v>46</v>
      </c>
      <c r="M137" s="4" t="s">
        <v>47</v>
      </c>
      <c r="N137" s="4" t="s">
        <v>1145</v>
      </c>
      <c r="O137" s="4" t="s">
        <v>49</v>
      </c>
      <c r="P137" s="4">
        <v>1</v>
      </c>
      <c r="Q137" s="4">
        <v>1</v>
      </c>
      <c r="R137" s="4">
        <v>1</v>
      </c>
      <c r="S137" s="4">
        <v>1</v>
      </c>
      <c r="T137" s="4">
        <v>1</v>
      </c>
      <c r="U137" s="4">
        <v>1</v>
      </c>
      <c r="V137" s="4">
        <v>1</v>
      </c>
      <c r="W137" s="4">
        <v>1</v>
      </c>
      <c r="X137" s="4">
        <v>1</v>
      </c>
      <c r="Y137" s="4">
        <v>1</v>
      </c>
      <c r="Z137" s="4">
        <v>1</v>
      </c>
      <c r="AA137" s="4">
        <v>1</v>
      </c>
      <c r="AB137" s="4">
        <v>1</v>
      </c>
      <c r="AC137" s="4">
        <v>1</v>
      </c>
      <c r="AD137" s="4">
        <v>1</v>
      </c>
      <c r="AE137" s="4">
        <v>1</v>
      </c>
      <c r="AF137" s="4">
        <v>1</v>
      </c>
      <c r="AG137" s="4">
        <v>1</v>
      </c>
      <c r="AH137" s="4">
        <v>1</v>
      </c>
      <c r="AI137" s="4">
        <v>1</v>
      </c>
      <c r="AJ137" s="4">
        <v>1</v>
      </c>
      <c r="AK137" s="4">
        <v>1</v>
      </c>
      <c r="AL137" s="4">
        <v>1</v>
      </c>
      <c r="AM137" s="4">
        <v>1</v>
      </c>
      <c r="AN137" s="4" t="s">
        <v>140</v>
      </c>
      <c r="AO137" s="4">
        <v>1</v>
      </c>
      <c r="AP137" s="4">
        <v>1</v>
      </c>
      <c r="AQ137" s="4">
        <v>1</v>
      </c>
      <c r="AR137" s="4" t="s">
        <v>140</v>
      </c>
      <c r="AS137" s="4">
        <v>1</v>
      </c>
      <c r="AT137" s="4" t="s">
        <v>1071</v>
      </c>
    </row>
    <row r="138" spans="1:46" x14ac:dyDescent="0.2">
      <c r="A138" s="4">
        <f t="shared" si="8"/>
        <v>7</v>
      </c>
      <c r="B138" s="4">
        <f t="shared" si="9"/>
        <v>2</v>
      </c>
      <c r="C138" s="13" t="str">
        <f>VLOOKUP(B138,Correspondance!$D$3:$E$14,2,FALSE)</f>
        <v>Février</v>
      </c>
      <c r="D138" s="1" t="s">
        <v>1133</v>
      </c>
      <c r="E138" s="2" t="s">
        <v>40</v>
      </c>
      <c r="F138" s="3" t="s">
        <v>52</v>
      </c>
      <c r="G138" s="4" t="s">
        <v>135</v>
      </c>
      <c r="H138" s="4" t="s">
        <v>136</v>
      </c>
      <c r="I138" s="5" t="s">
        <v>57</v>
      </c>
      <c r="J138" s="6">
        <v>88.333333333333329</v>
      </c>
      <c r="K138" s="4" t="s">
        <v>1146</v>
      </c>
      <c r="L138" s="4" t="s">
        <v>46</v>
      </c>
      <c r="M138" s="4" t="s">
        <v>99</v>
      </c>
      <c r="N138" s="4" t="s">
        <v>1128</v>
      </c>
      <c r="O138" s="4" t="s">
        <v>49</v>
      </c>
      <c r="P138" s="4">
        <v>1</v>
      </c>
      <c r="Q138" s="4">
        <v>1</v>
      </c>
      <c r="R138" s="4">
        <v>1</v>
      </c>
      <c r="S138" s="4">
        <v>1</v>
      </c>
      <c r="T138" s="4">
        <v>0</v>
      </c>
      <c r="U138" s="4">
        <v>1</v>
      </c>
      <c r="V138" s="4">
        <v>1</v>
      </c>
      <c r="W138" s="4">
        <v>1</v>
      </c>
      <c r="X138" s="4">
        <v>1</v>
      </c>
      <c r="Y138" s="4">
        <v>1</v>
      </c>
      <c r="Z138" s="4">
        <v>1</v>
      </c>
      <c r="AA138" s="4">
        <v>1</v>
      </c>
      <c r="AB138" s="4">
        <v>1</v>
      </c>
      <c r="AC138" s="4">
        <v>1</v>
      </c>
      <c r="AD138" s="4" t="s">
        <v>140</v>
      </c>
      <c r="AE138" s="4">
        <v>1</v>
      </c>
      <c r="AF138" s="4">
        <v>1</v>
      </c>
      <c r="AG138" s="4">
        <v>1</v>
      </c>
      <c r="AH138" s="4">
        <v>1</v>
      </c>
      <c r="AI138" s="4">
        <v>1</v>
      </c>
      <c r="AJ138" s="4">
        <v>1</v>
      </c>
      <c r="AK138" s="4">
        <v>1</v>
      </c>
      <c r="AL138" s="4">
        <v>1</v>
      </c>
      <c r="AM138" s="4">
        <v>1</v>
      </c>
      <c r="AN138" s="4" t="s">
        <v>140</v>
      </c>
      <c r="AO138" s="4">
        <v>1</v>
      </c>
      <c r="AP138" s="4">
        <v>1</v>
      </c>
      <c r="AQ138" s="4">
        <v>1</v>
      </c>
      <c r="AR138" s="4" t="s">
        <v>140</v>
      </c>
      <c r="AS138" s="4">
        <v>0</v>
      </c>
      <c r="AT138" s="4" t="s">
        <v>1071</v>
      </c>
    </row>
    <row r="139" spans="1:46" x14ac:dyDescent="0.2">
      <c r="A139" s="4">
        <f t="shared" si="8"/>
        <v>7</v>
      </c>
      <c r="B139" s="4">
        <f t="shared" si="9"/>
        <v>2</v>
      </c>
      <c r="C139" s="13" t="str">
        <f>VLOOKUP(B139,Correspondance!$D$3:$E$14,2,FALSE)</f>
        <v>Février</v>
      </c>
      <c r="D139" s="1" t="s">
        <v>1133</v>
      </c>
      <c r="E139" s="2" t="s">
        <v>40</v>
      </c>
      <c r="F139" s="3" t="s">
        <v>52</v>
      </c>
      <c r="G139" s="4" t="s">
        <v>120</v>
      </c>
      <c r="H139" s="4" t="s">
        <v>121</v>
      </c>
      <c r="I139" s="5" t="s">
        <v>57</v>
      </c>
      <c r="J139" s="6">
        <v>96.2</v>
      </c>
      <c r="K139" s="4" t="s">
        <v>1147</v>
      </c>
      <c r="L139" s="4" t="s">
        <v>46</v>
      </c>
      <c r="M139" s="4" t="s">
        <v>47</v>
      </c>
      <c r="N139" s="4" t="s">
        <v>77</v>
      </c>
      <c r="O139" s="4" t="s">
        <v>49</v>
      </c>
      <c r="P139" s="4">
        <v>1</v>
      </c>
      <c r="Q139" s="4">
        <v>1</v>
      </c>
      <c r="R139" s="4">
        <v>1</v>
      </c>
      <c r="S139" s="4">
        <v>1</v>
      </c>
      <c r="T139" s="4">
        <v>1</v>
      </c>
      <c r="U139" s="4">
        <v>1</v>
      </c>
      <c r="V139" s="4">
        <v>1</v>
      </c>
      <c r="W139" s="4">
        <v>1</v>
      </c>
      <c r="X139" s="4">
        <v>1</v>
      </c>
      <c r="Y139" s="4">
        <v>1</v>
      </c>
      <c r="Z139" s="4">
        <v>1</v>
      </c>
      <c r="AA139" s="4">
        <v>1</v>
      </c>
      <c r="AB139" s="4">
        <v>1</v>
      </c>
      <c r="AC139" s="4">
        <v>1</v>
      </c>
      <c r="AD139" s="4" t="s">
        <v>140</v>
      </c>
      <c r="AE139" s="4">
        <v>1</v>
      </c>
      <c r="AF139" s="4">
        <v>1</v>
      </c>
      <c r="AG139" s="4">
        <v>1</v>
      </c>
      <c r="AH139" s="4">
        <v>0</v>
      </c>
      <c r="AI139" s="4">
        <v>1</v>
      </c>
      <c r="AJ139" s="4">
        <v>1</v>
      </c>
      <c r="AK139" s="4" t="s">
        <v>140</v>
      </c>
      <c r="AL139" s="4">
        <v>1</v>
      </c>
      <c r="AM139" s="4">
        <v>1</v>
      </c>
      <c r="AN139" s="4" t="s">
        <v>140</v>
      </c>
      <c r="AO139" s="4">
        <v>1</v>
      </c>
      <c r="AP139" s="4">
        <v>1</v>
      </c>
      <c r="AQ139" s="4">
        <v>1</v>
      </c>
      <c r="AR139" s="4" t="s">
        <v>140</v>
      </c>
      <c r="AS139" s="4">
        <v>1</v>
      </c>
      <c r="AT139" s="4"/>
    </row>
    <row r="140" spans="1:46" x14ac:dyDescent="0.2">
      <c r="A140" s="4">
        <f t="shared" si="8"/>
        <v>7</v>
      </c>
      <c r="B140" s="4">
        <f t="shared" si="9"/>
        <v>2</v>
      </c>
      <c r="C140" s="13" t="str">
        <f>VLOOKUP(B140,Correspondance!$D$3:$E$14,2,FALSE)</f>
        <v>Février</v>
      </c>
      <c r="D140" s="1" t="s">
        <v>1133</v>
      </c>
      <c r="E140" s="2" t="s">
        <v>40</v>
      </c>
      <c r="F140" s="3" t="s">
        <v>61</v>
      </c>
      <c r="G140" s="4" t="s">
        <v>101</v>
      </c>
      <c r="H140" s="4" t="s">
        <v>102</v>
      </c>
      <c r="I140" s="5" t="s">
        <v>57</v>
      </c>
      <c r="J140" s="6">
        <v>90</v>
      </c>
      <c r="K140" s="4" t="s">
        <v>1148</v>
      </c>
      <c r="L140" s="4" t="s">
        <v>46</v>
      </c>
      <c r="M140" s="4" t="s">
        <v>47</v>
      </c>
      <c r="N140" s="4" t="s">
        <v>998</v>
      </c>
      <c r="O140" s="4" t="s">
        <v>49</v>
      </c>
      <c r="P140" s="4">
        <v>1</v>
      </c>
      <c r="Q140" s="4">
        <v>1</v>
      </c>
      <c r="R140" s="4">
        <v>1</v>
      </c>
      <c r="S140" s="4">
        <v>1</v>
      </c>
      <c r="T140" s="4">
        <v>0</v>
      </c>
      <c r="U140" s="4">
        <v>0</v>
      </c>
      <c r="V140" s="4">
        <v>1</v>
      </c>
      <c r="W140" s="4">
        <v>1</v>
      </c>
      <c r="X140" s="4">
        <v>1</v>
      </c>
      <c r="Y140" s="4">
        <v>1</v>
      </c>
      <c r="Z140" s="4">
        <v>1</v>
      </c>
      <c r="AA140" s="4">
        <v>1</v>
      </c>
      <c r="AB140" s="4">
        <v>1</v>
      </c>
      <c r="AC140" s="4">
        <v>1</v>
      </c>
      <c r="AD140" s="4" t="s">
        <v>140</v>
      </c>
      <c r="AE140" s="4">
        <v>1</v>
      </c>
      <c r="AF140" s="4">
        <v>1</v>
      </c>
      <c r="AG140" s="4">
        <v>1</v>
      </c>
      <c r="AH140" s="4">
        <v>1</v>
      </c>
      <c r="AI140" s="4">
        <v>1</v>
      </c>
      <c r="AJ140" s="4" t="s">
        <v>140</v>
      </c>
      <c r="AK140" s="4">
        <v>1</v>
      </c>
      <c r="AL140" s="4">
        <v>1</v>
      </c>
      <c r="AM140" s="4">
        <v>1</v>
      </c>
      <c r="AN140" s="4" t="s">
        <v>140</v>
      </c>
      <c r="AO140" s="4">
        <v>1</v>
      </c>
      <c r="AP140" s="4">
        <v>1</v>
      </c>
      <c r="AQ140" s="4">
        <v>1</v>
      </c>
      <c r="AR140" s="4" t="s">
        <v>140</v>
      </c>
      <c r="AS140" s="4">
        <v>1</v>
      </c>
      <c r="AT140" s="4" t="s">
        <v>1109</v>
      </c>
    </row>
    <row r="141" spans="1:46" x14ac:dyDescent="0.2">
      <c r="A141" s="4">
        <f t="shared" si="8"/>
        <v>7</v>
      </c>
      <c r="B141" s="4">
        <f t="shared" si="9"/>
        <v>2</v>
      </c>
      <c r="C141" s="13" t="str">
        <f>VLOOKUP(B141,Correspondance!$D$3:$E$14,2,FALSE)</f>
        <v>Février</v>
      </c>
      <c r="D141" s="1" t="s">
        <v>1133</v>
      </c>
      <c r="E141" s="2" t="s">
        <v>40</v>
      </c>
      <c r="F141" s="3" t="s">
        <v>61</v>
      </c>
      <c r="G141" s="4" t="s">
        <v>101</v>
      </c>
      <c r="H141" s="4" t="s">
        <v>102</v>
      </c>
      <c r="I141" s="5" t="s">
        <v>57</v>
      </c>
      <c r="J141" s="6">
        <v>96.25</v>
      </c>
      <c r="K141" s="4" t="s">
        <v>1149</v>
      </c>
      <c r="L141" s="4" t="s">
        <v>46</v>
      </c>
      <c r="M141" s="4" t="s">
        <v>47</v>
      </c>
      <c r="N141" s="4" t="s">
        <v>975</v>
      </c>
      <c r="O141" s="4" t="s">
        <v>49</v>
      </c>
      <c r="P141" s="4">
        <v>1</v>
      </c>
      <c r="Q141" s="4">
        <v>1</v>
      </c>
      <c r="R141" s="4">
        <v>1</v>
      </c>
      <c r="S141" s="4">
        <v>1</v>
      </c>
      <c r="T141" s="4">
        <v>1</v>
      </c>
      <c r="U141" s="4">
        <v>1</v>
      </c>
      <c r="V141" s="4">
        <v>1</v>
      </c>
      <c r="W141" s="4">
        <v>1</v>
      </c>
      <c r="X141" s="4">
        <v>1</v>
      </c>
      <c r="Y141" s="4">
        <v>1</v>
      </c>
      <c r="Z141" s="4">
        <v>1</v>
      </c>
      <c r="AA141" s="4">
        <v>1</v>
      </c>
      <c r="AB141" s="4">
        <v>1</v>
      </c>
      <c r="AC141" s="4">
        <v>1</v>
      </c>
      <c r="AD141" s="4" t="s">
        <v>140</v>
      </c>
      <c r="AE141" s="4">
        <v>1</v>
      </c>
      <c r="AF141" s="4">
        <v>1</v>
      </c>
      <c r="AG141" s="4">
        <v>1</v>
      </c>
      <c r="AH141" s="4">
        <v>1</v>
      </c>
      <c r="AI141" s="4">
        <v>1</v>
      </c>
      <c r="AJ141" s="4">
        <v>1</v>
      </c>
      <c r="AK141" s="4">
        <v>1</v>
      </c>
      <c r="AL141" s="4">
        <v>0</v>
      </c>
      <c r="AM141" s="4">
        <v>1</v>
      </c>
      <c r="AN141" s="4" t="s">
        <v>140</v>
      </c>
      <c r="AO141" s="4">
        <v>1</v>
      </c>
      <c r="AP141" s="4">
        <v>1</v>
      </c>
      <c r="AQ141" s="4">
        <v>1</v>
      </c>
      <c r="AR141" s="4" t="s">
        <v>140</v>
      </c>
      <c r="AS141" s="4">
        <v>1</v>
      </c>
      <c r="AT141" s="4" t="s">
        <v>1109</v>
      </c>
    </row>
    <row r="142" spans="1:46" x14ac:dyDescent="0.2">
      <c r="A142" s="4">
        <f t="shared" si="8"/>
        <v>7</v>
      </c>
      <c r="B142" s="4">
        <f t="shared" si="9"/>
        <v>2</v>
      </c>
      <c r="C142" s="13" t="str">
        <f>VLOOKUP(B142,Correspondance!$D$3:$E$14,2,FALSE)</f>
        <v>Février</v>
      </c>
      <c r="D142" s="1" t="s">
        <v>1133</v>
      </c>
      <c r="E142" s="2" t="s">
        <v>40</v>
      </c>
      <c r="F142" s="3" t="s">
        <v>61</v>
      </c>
      <c r="G142" s="4" t="s">
        <v>62</v>
      </c>
      <c r="H142" s="4" t="s">
        <v>63</v>
      </c>
      <c r="I142" s="5" t="s">
        <v>57</v>
      </c>
      <c r="J142" s="6">
        <v>100</v>
      </c>
      <c r="K142" s="4" t="s">
        <v>1150</v>
      </c>
      <c r="L142" s="4" t="s">
        <v>46</v>
      </c>
      <c r="M142" s="4" t="s">
        <v>47</v>
      </c>
      <c r="N142" s="4" t="s">
        <v>786</v>
      </c>
      <c r="O142" s="4" t="s">
        <v>49</v>
      </c>
      <c r="P142" s="4">
        <v>1</v>
      </c>
      <c r="Q142" s="4">
        <v>1</v>
      </c>
      <c r="R142" s="4">
        <v>1</v>
      </c>
      <c r="S142" s="4">
        <v>1</v>
      </c>
      <c r="T142" s="4">
        <v>1</v>
      </c>
      <c r="U142" s="4">
        <v>1</v>
      </c>
      <c r="V142" s="4">
        <v>1</v>
      </c>
      <c r="W142" s="4">
        <v>1</v>
      </c>
      <c r="X142" s="4">
        <v>1</v>
      </c>
      <c r="Y142" s="4">
        <v>1</v>
      </c>
      <c r="Z142" s="4">
        <v>1</v>
      </c>
      <c r="AA142" s="4">
        <v>1</v>
      </c>
      <c r="AB142" s="4">
        <v>1</v>
      </c>
      <c r="AC142" s="4">
        <v>1</v>
      </c>
      <c r="AD142" s="4">
        <v>1</v>
      </c>
      <c r="AE142" s="4">
        <v>1</v>
      </c>
      <c r="AF142" s="4">
        <v>1</v>
      </c>
      <c r="AG142" s="4">
        <v>1</v>
      </c>
      <c r="AH142" s="4">
        <v>1</v>
      </c>
      <c r="AI142" s="4">
        <v>1</v>
      </c>
      <c r="AJ142" s="4">
        <v>1</v>
      </c>
      <c r="AK142" s="4">
        <v>1</v>
      </c>
      <c r="AL142" s="4">
        <v>1</v>
      </c>
      <c r="AM142" s="4">
        <v>1</v>
      </c>
      <c r="AN142" s="4" t="s">
        <v>140</v>
      </c>
      <c r="AO142" s="4">
        <v>1</v>
      </c>
      <c r="AP142" s="4">
        <v>1</v>
      </c>
      <c r="AQ142" s="4">
        <v>1</v>
      </c>
      <c r="AR142" s="4" t="s">
        <v>140</v>
      </c>
      <c r="AS142" s="4">
        <v>1</v>
      </c>
      <c r="AT142" s="4" t="s">
        <v>1109</v>
      </c>
    </row>
    <row r="143" spans="1:46" x14ac:dyDescent="0.2">
      <c r="A143" s="4">
        <f t="shared" si="8"/>
        <v>8</v>
      </c>
      <c r="B143" s="4">
        <f t="shared" si="9"/>
        <v>2</v>
      </c>
      <c r="C143" s="13" t="str">
        <f>VLOOKUP(B143,Correspondance!$D$3:$E$14,2,FALSE)</f>
        <v>Février</v>
      </c>
      <c r="D143" s="1" t="s">
        <v>1151</v>
      </c>
      <c r="E143" s="2" t="s">
        <v>40</v>
      </c>
      <c r="F143" s="3" t="s">
        <v>41</v>
      </c>
      <c r="G143" s="4" t="s">
        <v>109</v>
      </c>
      <c r="H143" s="4" t="s">
        <v>110</v>
      </c>
      <c r="I143" s="5" t="s">
        <v>41</v>
      </c>
      <c r="J143" s="6">
        <v>92.166666666666671</v>
      </c>
      <c r="K143" s="4" t="s">
        <v>1152</v>
      </c>
      <c r="L143" s="4" t="s">
        <v>66</v>
      </c>
      <c r="M143" s="4" t="s">
        <v>47</v>
      </c>
      <c r="N143" s="4" t="s">
        <v>492</v>
      </c>
      <c r="O143" s="4" t="s">
        <v>49</v>
      </c>
      <c r="P143" s="4">
        <v>1</v>
      </c>
      <c r="Q143" s="4">
        <v>1</v>
      </c>
      <c r="R143" s="4">
        <v>1</v>
      </c>
      <c r="S143" s="4">
        <v>1</v>
      </c>
      <c r="T143" s="4">
        <v>0</v>
      </c>
      <c r="U143" s="4">
        <v>1</v>
      </c>
      <c r="V143" s="4">
        <v>1</v>
      </c>
      <c r="W143" s="4">
        <v>1</v>
      </c>
      <c r="X143" s="4">
        <v>1</v>
      </c>
      <c r="Y143" s="4">
        <v>1</v>
      </c>
      <c r="Z143" s="4">
        <v>1</v>
      </c>
      <c r="AA143" s="4">
        <v>1</v>
      </c>
      <c r="AB143" s="4">
        <v>1</v>
      </c>
      <c r="AC143" s="4">
        <v>1</v>
      </c>
      <c r="AD143" s="4" t="s">
        <v>140</v>
      </c>
      <c r="AE143" s="4">
        <v>1</v>
      </c>
      <c r="AF143" s="4">
        <v>1</v>
      </c>
      <c r="AG143" s="4">
        <v>1</v>
      </c>
      <c r="AH143" s="4">
        <v>1</v>
      </c>
      <c r="AI143" s="4">
        <v>1</v>
      </c>
      <c r="AJ143" s="4">
        <v>1</v>
      </c>
      <c r="AK143" s="4">
        <v>1</v>
      </c>
      <c r="AL143" s="4" t="s">
        <v>140</v>
      </c>
      <c r="AM143" s="4">
        <v>1</v>
      </c>
      <c r="AN143" s="4">
        <v>1</v>
      </c>
      <c r="AO143" s="4">
        <v>1</v>
      </c>
      <c r="AP143" s="4">
        <v>1</v>
      </c>
      <c r="AQ143" s="4">
        <v>0</v>
      </c>
      <c r="AR143" s="4" t="s">
        <v>140</v>
      </c>
      <c r="AS143" s="4">
        <v>1</v>
      </c>
      <c r="AT143" s="4" t="s">
        <v>1109</v>
      </c>
    </row>
    <row r="144" spans="1:46" x14ac:dyDescent="0.2">
      <c r="A144" s="4">
        <f t="shared" si="8"/>
        <v>8</v>
      </c>
      <c r="B144" s="4">
        <f t="shared" si="9"/>
        <v>2</v>
      </c>
      <c r="C144" s="13" t="str">
        <f>VLOOKUP(B144,Correspondance!$D$3:$E$14,2,FALSE)</f>
        <v>Février</v>
      </c>
      <c r="D144" s="1" t="s">
        <v>1151</v>
      </c>
      <c r="E144" s="2" t="s">
        <v>40</v>
      </c>
      <c r="F144" s="3" t="s">
        <v>41</v>
      </c>
      <c r="G144" s="4" t="s">
        <v>42</v>
      </c>
      <c r="H144" s="4" t="s">
        <v>43</v>
      </c>
      <c r="I144" s="5" t="s">
        <v>41</v>
      </c>
      <c r="J144" s="6">
        <v>93</v>
      </c>
      <c r="K144" s="4" t="s">
        <v>1153</v>
      </c>
      <c r="L144" s="4" t="s">
        <v>66</v>
      </c>
      <c r="M144" s="4" t="s">
        <v>74</v>
      </c>
      <c r="N144" s="4" t="s">
        <v>490</v>
      </c>
      <c r="O144" s="4" t="s">
        <v>49</v>
      </c>
      <c r="P144" s="4">
        <v>1</v>
      </c>
      <c r="Q144" s="4">
        <v>1</v>
      </c>
      <c r="R144" s="4">
        <v>1</v>
      </c>
      <c r="S144" s="4">
        <v>1</v>
      </c>
      <c r="T144" s="4">
        <v>1</v>
      </c>
      <c r="U144" s="4">
        <v>1</v>
      </c>
      <c r="V144" s="4">
        <v>1</v>
      </c>
      <c r="W144" s="4">
        <v>1</v>
      </c>
      <c r="X144" s="4">
        <v>1</v>
      </c>
      <c r="Y144" s="4">
        <v>1</v>
      </c>
      <c r="Z144" s="4">
        <v>1</v>
      </c>
      <c r="AA144" s="4">
        <v>1</v>
      </c>
      <c r="AB144" s="4">
        <v>1</v>
      </c>
      <c r="AC144" s="4">
        <v>1</v>
      </c>
      <c r="AD144" s="4" t="s">
        <v>140</v>
      </c>
      <c r="AE144" s="4">
        <v>1</v>
      </c>
      <c r="AF144" s="4">
        <v>1</v>
      </c>
      <c r="AG144" s="4">
        <v>1</v>
      </c>
      <c r="AH144" s="4">
        <v>1</v>
      </c>
      <c r="AI144" s="4">
        <v>1</v>
      </c>
      <c r="AJ144" s="4" t="s">
        <v>140</v>
      </c>
      <c r="AK144" s="4">
        <v>1</v>
      </c>
      <c r="AL144" s="4">
        <v>1</v>
      </c>
      <c r="AM144" s="4">
        <v>1</v>
      </c>
      <c r="AN144" s="4">
        <v>1</v>
      </c>
      <c r="AO144" s="4">
        <v>1</v>
      </c>
      <c r="AP144" s="4">
        <v>0</v>
      </c>
      <c r="AQ144" s="4">
        <v>1</v>
      </c>
      <c r="AR144" s="4" t="s">
        <v>140</v>
      </c>
      <c r="AS144" s="4">
        <v>1</v>
      </c>
      <c r="AT144" s="4" t="s">
        <v>1095</v>
      </c>
    </row>
    <row r="145" spans="1:46" x14ac:dyDescent="0.2">
      <c r="A145" s="4">
        <f t="shared" si="8"/>
        <v>8</v>
      </c>
      <c r="B145" s="4">
        <f t="shared" si="9"/>
        <v>2</v>
      </c>
      <c r="C145" s="13" t="str">
        <f>VLOOKUP(B145,Correspondance!$D$3:$E$14,2,FALSE)</f>
        <v>Février</v>
      </c>
      <c r="D145" s="1" t="s">
        <v>1151</v>
      </c>
      <c r="E145" s="2" t="s">
        <v>40</v>
      </c>
      <c r="F145" s="3" t="s">
        <v>41</v>
      </c>
      <c r="G145" s="4" t="s">
        <v>78</v>
      </c>
      <c r="H145" s="4" t="s">
        <v>79</v>
      </c>
      <c r="I145" s="5" t="s">
        <v>41</v>
      </c>
      <c r="J145" s="6">
        <v>95.879120879120876</v>
      </c>
      <c r="K145" s="4" t="s">
        <v>1154</v>
      </c>
      <c r="L145" s="4" t="s">
        <v>66</v>
      </c>
      <c r="M145" s="4" t="s">
        <v>47</v>
      </c>
      <c r="N145" s="4" t="s">
        <v>243</v>
      </c>
      <c r="O145" s="4" t="s">
        <v>49</v>
      </c>
      <c r="P145" s="4">
        <v>1</v>
      </c>
      <c r="Q145" s="4">
        <v>0</v>
      </c>
      <c r="R145" s="4">
        <v>1</v>
      </c>
      <c r="S145" s="4">
        <v>1</v>
      </c>
      <c r="T145" s="4">
        <v>1</v>
      </c>
      <c r="U145" s="4" t="s">
        <v>140</v>
      </c>
      <c r="V145" s="4">
        <v>1</v>
      </c>
      <c r="W145" s="4">
        <v>1</v>
      </c>
      <c r="X145" s="4">
        <v>1</v>
      </c>
      <c r="Y145" s="4">
        <v>1</v>
      </c>
      <c r="Z145" s="4">
        <v>1</v>
      </c>
      <c r="AA145" s="4">
        <v>1</v>
      </c>
      <c r="AB145" s="4" t="s">
        <v>140</v>
      </c>
      <c r="AC145" s="4">
        <v>1</v>
      </c>
      <c r="AD145" s="4" t="s">
        <v>140</v>
      </c>
      <c r="AE145" s="4">
        <v>1</v>
      </c>
      <c r="AF145" s="4">
        <v>1</v>
      </c>
      <c r="AG145" s="4" t="s">
        <v>140</v>
      </c>
      <c r="AH145" s="4">
        <v>1</v>
      </c>
      <c r="AI145" s="4">
        <v>1</v>
      </c>
      <c r="AJ145" s="4">
        <v>1</v>
      </c>
      <c r="AK145" s="4">
        <v>1</v>
      </c>
      <c r="AL145" s="4">
        <v>1</v>
      </c>
      <c r="AM145" s="4">
        <v>1</v>
      </c>
      <c r="AN145" s="4" t="s">
        <v>140</v>
      </c>
      <c r="AO145" s="4">
        <v>1</v>
      </c>
      <c r="AP145" s="4" t="s">
        <v>140</v>
      </c>
      <c r="AQ145" s="4">
        <v>1</v>
      </c>
      <c r="AR145" s="4" t="s">
        <v>140</v>
      </c>
      <c r="AS145" s="4">
        <v>1</v>
      </c>
      <c r="AT145" s="4" t="s">
        <v>1095</v>
      </c>
    </row>
    <row r="146" spans="1:46" x14ac:dyDescent="0.2">
      <c r="A146" s="4">
        <f t="shared" si="8"/>
        <v>8</v>
      </c>
      <c r="B146" s="4">
        <f t="shared" si="9"/>
        <v>2</v>
      </c>
      <c r="C146" s="13" t="str">
        <f>VLOOKUP(B146,Correspondance!$D$3:$E$14,2,FALSE)</f>
        <v>Février</v>
      </c>
      <c r="D146" s="1" t="s">
        <v>1151</v>
      </c>
      <c r="E146" s="2" t="s">
        <v>40</v>
      </c>
      <c r="F146" s="3" t="s">
        <v>41</v>
      </c>
      <c r="G146" s="4" t="s">
        <v>82</v>
      </c>
      <c r="H146" s="4" t="s">
        <v>83</v>
      </c>
      <c r="I146" s="5" t="s">
        <v>41</v>
      </c>
      <c r="J146" s="6">
        <v>94</v>
      </c>
      <c r="K146" s="4" t="s">
        <v>1155</v>
      </c>
      <c r="L146" s="4" t="s">
        <v>66</v>
      </c>
      <c r="M146" s="4" t="s">
        <v>47</v>
      </c>
      <c r="N146" s="4" t="s">
        <v>490</v>
      </c>
      <c r="O146" s="4" t="s">
        <v>49</v>
      </c>
      <c r="P146" s="4">
        <v>1</v>
      </c>
      <c r="Q146" s="4">
        <v>0</v>
      </c>
      <c r="R146" s="4">
        <v>1</v>
      </c>
      <c r="S146" s="4">
        <v>1</v>
      </c>
      <c r="T146" s="4">
        <v>1</v>
      </c>
      <c r="U146" s="4">
        <v>0</v>
      </c>
      <c r="V146" s="4">
        <v>1</v>
      </c>
      <c r="W146" s="4">
        <v>1</v>
      </c>
      <c r="X146" s="4">
        <v>1</v>
      </c>
      <c r="Y146" s="4">
        <v>1</v>
      </c>
      <c r="Z146" s="4">
        <v>1</v>
      </c>
      <c r="AA146" s="4">
        <v>1</v>
      </c>
      <c r="AB146" s="4">
        <v>1</v>
      </c>
      <c r="AC146" s="4">
        <v>1</v>
      </c>
      <c r="AD146" s="4" t="s">
        <v>140</v>
      </c>
      <c r="AE146" s="4">
        <v>1</v>
      </c>
      <c r="AF146" s="4">
        <v>1</v>
      </c>
      <c r="AG146" s="4">
        <v>1</v>
      </c>
      <c r="AH146" s="4">
        <v>1</v>
      </c>
      <c r="AI146" s="4">
        <v>1</v>
      </c>
      <c r="AJ146" s="4" t="s">
        <v>140</v>
      </c>
      <c r="AK146" s="4">
        <v>1</v>
      </c>
      <c r="AL146" s="4">
        <v>1</v>
      </c>
      <c r="AM146" s="4">
        <v>1</v>
      </c>
      <c r="AN146" s="4">
        <v>1</v>
      </c>
      <c r="AO146" s="4">
        <v>1</v>
      </c>
      <c r="AP146" s="4">
        <v>1</v>
      </c>
      <c r="AQ146" s="4">
        <v>1</v>
      </c>
      <c r="AR146" s="4" t="s">
        <v>140</v>
      </c>
      <c r="AS146" s="4">
        <v>1</v>
      </c>
      <c r="AT146" s="4" t="s">
        <v>1095</v>
      </c>
    </row>
    <row r="147" spans="1:46" x14ac:dyDescent="0.2">
      <c r="A147" s="4">
        <f t="shared" si="8"/>
        <v>8</v>
      </c>
      <c r="B147" s="4">
        <f t="shared" si="9"/>
        <v>2</v>
      </c>
      <c r="C147" s="13" t="str">
        <f>VLOOKUP(B147,Correspondance!$D$3:$E$14,2,FALSE)</f>
        <v>Février</v>
      </c>
      <c r="D147" s="1" t="s">
        <v>1151</v>
      </c>
      <c r="E147" s="2" t="s">
        <v>40</v>
      </c>
      <c r="F147" s="3" t="s">
        <v>41</v>
      </c>
      <c r="G147" s="4" t="s">
        <v>82</v>
      </c>
      <c r="H147" s="4" t="s">
        <v>83</v>
      </c>
      <c r="I147" s="5" t="s">
        <v>41</v>
      </c>
      <c r="J147" s="6">
        <v>94.25</v>
      </c>
      <c r="K147" s="4" t="s">
        <v>1156</v>
      </c>
      <c r="L147" s="4" t="s">
        <v>66</v>
      </c>
      <c r="M147" s="4" t="s">
        <v>74</v>
      </c>
      <c r="N147" s="4" t="s">
        <v>112</v>
      </c>
      <c r="O147" s="4" t="s">
        <v>49</v>
      </c>
      <c r="P147" s="4">
        <v>1</v>
      </c>
      <c r="Q147" s="4">
        <v>0</v>
      </c>
      <c r="R147" s="4">
        <v>1</v>
      </c>
      <c r="S147" s="4">
        <v>1</v>
      </c>
      <c r="T147" s="4">
        <v>1</v>
      </c>
      <c r="U147" s="4">
        <v>1</v>
      </c>
      <c r="V147" s="4">
        <v>1</v>
      </c>
      <c r="W147" s="4">
        <v>1</v>
      </c>
      <c r="X147" s="4">
        <v>1</v>
      </c>
      <c r="Y147" s="4">
        <v>1</v>
      </c>
      <c r="Z147" s="4">
        <v>1</v>
      </c>
      <c r="AA147" s="4">
        <v>1</v>
      </c>
      <c r="AB147" s="4">
        <v>1</v>
      </c>
      <c r="AC147" s="4">
        <v>1</v>
      </c>
      <c r="AD147" s="4" t="s">
        <v>140</v>
      </c>
      <c r="AE147" s="4">
        <v>1</v>
      </c>
      <c r="AF147" s="4">
        <v>1</v>
      </c>
      <c r="AG147" s="4">
        <v>1</v>
      </c>
      <c r="AH147" s="4">
        <v>1</v>
      </c>
      <c r="AI147" s="4">
        <v>1</v>
      </c>
      <c r="AJ147" s="4" t="s">
        <v>140</v>
      </c>
      <c r="AK147" s="4">
        <v>0</v>
      </c>
      <c r="AL147" s="4">
        <v>1</v>
      </c>
      <c r="AM147" s="4">
        <v>1</v>
      </c>
      <c r="AN147" s="4" t="s">
        <v>140</v>
      </c>
      <c r="AO147" s="4">
        <v>1</v>
      </c>
      <c r="AP147" s="4">
        <v>1</v>
      </c>
      <c r="AQ147" s="4">
        <v>1</v>
      </c>
      <c r="AR147" s="4" t="s">
        <v>140</v>
      </c>
      <c r="AS147" s="4">
        <v>1</v>
      </c>
      <c r="AT147" s="4" t="s">
        <v>1095</v>
      </c>
    </row>
    <row r="148" spans="1:46" x14ac:dyDescent="0.2">
      <c r="A148" s="4">
        <f t="shared" si="8"/>
        <v>8</v>
      </c>
      <c r="B148" s="4">
        <f t="shared" si="9"/>
        <v>2</v>
      </c>
      <c r="C148" s="13" t="str">
        <f>VLOOKUP(B148,Correspondance!$D$3:$E$14,2,FALSE)</f>
        <v>Février</v>
      </c>
      <c r="D148" s="1" t="s">
        <v>1151</v>
      </c>
      <c r="E148" s="2" t="s">
        <v>40</v>
      </c>
      <c r="F148" s="3" t="s">
        <v>52</v>
      </c>
      <c r="G148" s="4" t="s">
        <v>484</v>
      </c>
      <c r="H148" s="4" t="s">
        <v>485</v>
      </c>
      <c r="I148" s="5" t="s">
        <v>57</v>
      </c>
      <c r="J148" s="6">
        <v>100</v>
      </c>
      <c r="K148" s="4" t="s">
        <v>1157</v>
      </c>
      <c r="L148" s="4" t="s">
        <v>46</v>
      </c>
      <c r="M148" s="4" t="s">
        <v>47</v>
      </c>
      <c r="N148" s="4" t="s">
        <v>1158</v>
      </c>
      <c r="O148" s="4" t="s">
        <v>49</v>
      </c>
      <c r="P148" s="4">
        <v>1</v>
      </c>
      <c r="Q148" s="4">
        <v>1</v>
      </c>
      <c r="R148" s="4">
        <v>1</v>
      </c>
      <c r="S148" s="4">
        <v>1</v>
      </c>
      <c r="T148" s="4">
        <v>1</v>
      </c>
      <c r="U148" s="4">
        <v>1</v>
      </c>
      <c r="V148" s="4">
        <v>1</v>
      </c>
      <c r="W148" s="4">
        <v>1</v>
      </c>
      <c r="X148" s="4">
        <v>1</v>
      </c>
      <c r="Y148" s="4">
        <v>1</v>
      </c>
      <c r="Z148" s="4">
        <v>1</v>
      </c>
      <c r="AA148" s="4">
        <v>1</v>
      </c>
      <c r="AB148" s="4">
        <v>1</v>
      </c>
      <c r="AC148" s="4">
        <v>1</v>
      </c>
      <c r="AD148" s="4" t="s">
        <v>140</v>
      </c>
      <c r="AE148" s="4">
        <v>1</v>
      </c>
      <c r="AF148" s="4">
        <v>1</v>
      </c>
      <c r="AG148" s="4">
        <v>1</v>
      </c>
      <c r="AH148" s="4">
        <v>1</v>
      </c>
      <c r="AI148" s="4">
        <v>1</v>
      </c>
      <c r="AJ148" s="4" t="s">
        <v>140</v>
      </c>
      <c r="AK148" s="4">
        <v>1</v>
      </c>
      <c r="AL148" s="4">
        <v>1</v>
      </c>
      <c r="AM148" s="4">
        <v>1</v>
      </c>
      <c r="AN148" s="4" t="s">
        <v>140</v>
      </c>
      <c r="AO148" s="4">
        <v>1</v>
      </c>
      <c r="AP148" s="4">
        <v>1</v>
      </c>
      <c r="AQ148" s="4">
        <v>1</v>
      </c>
      <c r="AR148" s="4" t="s">
        <v>140</v>
      </c>
      <c r="AS148" s="4">
        <v>1</v>
      </c>
      <c r="AT148" s="4" t="s">
        <v>1071</v>
      </c>
    </row>
    <row r="149" spans="1:46" x14ac:dyDescent="0.2">
      <c r="A149" s="4">
        <f t="shared" si="8"/>
        <v>8</v>
      </c>
      <c r="B149" s="4">
        <f t="shared" si="9"/>
        <v>2</v>
      </c>
      <c r="C149" s="13" t="str">
        <f>VLOOKUP(B149,Correspondance!$D$3:$E$14,2,FALSE)</f>
        <v>Février</v>
      </c>
      <c r="D149" s="1" t="s">
        <v>1151</v>
      </c>
      <c r="E149" s="2" t="s">
        <v>40</v>
      </c>
      <c r="F149" s="3" t="s">
        <v>61</v>
      </c>
      <c r="G149" s="4" t="s">
        <v>96</v>
      </c>
      <c r="H149" s="4" t="s">
        <v>97</v>
      </c>
      <c r="I149" s="5" t="s">
        <v>57</v>
      </c>
      <c r="J149" s="6">
        <v>100</v>
      </c>
      <c r="K149" s="4" t="s">
        <v>1159</v>
      </c>
      <c r="L149" s="4" t="s">
        <v>46</v>
      </c>
      <c r="M149" s="4" t="s">
        <v>47</v>
      </c>
      <c r="N149" s="4" t="s">
        <v>507</v>
      </c>
      <c r="O149" s="4" t="s">
        <v>49</v>
      </c>
      <c r="P149" s="4">
        <v>1</v>
      </c>
      <c r="Q149" s="4">
        <v>1</v>
      </c>
      <c r="R149" s="4">
        <v>1</v>
      </c>
      <c r="S149" s="4">
        <v>1</v>
      </c>
      <c r="T149" s="4">
        <v>1</v>
      </c>
      <c r="U149" s="4">
        <v>1</v>
      </c>
      <c r="V149" s="4">
        <v>1</v>
      </c>
      <c r="W149" s="4">
        <v>1</v>
      </c>
      <c r="X149" s="4">
        <v>1</v>
      </c>
      <c r="Y149" s="4">
        <v>1</v>
      </c>
      <c r="Z149" s="4">
        <v>1</v>
      </c>
      <c r="AA149" s="4">
        <v>1</v>
      </c>
      <c r="AB149" s="4">
        <v>1</v>
      </c>
      <c r="AC149" s="4">
        <v>1</v>
      </c>
      <c r="AD149" s="4" t="s">
        <v>140</v>
      </c>
      <c r="AE149" s="4">
        <v>1</v>
      </c>
      <c r="AF149" s="4">
        <v>1</v>
      </c>
      <c r="AG149" s="4">
        <v>1</v>
      </c>
      <c r="AH149" s="4">
        <v>1</v>
      </c>
      <c r="AI149" s="4">
        <v>1</v>
      </c>
      <c r="AJ149" s="4" t="s">
        <v>140</v>
      </c>
      <c r="AK149" s="4">
        <v>1</v>
      </c>
      <c r="AL149" s="4">
        <v>1</v>
      </c>
      <c r="AM149" s="4">
        <v>1</v>
      </c>
      <c r="AN149" s="4" t="s">
        <v>140</v>
      </c>
      <c r="AO149" s="4">
        <v>1</v>
      </c>
      <c r="AP149" s="4">
        <v>1</v>
      </c>
      <c r="AQ149" s="4">
        <v>1</v>
      </c>
      <c r="AR149" s="4" t="s">
        <v>140</v>
      </c>
      <c r="AS149" s="4">
        <v>1</v>
      </c>
      <c r="AT149" s="4" t="s">
        <v>1079</v>
      </c>
    </row>
    <row r="150" spans="1:46" x14ac:dyDescent="0.2">
      <c r="A150" s="4">
        <f t="shared" si="8"/>
        <v>8</v>
      </c>
      <c r="B150" s="4">
        <f t="shared" si="9"/>
        <v>2</v>
      </c>
      <c r="C150" s="13" t="str">
        <f>VLOOKUP(B150,Correspondance!$D$3:$E$14,2,FALSE)</f>
        <v>Février</v>
      </c>
      <c r="D150" s="1" t="s">
        <v>1151</v>
      </c>
      <c r="E150" s="2" t="s">
        <v>40</v>
      </c>
      <c r="F150" s="3" t="s">
        <v>61</v>
      </c>
      <c r="G150" s="4" t="s">
        <v>130</v>
      </c>
      <c r="H150" s="4" t="s">
        <v>131</v>
      </c>
      <c r="I150" s="5" t="s">
        <v>57</v>
      </c>
      <c r="J150" s="6">
        <v>100</v>
      </c>
      <c r="K150" s="4" t="s">
        <v>1160</v>
      </c>
      <c r="L150" s="4" t="s">
        <v>46</v>
      </c>
      <c r="M150" s="4" t="s">
        <v>47</v>
      </c>
      <c r="N150" s="4" t="s">
        <v>998</v>
      </c>
      <c r="O150" s="4" t="s">
        <v>49</v>
      </c>
      <c r="P150" s="4">
        <v>1</v>
      </c>
      <c r="Q150" s="4" t="s">
        <v>140</v>
      </c>
      <c r="R150" s="4">
        <v>1</v>
      </c>
      <c r="S150" s="4">
        <v>1</v>
      </c>
      <c r="T150" s="4">
        <v>1</v>
      </c>
      <c r="U150" s="4">
        <v>1</v>
      </c>
      <c r="V150" s="4">
        <v>1</v>
      </c>
      <c r="W150" s="4">
        <v>1</v>
      </c>
      <c r="X150" s="4">
        <v>1</v>
      </c>
      <c r="Y150" s="4">
        <v>1</v>
      </c>
      <c r="Z150" s="4">
        <v>1</v>
      </c>
      <c r="AA150" s="4">
        <v>1</v>
      </c>
      <c r="AB150" s="4">
        <v>1</v>
      </c>
      <c r="AC150" s="4">
        <v>1</v>
      </c>
      <c r="AD150" s="4" t="s">
        <v>140</v>
      </c>
      <c r="AE150" s="4">
        <v>1</v>
      </c>
      <c r="AF150" s="4">
        <v>1</v>
      </c>
      <c r="AG150" s="4">
        <v>1</v>
      </c>
      <c r="AH150" s="4">
        <v>1</v>
      </c>
      <c r="AI150" s="4">
        <v>1</v>
      </c>
      <c r="AJ150" s="4" t="s">
        <v>140</v>
      </c>
      <c r="AK150" s="4">
        <v>1</v>
      </c>
      <c r="AL150" s="4">
        <v>1</v>
      </c>
      <c r="AM150" s="4">
        <v>1</v>
      </c>
      <c r="AN150" s="4" t="s">
        <v>140</v>
      </c>
      <c r="AO150" s="4">
        <v>1</v>
      </c>
      <c r="AP150" s="4">
        <v>1</v>
      </c>
      <c r="AQ150" s="4">
        <v>1</v>
      </c>
      <c r="AR150" s="4" t="s">
        <v>140</v>
      </c>
      <c r="AS150" s="4">
        <v>1</v>
      </c>
      <c r="AT150" s="4" t="s">
        <v>1079</v>
      </c>
    </row>
    <row r="151" spans="1:46" x14ac:dyDescent="0.2">
      <c r="A151" s="4">
        <f t="shared" si="8"/>
        <v>8</v>
      </c>
      <c r="B151" s="4">
        <f t="shared" si="9"/>
        <v>2</v>
      </c>
      <c r="C151" s="13" t="str">
        <f>VLOOKUP(B151,Correspondance!$D$3:$E$14,2,FALSE)</f>
        <v>Février</v>
      </c>
      <c r="D151" s="1" t="s">
        <v>1151</v>
      </c>
      <c r="E151" s="2" t="s">
        <v>40</v>
      </c>
      <c r="F151" s="3" t="s">
        <v>61</v>
      </c>
      <c r="G151" s="4" t="s">
        <v>62</v>
      </c>
      <c r="H151" s="4" t="s">
        <v>63</v>
      </c>
      <c r="I151" s="5" t="s">
        <v>57</v>
      </c>
      <c r="J151" s="6">
        <v>83.666666666666671</v>
      </c>
      <c r="K151" s="4" t="s">
        <v>1161</v>
      </c>
      <c r="L151" s="4" t="s">
        <v>46</v>
      </c>
      <c r="M151" s="4" t="s">
        <v>47</v>
      </c>
      <c r="N151" s="4" t="s">
        <v>1162</v>
      </c>
      <c r="O151" s="4" t="s">
        <v>49</v>
      </c>
      <c r="P151" s="4">
        <v>1</v>
      </c>
      <c r="Q151" s="4">
        <v>0</v>
      </c>
      <c r="R151" s="4">
        <v>1</v>
      </c>
      <c r="S151" s="4">
        <v>1</v>
      </c>
      <c r="T151" s="4">
        <v>1</v>
      </c>
      <c r="U151" s="4">
        <v>0</v>
      </c>
      <c r="V151" s="4">
        <v>1</v>
      </c>
      <c r="W151" s="4">
        <v>1</v>
      </c>
      <c r="X151" s="4">
        <v>1</v>
      </c>
      <c r="Y151" s="4">
        <v>1</v>
      </c>
      <c r="Z151" s="4">
        <v>1</v>
      </c>
      <c r="AA151" s="4">
        <v>0</v>
      </c>
      <c r="AB151" s="4">
        <v>1</v>
      </c>
      <c r="AC151" s="4">
        <v>1</v>
      </c>
      <c r="AD151" s="4" t="s">
        <v>140</v>
      </c>
      <c r="AE151" s="4">
        <v>1</v>
      </c>
      <c r="AF151" s="4">
        <v>1</v>
      </c>
      <c r="AG151" s="4">
        <v>1</v>
      </c>
      <c r="AH151" s="4">
        <v>1</v>
      </c>
      <c r="AI151" s="4">
        <v>1</v>
      </c>
      <c r="AJ151" s="4">
        <v>1</v>
      </c>
      <c r="AK151" s="4">
        <v>1</v>
      </c>
      <c r="AL151" s="4">
        <v>0</v>
      </c>
      <c r="AM151" s="4">
        <v>1</v>
      </c>
      <c r="AN151" s="4" t="s">
        <v>140</v>
      </c>
      <c r="AO151" s="4">
        <v>1</v>
      </c>
      <c r="AP151" s="4">
        <v>1</v>
      </c>
      <c r="AQ151" s="4">
        <v>1</v>
      </c>
      <c r="AR151" s="4" t="s">
        <v>140</v>
      </c>
      <c r="AS151" s="4">
        <v>1</v>
      </c>
      <c r="AT151" s="4" t="s">
        <v>1109</v>
      </c>
    </row>
    <row r="152" spans="1:46" x14ac:dyDescent="0.2">
      <c r="A152" s="4">
        <f t="shared" si="8"/>
        <v>8</v>
      </c>
      <c r="B152" s="4">
        <f t="shared" si="9"/>
        <v>2</v>
      </c>
      <c r="C152" s="13" t="str">
        <f>VLOOKUP(B152,Correspondance!$D$3:$E$14,2,FALSE)</f>
        <v>Février</v>
      </c>
      <c r="D152" s="1" t="s">
        <v>1071</v>
      </c>
      <c r="E152" s="2" t="s">
        <v>40</v>
      </c>
      <c r="F152" s="3" t="s">
        <v>41</v>
      </c>
      <c r="G152" s="4" t="s">
        <v>89</v>
      </c>
      <c r="H152" s="4" t="s">
        <v>90</v>
      </c>
      <c r="I152" s="5" t="s">
        <v>41</v>
      </c>
      <c r="J152" s="6">
        <v>88.333333333333329</v>
      </c>
      <c r="K152" s="4" t="s">
        <v>1163</v>
      </c>
      <c r="L152" s="4" t="s">
        <v>46</v>
      </c>
      <c r="M152" s="4" t="s">
        <v>47</v>
      </c>
      <c r="N152" s="4" t="s">
        <v>577</v>
      </c>
      <c r="O152" s="4" t="s">
        <v>49</v>
      </c>
      <c r="P152" s="4">
        <v>1</v>
      </c>
      <c r="Q152" s="4" t="s">
        <v>140</v>
      </c>
      <c r="R152" s="4">
        <v>1</v>
      </c>
      <c r="S152" s="4">
        <v>1</v>
      </c>
      <c r="T152" s="4">
        <v>0</v>
      </c>
      <c r="U152" s="4">
        <v>1</v>
      </c>
      <c r="V152" s="4">
        <v>1</v>
      </c>
      <c r="W152" s="4">
        <v>1</v>
      </c>
      <c r="X152" s="4">
        <v>1</v>
      </c>
      <c r="Y152" s="4">
        <v>1</v>
      </c>
      <c r="Z152" s="4">
        <v>1</v>
      </c>
      <c r="AA152" s="4">
        <v>1</v>
      </c>
      <c r="AB152" s="4">
        <v>1</v>
      </c>
      <c r="AC152" s="4">
        <v>1</v>
      </c>
      <c r="AD152" s="4" t="s">
        <v>140</v>
      </c>
      <c r="AE152" s="4">
        <v>1</v>
      </c>
      <c r="AF152" s="4">
        <v>0</v>
      </c>
      <c r="AG152" s="4">
        <v>1</v>
      </c>
      <c r="AH152" s="4">
        <v>1</v>
      </c>
      <c r="AI152" s="4">
        <v>1</v>
      </c>
      <c r="AJ152" s="4">
        <v>1</v>
      </c>
      <c r="AK152" s="4">
        <v>1</v>
      </c>
      <c r="AL152" s="4" t="s">
        <v>140</v>
      </c>
      <c r="AM152" s="4">
        <v>1</v>
      </c>
      <c r="AN152" s="4" t="s">
        <v>140</v>
      </c>
      <c r="AO152" s="4">
        <v>1</v>
      </c>
      <c r="AP152" s="4">
        <v>1</v>
      </c>
      <c r="AQ152" s="4">
        <v>1</v>
      </c>
      <c r="AR152" s="4" t="s">
        <v>140</v>
      </c>
      <c r="AS152" s="4">
        <v>1</v>
      </c>
      <c r="AT152" s="4" t="s">
        <v>792</v>
      </c>
    </row>
    <row r="153" spans="1:46" x14ac:dyDescent="0.2">
      <c r="A153" s="4">
        <f t="shared" si="8"/>
        <v>8</v>
      </c>
      <c r="B153" s="4">
        <f t="shared" si="9"/>
        <v>2</v>
      </c>
      <c r="C153" s="13" t="str">
        <f>VLOOKUP(B153,Correspondance!$D$3:$E$14,2,FALSE)</f>
        <v>Février</v>
      </c>
      <c r="D153" s="1" t="s">
        <v>1071</v>
      </c>
      <c r="E153" s="2" t="s">
        <v>40</v>
      </c>
      <c r="F153" s="3" t="s">
        <v>41</v>
      </c>
      <c r="G153" s="4" t="s">
        <v>89</v>
      </c>
      <c r="H153" s="4" t="s">
        <v>90</v>
      </c>
      <c r="I153" s="5" t="s">
        <v>57</v>
      </c>
      <c r="J153" s="6">
        <v>100</v>
      </c>
      <c r="K153" s="4" t="s">
        <v>1164</v>
      </c>
      <c r="L153" s="4" t="s">
        <v>46</v>
      </c>
      <c r="M153" s="4" t="s">
        <v>47</v>
      </c>
      <c r="N153" s="4" t="s">
        <v>503</v>
      </c>
      <c r="O153" s="4" t="s">
        <v>49</v>
      </c>
      <c r="P153" s="4">
        <v>1</v>
      </c>
      <c r="Q153" s="4">
        <v>1</v>
      </c>
      <c r="R153" s="4">
        <v>1</v>
      </c>
      <c r="S153" s="4">
        <v>1</v>
      </c>
      <c r="T153" s="4">
        <v>1</v>
      </c>
      <c r="U153" s="4">
        <v>1</v>
      </c>
      <c r="V153" s="4">
        <v>1</v>
      </c>
      <c r="W153" s="4">
        <v>1</v>
      </c>
      <c r="X153" s="4">
        <v>1</v>
      </c>
      <c r="Y153" s="4">
        <v>1</v>
      </c>
      <c r="Z153" s="4">
        <v>1</v>
      </c>
      <c r="AA153" s="4">
        <v>1</v>
      </c>
      <c r="AB153" s="4">
        <v>1</v>
      </c>
      <c r="AC153" s="4">
        <v>1</v>
      </c>
      <c r="AD153" s="4">
        <v>1</v>
      </c>
      <c r="AE153" s="4">
        <v>1</v>
      </c>
      <c r="AF153" s="4">
        <v>1</v>
      </c>
      <c r="AG153" s="4">
        <v>1</v>
      </c>
      <c r="AH153" s="4">
        <v>1</v>
      </c>
      <c r="AI153" s="4">
        <v>1</v>
      </c>
      <c r="AJ153" s="4">
        <v>1</v>
      </c>
      <c r="AK153" s="4">
        <v>1</v>
      </c>
      <c r="AL153" s="4">
        <v>1</v>
      </c>
      <c r="AM153" s="4">
        <v>1</v>
      </c>
      <c r="AN153" s="4" t="s">
        <v>140</v>
      </c>
      <c r="AO153" s="4">
        <v>1</v>
      </c>
      <c r="AP153" s="4">
        <v>1</v>
      </c>
      <c r="AQ153" s="4">
        <v>1</v>
      </c>
      <c r="AR153" s="4">
        <v>1</v>
      </c>
      <c r="AS153" s="4">
        <v>1</v>
      </c>
      <c r="AT153" s="4" t="s">
        <v>792</v>
      </c>
    </row>
    <row r="154" spans="1:46" x14ac:dyDescent="0.2">
      <c r="A154" s="4">
        <f t="shared" si="8"/>
        <v>8</v>
      </c>
      <c r="B154" s="4">
        <f t="shared" si="9"/>
        <v>2</v>
      </c>
      <c r="C154" s="13" t="str">
        <f>VLOOKUP(B154,Correspondance!$D$3:$E$14,2,FALSE)</f>
        <v>Février</v>
      </c>
      <c r="D154" s="1" t="s">
        <v>1071</v>
      </c>
      <c r="E154" s="2" t="s">
        <v>40</v>
      </c>
      <c r="F154" s="3" t="s">
        <v>52</v>
      </c>
      <c r="G154" s="4" t="s">
        <v>135</v>
      </c>
      <c r="H154" s="4" t="s">
        <v>136</v>
      </c>
      <c r="I154" s="5" t="s">
        <v>52</v>
      </c>
      <c r="J154" s="6">
        <v>88.333333333333329</v>
      </c>
      <c r="K154" s="4" t="s">
        <v>1165</v>
      </c>
      <c r="L154" s="4" t="s">
        <v>46</v>
      </c>
      <c r="M154" s="4" t="s">
        <v>47</v>
      </c>
      <c r="N154" s="4" t="s">
        <v>1166</v>
      </c>
      <c r="O154" s="4" t="s">
        <v>49</v>
      </c>
      <c r="P154" s="4">
        <v>1</v>
      </c>
      <c r="Q154" s="4">
        <v>1</v>
      </c>
      <c r="R154" s="4">
        <v>1</v>
      </c>
      <c r="S154" s="4">
        <v>1</v>
      </c>
      <c r="T154" s="4">
        <v>0</v>
      </c>
      <c r="U154" s="4">
        <v>1</v>
      </c>
      <c r="V154" s="4">
        <v>1</v>
      </c>
      <c r="W154" s="4">
        <v>1</v>
      </c>
      <c r="X154" s="4">
        <v>1</v>
      </c>
      <c r="Y154" s="4">
        <v>1</v>
      </c>
      <c r="Z154" s="4">
        <v>1</v>
      </c>
      <c r="AA154" s="4">
        <v>0</v>
      </c>
      <c r="AB154" s="4">
        <v>1</v>
      </c>
      <c r="AC154" s="4">
        <v>1</v>
      </c>
      <c r="AD154" s="4" t="s">
        <v>140</v>
      </c>
      <c r="AE154" s="4">
        <v>1</v>
      </c>
      <c r="AF154" s="4">
        <v>1</v>
      </c>
      <c r="AG154" s="4">
        <v>1</v>
      </c>
      <c r="AH154" s="4">
        <v>1</v>
      </c>
      <c r="AI154" s="4">
        <v>1</v>
      </c>
      <c r="AJ154" s="4">
        <v>1</v>
      </c>
      <c r="AK154" s="4">
        <v>1</v>
      </c>
      <c r="AL154" s="4">
        <v>1</v>
      </c>
      <c r="AM154" s="4">
        <v>1</v>
      </c>
      <c r="AN154" s="4" t="s">
        <v>140</v>
      </c>
      <c r="AO154" s="4">
        <v>1</v>
      </c>
      <c r="AP154" s="4">
        <v>1</v>
      </c>
      <c r="AQ154" s="4">
        <v>1</v>
      </c>
      <c r="AR154" s="4" t="s">
        <v>140</v>
      </c>
      <c r="AS154" s="4">
        <v>1</v>
      </c>
      <c r="AT154" s="4" t="s">
        <v>1071</v>
      </c>
    </row>
    <row r="155" spans="1:46" x14ac:dyDescent="0.2">
      <c r="A155" s="4">
        <f t="shared" si="8"/>
        <v>8</v>
      </c>
      <c r="B155" s="4">
        <f t="shared" si="9"/>
        <v>2</v>
      </c>
      <c r="C155" s="13" t="str">
        <f>VLOOKUP(B155,Correspondance!$D$3:$E$14,2,FALSE)</f>
        <v>Février</v>
      </c>
      <c r="D155" s="1" t="s">
        <v>1071</v>
      </c>
      <c r="E155" s="2" t="s">
        <v>40</v>
      </c>
      <c r="F155" s="3" t="s">
        <v>52</v>
      </c>
      <c r="G155" s="4" t="s">
        <v>135</v>
      </c>
      <c r="H155" s="4" t="s">
        <v>136</v>
      </c>
      <c r="I155" s="5" t="s">
        <v>57</v>
      </c>
      <c r="J155" s="6">
        <v>91</v>
      </c>
      <c r="K155" s="4" t="s">
        <v>1167</v>
      </c>
      <c r="L155" s="4" t="s">
        <v>46</v>
      </c>
      <c r="M155" s="4" t="s">
        <v>47</v>
      </c>
      <c r="N155" s="4" t="s">
        <v>1168</v>
      </c>
      <c r="O155" s="4" t="s">
        <v>49</v>
      </c>
      <c r="P155" s="4">
        <v>1</v>
      </c>
      <c r="Q155" s="4">
        <v>1</v>
      </c>
      <c r="R155" s="4">
        <v>1</v>
      </c>
      <c r="S155" s="4">
        <v>1</v>
      </c>
      <c r="T155" s="4">
        <v>0</v>
      </c>
      <c r="U155" s="4" t="s">
        <v>140</v>
      </c>
      <c r="V155" s="4">
        <v>1</v>
      </c>
      <c r="W155" s="4" t="s">
        <v>140</v>
      </c>
      <c r="X155" s="4">
        <v>1</v>
      </c>
      <c r="Y155" s="4">
        <v>1</v>
      </c>
      <c r="Z155" s="4">
        <v>1</v>
      </c>
      <c r="AA155" s="4">
        <v>1</v>
      </c>
      <c r="AB155" s="4">
        <v>1</v>
      </c>
      <c r="AC155" s="4">
        <v>1</v>
      </c>
      <c r="AD155" s="4" t="s">
        <v>140</v>
      </c>
      <c r="AE155" s="4" t="s">
        <v>140</v>
      </c>
      <c r="AF155" s="4" t="s">
        <v>140</v>
      </c>
      <c r="AG155" s="4">
        <v>1</v>
      </c>
      <c r="AH155" s="4">
        <v>1</v>
      </c>
      <c r="AI155" s="4">
        <v>1</v>
      </c>
      <c r="AJ155" s="4" t="s">
        <v>140</v>
      </c>
      <c r="AK155" s="4">
        <v>0</v>
      </c>
      <c r="AL155" s="4" t="s">
        <v>140</v>
      </c>
      <c r="AM155" s="4">
        <v>1</v>
      </c>
      <c r="AN155" s="4" t="s">
        <v>140</v>
      </c>
      <c r="AO155" s="4">
        <v>1</v>
      </c>
      <c r="AP155" s="4">
        <v>1</v>
      </c>
      <c r="AQ155" s="4">
        <v>1</v>
      </c>
      <c r="AR155" s="4">
        <v>1</v>
      </c>
      <c r="AS155" s="4">
        <v>1</v>
      </c>
      <c r="AT155" s="4" t="s">
        <v>1071</v>
      </c>
    </row>
    <row r="156" spans="1:46" x14ac:dyDescent="0.2">
      <c r="A156" s="4">
        <f t="shared" si="8"/>
        <v>8</v>
      </c>
      <c r="B156" s="4">
        <f t="shared" si="9"/>
        <v>2</v>
      </c>
      <c r="C156" s="13" t="str">
        <f>VLOOKUP(B156,Correspondance!$D$3:$E$14,2,FALSE)</f>
        <v>Février</v>
      </c>
      <c r="D156" s="1" t="s">
        <v>1071</v>
      </c>
      <c r="E156" s="2" t="s">
        <v>40</v>
      </c>
      <c r="F156" s="3" t="s">
        <v>61</v>
      </c>
      <c r="G156" s="4" t="s">
        <v>96</v>
      </c>
      <c r="H156" s="4" t="s">
        <v>97</v>
      </c>
      <c r="I156" s="5" t="s">
        <v>57</v>
      </c>
      <c r="J156" s="6">
        <v>100</v>
      </c>
      <c r="K156" s="4" t="s">
        <v>1169</v>
      </c>
      <c r="L156" s="4" t="s">
        <v>114</v>
      </c>
      <c r="M156" s="4" t="s">
        <v>99</v>
      </c>
      <c r="N156" s="4" t="s">
        <v>1170</v>
      </c>
      <c r="O156" s="4" t="s">
        <v>49</v>
      </c>
      <c r="P156" s="4">
        <v>1</v>
      </c>
      <c r="Q156" s="4">
        <v>1</v>
      </c>
      <c r="R156" s="4">
        <v>1</v>
      </c>
      <c r="S156" s="4">
        <v>1</v>
      </c>
      <c r="T156" s="4">
        <v>1</v>
      </c>
      <c r="U156" s="4">
        <v>1</v>
      </c>
      <c r="V156" s="4">
        <v>1</v>
      </c>
      <c r="W156" s="4">
        <v>1</v>
      </c>
      <c r="X156" s="4">
        <v>1</v>
      </c>
      <c r="Y156" s="4">
        <v>1</v>
      </c>
      <c r="Z156" s="4">
        <v>1</v>
      </c>
      <c r="AA156" s="4">
        <v>1</v>
      </c>
      <c r="AB156" s="4">
        <v>1</v>
      </c>
      <c r="AC156" s="4">
        <v>1</v>
      </c>
      <c r="AD156" s="4">
        <v>1</v>
      </c>
      <c r="AE156" s="4">
        <v>1</v>
      </c>
      <c r="AF156" s="4">
        <v>1</v>
      </c>
      <c r="AG156" s="4">
        <v>1</v>
      </c>
      <c r="AH156" s="4">
        <v>1</v>
      </c>
      <c r="AI156" s="4">
        <v>1</v>
      </c>
      <c r="AJ156" s="4" t="s">
        <v>140</v>
      </c>
      <c r="AK156" s="4">
        <v>1</v>
      </c>
      <c r="AL156" s="4">
        <v>1</v>
      </c>
      <c r="AM156" s="4">
        <v>1</v>
      </c>
      <c r="AN156" s="4" t="s">
        <v>140</v>
      </c>
      <c r="AO156" s="4">
        <v>1</v>
      </c>
      <c r="AP156" s="4">
        <v>1</v>
      </c>
      <c r="AQ156" s="4">
        <v>1</v>
      </c>
      <c r="AR156" s="4" t="s">
        <v>140</v>
      </c>
      <c r="AS156" s="4">
        <v>1</v>
      </c>
      <c r="AT156" s="4"/>
    </row>
    <row r="157" spans="1:46" x14ac:dyDescent="0.2">
      <c r="A157" s="4">
        <f t="shared" si="8"/>
        <v>8</v>
      </c>
      <c r="B157" s="4">
        <f t="shared" si="9"/>
        <v>2</v>
      </c>
      <c r="C157" s="13" t="str">
        <f>VLOOKUP(B157,Correspondance!$D$3:$E$14,2,FALSE)</f>
        <v>Février</v>
      </c>
      <c r="D157" s="1" t="s">
        <v>1071</v>
      </c>
      <c r="E157" s="2" t="s">
        <v>40</v>
      </c>
      <c r="F157" s="3" t="s">
        <v>61</v>
      </c>
      <c r="G157" s="4" t="s">
        <v>101</v>
      </c>
      <c r="H157" s="4" t="s">
        <v>102</v>
      </c>
      <c r="I157" s="5" t="s">
        <v>57</v>
      </c>
      <c r="J157" s="6">
        <v>94.166666666666671</v>
      </c>
      <c r="K157" s="4" t="s">
        <v>1171</v>
      </c>
      <c r="L157" s="4" t="s">
        <v>46</v>
      </c>
      <c r="M157" s="4" t="s">
        <v>47</v>
      </c>
      <c r="N157" s="4" t="s">
        <v>1172</v>
      </c>
      <c r="O157" s="4" t="s">
        <v>49</v>
      </c>
      <c r="P157" s="4">
        <v>1</v>
      </c>
      <c r="Q157" s="4">
        <v>1</v>
      </c>
      <c r="R157" s="4">
        <v>1</v>
      </c>
      <c r="S157" s="4">
        <v>1</v>
      </c>
      <c r="T157" s="4">
        <v>0</v>
      </c>
      <c r="U157" s="4">
        <v>1</v>
      </c>
      <c r="V157" s="4">
        <v>1</v>
      </c>
      <c r="W157" s="4">
        <v>1</v>
      </c>
      <c r="X157" s="4">
        <v>1</v>
      </c>
      <c r="Y157" s="4">
        <v>1</v>
      </c>
      <c r="Z157" s="4">
        <v>1</v>
      </c>
      <c r="AA157" s="4">
        <v>1</v>
      </c>
      <c r="AB157" s="4">
        <v>1</v>
      </c>
      <c r="AC157" s="4">
        <v>1</v>
      </c>
      <c r="AD157" s="4">
        <v>1</v>
      </c>
      <c r="AE157" s="4">
        <v>1</v>
      </c>
      <c r="AF157" s="4">
        <v>1</v>
      </c>
      <c r="AG157" s="4">
        <v>1</v>
      </c>
      <c r="AH157" s="4">
        <v>1</v>
      </c>
      <c r="AI157" s="4">
        <v>1</v>
      </c>
      <c r="AJ157" s="4">
        <v>1</v>
      </c>
      <c r="AK157" s="4">
        <v>1</v>
      </c>
      <c r="AL157" s="4">
        <v>1</v>
      </c>
      <c r="AM157" s="4">
        <v>1</v>
      </c>
      <c r="AN157" s="4" t="s">
        <v>140</v>
      </c>
      <c r="AO157" s="4">
        <v>1</v>
      </c>
      <c r="AP157" s="4">
        <v>1</v>
      </c>
      <c r="AQ157" s="4">
        <v>1</v>
      </c>
      <c r="AR157" s="4" t="s">
        <v>140</v>
      </c>
      <c r="AS157" s="4">
        <v>1</v>
      </c>
      <c r="AT157" s="4" t="s">
        <v>1109</v>
      </c>
    </row>
    <row r="158" spans="1:46" x14ac:dyDescent="0.2">
      <c r="A158" s="4">
        <f t="shared" si="8"/>
        <v>8</v>
      </c>
      <c r="B158" s="4">
        <f t="shared" si="9"/>
        <v>2</v>
      </c>
      <c r="C158" s="13" t="str">
        <f>VLOOKUP(B158,Correspondance!$D$3:$E$14,2,FALSE)</f>
        <v>Février</v>
      </c>
      <c r="D158" s="1" t="s">
        <v>1071</v>
      </c>
      <c r="E158" s="2" t="s">
        <v>40</v>
      </c>
      <c r="F158" s="3" t="s">
        <v>61</v>
      </c>
      <c r="G158" s="4" t="s">
        <v>505</v>
      </c>
      <c r="H158" s="4" t="s">
        <v>506</v>
      </c>
      <c r="I158" s="5" t="s">
        <v>57</v>
      </c>
      <c r="J158" s="6">
        <v>100</v>
      </c>
      <c r="K158" s="4" t="s">
        <v>1173</v>
      </c>
      <c r="L158" s="4" t="s">
        <v>46</v>
      </c>
      <c r="M158" s="4" t="s">
        <v>47</v>
      </c>
      <c r="N158" s="4" t="s">
        <v>1174</v>
      </c>
      <c r="O158" s="4" t="s">
        <v>49</v>
      </c>
      <c r="P158" s="4">
        <v>1</v>
      </c>
      <c r="Q158" s="4">
        <v>1</v>
      </c>
      <c r="R158" s="4">
        <v>1</v>
      </c>
      <c r="S158" s="4">
        <v>1</v>
      </c>
      <c r="T158" s="4">
        <v>1</v>
      </c>
      <c r="U158" s="4">
        <v>1</v>
      </c>
      <c r="V158" s="4">
        <v>1</v>
      </c>
      <c r="W158" s="4">
        <v>1</v>
      </c>
      <c r="X158" s="4">
        <v>1</v>
      </c>
      <c r="Y158" s="4">
        <v>1</v>
      </c>
      <c r="Z158" s="4">
        <v>1</v>
      </c>
      <c r="AA158" s="4">
        <v>1</v>
      </c>
      <c r="AB158" s="4">
        <v>1</v>
      </c>
      <c r="AC158" s="4">
        <v>1</v>
      </c>
      <c r="AD158" s="4" t="s">
        <v>140</v>
      </c>
      <c r="AE158" s="4">
        <v>1</v>
      </c>
      <c r="AF158" s="4" t="s">
        <v>140</v>
      </c>
      <c r="AG158" s="4">
        <v>1</v>
      </c>
      <c r="AH158" s="4">
        <v>1</v>
      </c>
      <c r="AI158" s="4">
        <v>1</v>
      </c>
      <c r="AJ158" s="4" t="s">
        <v>140</v>
      </c>
      <c r="AK158" s="4">
        <v>1</v>
      </c>
      <c r="AL158" s="4">
        <v>1</v>
      </c>
      <c r="AM158" s="4">
        <v>1</v>
      </c>
      <c r="AN158" s="4" t="s">
        <v>140</v>
      </c>
      <c r="AO158" s="4">
        <v>1</v>
      </c>
      <c r="AP158" s="4">
        <v>1</v>
      </c>
      <c r="AQ158" s="4">
        <v>1</v>
      </c>
      <c r="AR158" s="4">
        <v>1</v>
      </c>
      <c r="AS158" s="4">
        <v>1</v>
      </c>
      <c r="AT158" s="4" t="s">
        <v>1109</v>
      </c>
    </row>
    <row r="159" spans="1:46" x14ac:dyDescent="0.2">
      <c r="A159" s="4">
        <f t="shared" si="8"/>
        <v>8</v>
      </c>
      <c r="B159" s="4">
        <f t="shared" si="9"/>
        <v>2</v>
      </c>
      <c r="C159" s="13" t="str">
        <f>VLOOKUP(B159,Correspondance!$D$3:$E$14,2,FALSE)</f>
        <v>Février</v>
      </c>
      <c r="D159" s="1" t="s">
        <v>1175</v>
      </c>
      <c r="E159" s="2" t="s">
        <v>40</v>
      </c>
      <c r="F159" s="3" t="s">
        <v>52</v>
      </c>
      <c r="G159" s="4" t="s">
        <v>233</v>
      </c>
      <c r="H159" s="4" t="s">
        <v>234</v>
      </c>
      <c r="I159" s="5" t="s">
        <v>61</v>
      </c>
      <c r="J159" s="6">
        <v>96.25</v>
      </c>
      <c r="K159" s="4" t="s">
        <v>1176</v>
      </c>
      <c r="L159" s="4" t="s">
        <v>114</v>
      </c>
      <c r="M159" s="4" t="s">
        <v>99</v>
      </c>
      <c r="N159" s="4" t="s">
        <v>993</v>
      </c>
      <c r="O159" s="4" t="s">
        <v>49</v>
      </c>
      <c r="P159" s="4">
        <v>1</v>
      </c>
      <c r="Q159" s="4">
        <v>1</v>
      </c>
      <c r="R159" s="4">
        <v>1</v>
      </c>
      <c r="S159" s="4">
        <v>1</v>
      </c>
      <c r="T159" s="4">
        <v>1</v>
      </c>
      <c r="U159" s="4">
        <v>1</v>
      </c>
      <c r="V159" s="4">
        <v>1</v>
      </c>
      <c r="W159" s="4">
        <v>1</v>
      </c>
      <c r="X159" s="4">
        <v>1</v>
      </c>
      <c r="Y159" s="4">
        <v>1</v>
      </c>
      <c r="Z159" s="4">
        <v>1</v>
      </c>
      <c r="AA159" s="4">
        <v>1</v>
      </c>
      <c r="AB159" s="4">
        <v>1</v>
      </c>
      <c r="AC159" s="4">
        <v>1</v>
      </c>
      <c r="AD159" s="4" t="s">
        <v>140</v>
      </c>
      <c r="AE159" s="4">
        <v>1</v>
      </c>
      <c r="AF159" s="4">
        <v>1</v>
      </c>
      <c r="AG159" s="4">
        <v>1</v>
      </c>
      <c r="AH159" s="4">
        <v>1</v>
      </c>
      <c r="AI159" s="4">
        <v>1</v>
      </c>
      <c r="AJ159" s="4">
        <v>1</v>
      </c>
      <c r="AK159" s="4">
        <v>1</v>
      </c>
      <c r="AL159" s="4">
        <v>0</v>
      </c>
      <c r="AM159" s="4">
        <v>1</v>
      </c>
      <c r="AN159" s="4" t="s">
        <v>140</v>
      </c>
      <c r="AO159" s="4">
        <v>1</v>
      </c>
      <c r="AP159" s="4">
        <v>1</v>
      </c>
      <c r="AQ159" s="4">
        <v>1</v>
      </c>
      <c r="AR159" s="4">
        <v>1</v>
      </c>
      <c r="AS159" s="4">
        <v>1</v>
      </c>
      <c r="AT159" s="4" t="s">
        <v>1177</v>
      </c>
    </row>
    <row r="160" spans="1:46" x14ac:dyDescent="0.2">
      <c r="A160" s="4">
        <f t="shared" si="8"/>
        <v>8</v>
      </c>
      <c r="B160" s="4">
        <f t="shared" si="9"/>
        <v>2</v>
      </c>
      <c r="C160" s="13" t="str">
        <f>VLOOKUP(B160,Correspondance!$D$3:$E$14,2,FALSE)</f>
        <v>Février</v>
      </c>
      <c r="D160" s="1" t="s">
        <v>1175</v>
      </c>
      <c r="E160" s="2" t="s">
        <v>40</v>
      </c>
      <c r="F160" s="3" t="s">
        <v>61</v>
      </c>
      <c r="G160" s="4" t="s">
        <v>96</v>
      </c>
      <c r="H160" s="4" t="s">
        <v>97</v>
      </c>
      <c r="I160" s="5" t="s">
        <v>57</v>
      </c>
      <c r="J160" s="6">
        <v>100</v>
      </c>
      <c r="K160" s="4" t="s">
        <v>1178</v>
      </c>
      <c r="L160" s="4" t="s">
        <v>114</v>
      </c>
      <c r="M160" s="4" t="s">
        <v>99</v>
      </c>
      <c r="N160" s="4" t="s">
        <v>328</v>
      </c>
      <c r="O160" s="4" t="s">
        <v>49</v>
      </c>
      <c r="P160" s="4">
        <v>1</v>
      </c>
      <c r="Q160" s="4">
        <v>1</v>
      </c>
      <c r="R160" s="4">
        <v>1</v>
      </c>
      <c r="S160" s="4">
        <v>1</v>
      </c>
      <c r="T160" s="4">
        <v>1</v>
      </c>
      <c r="U160" s="4">
        <v>1</v>
      </c>
      <c r="V160" s="4">
        <v>1</v>
      </c>
      <c r="W160" s="4">
        <v>1</v>
      </c>
      <c r="X160" s="4">
        <v>1</v>
      </c>
      <c r="Y160" s="4">
        <v>1</v>
      </c>
      <c r="Z160" s="4">
        <v>1</v>
      </c>
      <c r="AA160" s="4">
        <v>1</v>
      </c>
      <c r="AB160" s="4">
        <v>1</v>
      </c>
      <c r="AC160" s="4">
        <v>1</v>
      </c>
      <c r="AD160" s="4">
        <v>1</v>
      </c>
      <c r="AE160" s="4">
        <v>1</v>
      </c>
      <c r="AF160" s="4">
        <v>1</v>
      </c>
      <c r="AG160" s="4">
        <v>1</v>
      </c>
      <c r="AH160" s="4">
        <v>1</v>
      </c>
      <c r="AI160" s="4">
        <v>1</v>
      </c>
      <c r="AJ160" s="4" t="s">
        <v>140</v>
      </c>
      <c r="AK160" s="4">
        <v>1</v>
      </c>
      <c r="AL160" s="4">
        <v>1</v>
      </c>
      <c r="AM160" s="4">
        <v>1</v>
      </c>
      <c r="AN160" s="4" t="s">
        <v>140</v>
      </c>
      <c r="AO160" s="4">
        <v>1</v>
      </c>
      <c r="AP160" s="4">
        <v>1</v>
      </c>
      <c r="AQ160" s="4">
        <v>1</v>
      </c>
      <c r="AR160" s="4" t="s">
        <v>140</v>
      </c>
      <c r="AS160" s="4">
        <v>1</v>
      </c>
      <c r="AT160" s="4"/>
    </row>
    <row r="161" spans="1:46" x14ac:dyDescent="0.2">
      <c r="A161" s="4">
        <f t="shared" ref="A161:A187" si="10">WEEKNUM(D161)</f>
        <v>9</v>
      </c>
      <c r="B161" s="4">
        <f t="shared" ref="B161:B187" si="11">MONTH(D161)</f>
        <v>2</v>
      </c>
      <c r="C161" s="13" t="str">
        <f>VLOOKUP(B161,Correspondance!$D$3:$E$14,2,FALSE)</f>
        <v>Février</v>
      </c>
      <c r="D161" s="1" t="s">
        <v>1109</v>
      </c>
      <c r="E161" s="2" t="s">
        <v>40</v>
      </c>
      <c r="F161" s="3" t="s">
        <v>41</v>
      </c>
      <c r="G161" s="4" t="s">
        <v>109</v>
      </c>
      <c r="H161" s="4" t="s">
        <v>110</v>
      </c>
      <c r="I161" s="5" t="s">
        <v>57</v>
      </c>
      <c r="J161" s="6">
        <v>71.7</v>
      </c>
      <c r="K161" s="4" t="s">
        <v>1179</v>
      </c>
      <c r="L161" s="4" t="s">
        <v>114</v>
      </c>
      <c r="M161" s="4" t="s">
        <v>47</v>
      </c>
      <c r="N161" s="4" t="s">
        <v>77</v>
      </c>
      <c r="O161" s="4" t="s">
        <v>49</v>
      </c>
      <c r="P161" s="4">
        <v>1</v>
      </c>
      <c r="Q161" s="4">
        <v>1</v>
      </c>
      <c r="R161" s="4">
        <v>1</v>
      </c>
      <c r="S161" s="4">
        <v>1</v>
      </c>
      <c r="T161" s="4">
        <v>0</v>
      </c>
      <c r="U161" s="4">
        <v>0</v>
      </c>
      <c r="V161" s="4">
        <v>1</v>
      </c>
      <c r="W161" s="4">
        <v>1</v>
      </c>
      <c r="X161" s="4">
        <v>1</v>
      </c>
      <c r="Y161" s="4">
        <v>1</v>
      </c>
      <c r="Z161" s="4">
        <v>1</v>
      </c>
      <c r="AA161" s="4">
        <v>1</v>
      </c>
      <c r="AB161" s="4">
        <v>1</v>
      </c>
      <c r="AC161" s="4">
        <v>1</v>
      </c>
      <c r="AD161" s="4" t="s">
        <v>140</v>
      </c>
      <c r="AE161" s="4">
        <v>1</v>
      </c>
      <c r="AF161" s="4">
        <v>1</v>
      </c>
      <c r="AG161" s="4">
        <v>1</v>
      </c>
      <c r="AH161" s="4">
        <v>0</v>
      </c>
      <c r="AI161" s="4">
        <v>1</v>
      </c>
      <c r="AJ161" s="4">
        <v>0</v>
      </c>
      <c r="AK161" s="4">
        <v>0</v>
      </c>
      <c r="AL161" s="4">
        <v>1</v>
      </c>
      <c r="AM161" s="4">
        <v>1</v>
      </c>
      <c r="AN161" s="4" t="s">
        <v>140</v>
      </c>
      <c r="AO161" s="4">
        <v>1</v>
      </c>
      <c r="AP161" s="4">
        <v>1</v>
      </c>
      <c r="AQ161" s="4">
        <v>0</v>
      </c>
      <c r="AR161" s="4" t="s">
        <v>140</v>
      </c>
      <c r="AS161" s="4">
        <v>0</v>
      </c>
      <c r="AT161" s="4" t="s">
        <v>1177</v>
      </c>
    </row>
    <row r="162" spans="1:46" x14ac:dyDescent="0.2">
      <c r="A162" s="4">
        <f t="shared" si="10"/>
        <v>9</v>
      </c>
      <c r="B162" s="4">
        <f t="shared" si="11"/>
        <v>2</v>
      </c>
      <c r="C162" s="13" t="str">
        <f>VLOOKUP(B162,Correspondance!$D$3:$E$14,2,FALSE)</f>
        <v>Février</v>
      </c>
      <c r="D162" s="1" t="s">
        <v>1109</v>
      </c>
      <c r="E162" s="2" t="s">
        <v>40</v>
      </c>
      <c r="F162" s="3" t="s">
        <v>52</v>
      </c>
      <c r="G162" s="4" t="s">
        <v>233</v>
      </c>
      <c r="H162" s="4" t="s">
        <v>234</v>
      </c>
      <c r="I162" s="5" t="s">
        <v>57</v>
      </c>
      <c r="J162" s="6">
        <v>93.25</v>
      </c>
      <c r="K162" s="4" t="s">
        <v>1180</v>
      </c>
      <c r="L162" s="4" t="s">
        <v>114</v>
      </c>
      <c r="M162" s="4" t="s">
        <v>99</v>
      </c>
      <c r="N162" s="4" t="s">
        <v>1181</v>
      </c>
      <c r="O162" s="4" t="s">
        <v>49</v>
      </c>
      <c r="P162" s="4">
        <v>1</v>
      </c>
      <c r="Q162" s="4">
        <v>1</v>
      </c>
      <c r="R162" s="4">
        <v>1</v>
      </c>
      <c r="S162" s="4">
        <v>1</v>
      </c>
      <c r="T162" s="4">
        <v>1</v>
      </c>
      <c r="U162" s="4">
        <v>0</v>
      </c>
      <c r="V162" s="4">
        <v>1</v>
      </c>
      <c r="W162" s="4">
        <v>1</v>
      </c>
      <c r="X162" s="4">
        <v>1</v>
      </c>
      <c r="Y162" s="4">
        <v>1</v>
      </c>
      <c r="Z162" s="4">
        <v>1</v>
      </c>
      <c r="AA162" s="4">
        <v>1</v>
      </c>
      <c r="AB162" s="4">
        <v>1</v>
      </c>
      <c r="AC162" s="4">
        <v>1</v>
      </c>
      <c r="AD162" s="4" t="s">
        <v>140</v>
      </c>
      <c r="AE162" s="4">
        <v>1</v>
      </c>
      <c r="AF162" s="4">
        <v>1</v>
      </c>
      <c r="AG162" s="4">
        <v>1</v>
      </c>
      <c r="AH162" s="4">
        <v>1</v>
      </c>
      <c r="AI162" s="4">
        <v>1</v>
      </c>
      <c r="AJ162" s="4">
        <v>1</v>
      </c>
      <c r="AK162" s="4">
        <v>1</v>
      </c>
      <c r="AL162" s="4">
        <v>0</v>
      </c>
      <c r="AM162" s="4">
        <v>1</v>
      </c>
      <c r="AN162" s="4" t="s">
        <v>140</v>
      </c>
      <c r="AO162" s="4">
        <v>1</v>
      </c>
      <c r="AP162" s="4">
        <v>1</v>
      </c>
      <c r="AQ162" s="4">
        <v>1</v>
      </c>
      <c r="AR162" s="4" t="s">
        <v>140</v>
      </c>
      <c r="AS162" s="4">
        <v>1</v>
      </c>
      <c r="AT162" s="4" t="s">
        <v>1177</v>
      </c>
    </row>
    <row r="163" spans="1:46" x14ac:dyDescent="0.2">
      <c r="A163" s="4">
        <f t="shared" si="10"/>
        <v>9</v>
      </c>
      <c r="B163" s="4">
        <f t="shared" si="11"/>
        <v>2</v>
      </c>
      <c r="C163" s="13" t="str">
        <f>VLOOKUP(B163,Correspondance!$D$3:$E$14,2,FALSE)</f>
        <v>Février</v>
      </c>
      <c r="D163" s="1" t="s">
        <v>1109</v>
      </c>
      <c r="E163" s="2" t="s">
        <v>40</v>
      </c>
      <c r="F163" s="3" t="s">
        <v>52</v>
      </c>
      <c r="G163" s="4" t="s">
        <v>135</v>
      </c>
      <c r="H163" s="4" t="s">
        <v>136</v>
      </c>
      <c r="I163" s="5" t="s">
        <v>57</v>
      </c>
      <c r="J163" s="6">
        <v>59.1</v>
      </c>
      <c r="K163" s="4" t="s">
        <v>1182</v>
      </c>
      <c r="L163" s="4" t="s">
        <v>114</v>
      </c>
      <c r="M163" s="4" t="s">
        <v>47</v>
      </c>
      <c r="N163" s="4" t="s">
        <v>77</v>
      </c>
      <c r="O163" s="4" t="s">
        <v>49</v>
      </c>
      <c r="P163" s="4">
        <v>1</v>
      </c>
      <c r="Q163" s="4">
        <v>0</v>
      </c>
      <c r="R163" s="4">
        <v>1</v>
      </c>
      <c r="S163" s="4">
        <v>1</v>
      </c>
      <c r="T163" s="4">
        <v>0</v>
      </c>
      <c r="U163" s="4">
        <v>0</v>
      </c>
      <c r="V163" s="4">
        <v>1</v>
      </c>
      <c r="W163" s="4">
        <v>1</v>
      </c>
      <c r="X163" s="4">
        <v>1</v>
      </c>
      <c r="Y163" s="4">
        <v>0</v>
      </c>
      <c r="Z163" s="4">
        <v>1</v>
      </c>
      <c r="AA163" s="4">
        <v>1</v>
      </c>
      <c r="AB163" s="4">
        <v>1</v>
      </c>
      <c r="AC163" s="4">
        <v>1</v>
      </c>
      <c r="AD163" s="4" t="s">
        <v>140</v>
      </c>
      <c r="AE163" s="4">
        <v>1</v>
      </c>
      <c r="AF163" s="4">
        <v>1</v>
      </c>
      <c r="AG163" s="4">
        <v>1</v>
      </c>
      <c r="AH163" s="4">
        <v>0</v>
      </c>
      <c r="AI163" s="4">
        <v>1</v>
      </c>
      <c r="AJ163" s="4" t="s">
        <v>140</v>
      </c>
      <c r="AK163" s="4">
        <v>0</v>
      </c>
      <c r="AL163" s="4" t="s">
        <v>140</v>
      </c>
      <c r="AM163" s="4">
        <v>1</v>
      </c>
      <c r="AN163" s="4" t="s">
        <v>140</v>
      </c>
      <c r="AO163" s="4">
        <v>0</v>
      </c>
      <c r="AP163" s="4" t="s">
        <v>140</v>
      </c>
      <c r="AQ163" s="4">
        <v>0</v>
      </c>
      <c r="AR163" s="4" t="s">
        <v>140</v>
      </c>
      <c r="AS163" s="4">
        <v>0</v>
      </c>
      <c r="AT163" s="4" t="s">
        <v>1183</v>
      </c>
    </row>
    <row r="164" spans="1:46" x14ac:dyDescent="0.2">
      <c r="A164" s="4">
        <f t="shared" si="10"/>
        <v>9</v>
      </c>
      <c r="B164" s="4">
        <f t="shared" si="11"/>
        <v>2</v>
      </c>
      <c r="C164" s="13" t="str">
        <f>VLOOKUP(B164,Correspondance!$D$3:$E$14,2,FALSE)</f>
        <v>Février</v>
      </c>
      <c r="D164" s="1" t="s">
        <v>1109</v>
      </c>
      <c r="E164" s="2" t="s">
        <v>40</v>
      </c>
      <c r="F164" s="3" t="s">
        <v>61</v>
      </c>
      <c r="G164" s="4" t="s">
        <v>101</v>
      </c>
      <c r="H164" s="4" t="s">
        <v>102</v>
      </c>
      <c r="I164" s="5" t="s">
        <v>57</v>
      </c>
      <c r="J164" s="6">
        <v>90.36666666666666</v>
      </c>
      <c r="K164" s="4" t="s">
        <v>1184</v>
      </c>
      <c r="L164" s="4" t="s">
        <v>114</v>
      </c>
      <c r="M164" s="4" t="s">
        <v>47</v>
      </c>
      <c r="N164" s="4" t="s">
        <v>77</v>
      </c>
      <c r="O164" s="4" t="s">
        <v>49</v>
      </c>
      <c r="P164" s="4">
        <v>0</v>
      </c>
      <c r="Q164" s="4">
        <v>1</v>
      </c>
      <c r="R164" s="4">
        <v>1</v>
      </c>
      <c r="S164" s="4">
        <v>1</v>
      </c>
      <c r="T164" s="4">
        <v>1</v>
      </c>
      <c r="U164" s="4">
        <v>1</v>
      </c>
      <c r="V164" s="4">
        <v>1</v>
      </c>
      <c r="W164" s="4">
        <v>1</v>
      </c>
      <c r="X164" s="4">
        <v>1</v>
      </c>
      <c r="Y164" s="4">
        <v>1</v>
      </c>
      <c r="Z164" s="4">
        <v>1</v>
      </c>
      <c r="AA164" s="4" t="s">
        <v>140</v>
      </c>
      <c r="AB164" s="4">
        <v>1</v>
      </c>
      <c r="AC164" s="4">
        <v>1</v>
      </c>
      <c r="AD164" s="4" t="s">
        <v>140</v>
      </c>
      <c r="AE164" s="4">
        <v>1</v>
      </c>
      <c r="AF164" s="4">
        <v>1</v>
      </c>
      <c r="AG164" s="4">
        <v>1</v>
      </c>
      <c r="AH164" s="4">
        <v>1</v>
      </c>
      <c r="AI164" s="4">
        <v>1</v>
      </c>
      <c r="AJ164" s="4">
        <v>0</v>
      </c>
      <c r="AK164" s="4">
        <v>1</v>
      </c>
      <c r="AL164" s="4">
        <v>1</v>
      </c>
      <c r="AM164" s="4">
        <v>1</v>
      </c>
      <c r="AN164" s="4" t="s">
        <v>140</v>
      </c>
      <c r="AO164" s="4">
        <v>1</v>
      </c>
      <c r="AP164" s="4">
        <v>1</v>
      </c>
      <c r="AQ164" s="4">
        <v>1</v>
      </c>
      <c r="AR164" s="4">
        <v>1</v>
      </c>
      <c r="AS164" s="4">
        <v>1</v>
      </c>
      <c r="AT164" s="4" t="s">
        <v>1183</v>
      </c>
    </row>
    <row r="165" spans="1:46" x14ac:dyDescent="0.2">
      <c r="A165" s="4">
        <f t="shared" si="10"/>
        <v>9</v>
      </c>
      <c r="B165" s="4">
        <f t="shared" si="11"/>
        <v>2</v>
      </c>
      <c r="C165" s="13" t="str">
        <f>VLOOKUP(B165,Correspondance!$D$3:$E$14,2,FALSE)</f>
        <v>Février</v>
      </c>
      <c r="D165" s="1" t="s">
        <v>1109</v>
      </c>
      <c r="E165" s="2" t="s">
        <v>40</v>
      </c>
      <c r="F165" s="3" t="s">
        <v>61</v>
      </c>
      <c r="G165" s="4" t="s">
        <v>130</v>
      </c>
      <c r="H165" s="4" t="s">
        <v>131</v>
      </c>
      <c r="I165" s="5" t="s">
        <v>57</v>
      </c>
      <c r="J165" s="6">
        <v>56.5</v>
      </c>
      <c r="K165" s="4" t="s">
        <v>1185</v>
      </c>
      <c r="L165" s="4" t="s">
        <v>114</v>
      </c>
      <c r="M165" s="4" t="s">
        <v>47</v>
      </c>
      <c r="N165" s="4" t="s">
        <v>77</v>
      </c>
      <c r="O165" s="4" t="s">
        <v>49</v>
      </c>
      <c r="P165" s="4">
        <v>1</v>
      </c>
      <c r="Q165" s="4">
        <v>1</v>
      </c>
      <c r="R165" s="4">
        <v>1</v>
      </c>
      <c r="S165" s="4">
        <v>1</v>
      </c>
      <c r="T165" s="4">
        <v>0</v>
      </c>
      <c r="U165" s="4">
        <v>0</v>
      </c>
      <c r="V165" s="4">
        <v>1</v>
      </c>
      <c r="W165" s="4">
        <v>1</v>
      </c>
      <c r="X165" s="4">
        <v>0</v>
      </c>
      <c r="Y165" s="4">
        <v>1</v>
      </c>
      <c r="Z165" s="4">
        <v>1</v>
      </c>
      <c r="AA165" s="4">
        <v>1</v>
      </c>
      <c r="AB165" s="4">
        <v>1</v>
      </c>
      <c r="AC165" s="4">
        <v>1</v>
      </c>
      <c r="AD165" s="4" t="s">
        <v>140</v>
      </c>
      <c r="AE165" s="4">
        <v>0</v>
      </c>
      <c r="AF165" s="4">
        <v>0</v>
      </c>
      <c r="AG165" s="4">
        <v>1</v>
      </c>
      <c r="AH165" s="4">
        <v>1</v>
      </c>
      <c r="AI165" s="4">
        <v>0</v>
      </c>
      <c r="AJ165" s="4" t="s">
        <v>140</v>
      </c>
      <c r="AK165" s="4">
        <v>0</v>
      </c>
      <c r="AL165" s="4">
        <v>0</v>
      </c>
      <c r="AM165" s="4">
        <v>1</v>
      </c>
      <c r="AN165" s="4" t="s">
        <v>140</v>
      </c>
      <c r="AO165" s="4">
        <v>1</v>
      </c>
      <c r="AP165" s="4">
        <v>1</v>
      </c>
      <c r="AQ165" s="4">
        <v>0</v>
      </c>
      <c r="AR165" s="4" t="s">
        <v>140</v>
      </c>
      <c r="AS165" s="4">
        <v>0</v>
      </c>
      <c r="AT165" s="4"/>
    </row>
    <row r="166" spans="1:46" x14ac:dyDescent="0.2">
      <c r="A166" s="4">
        <f t="shared" si="10"/>
        <v>9</v>
      </c>
      <c r="B166" s="4">
        <f t="shared" si="11"/>
        <v>2</v>
      </c>
      <c r="C166" s="13" t="str">
        <f>VLOOKUP(B166,Correspondance!$D$3:$E$14,2,FALSE)</f>
        <v>Février</v>
      </c>
      <c r="D166" s="1" t="s">
        <v>1109</v>
      </c>
      <c r="E166" s="2" t="s">
        <v>40</v>
      </c>
      <c r="F166" s="3" t="s">
        <v>61</v>
      </c>
      <c r="G166" s="4" t="s">
        <v>62</v>
      </c>
      <c r="H166" s="4" t="s">
        <v>63</v>
      </c>
      <c r="I166" s="5" t="s">
        <v>57</v>
      </c>
      <c r="J166" s="6">
        <v>84.533333333333331</v>
      </c>
      <c r="K166" s="4" t="s">
        <v>1186</v>
      </c>
      <c r="L166" s="4" t="s">
        <v>114</v>
      </c>
      <c r="M166" s="4" t="s">
        <v>47</v>
      </c>
      <c r="N166" s="4" t="s">
        <v>1124</v>
      </c>
      <c r="O166" s="4" t="s">
        <v>49</v>
      </c>
      <c r="P166" s="4">
        <v>1</v>
      </c>
      <c r="Q166" s="4" t="s">
        <v>140</v>
      </c>
      <c r="R166" s="4">
        <v>1</v>
      </c>
      <c r="S166" s="4">
        <v>1</v>
      </c>
      <c r="T166" s="4">
        <v>0</v>
      </c>
      <c r="U166" s="4">
        <v>1</v>
      </c>
      <c r="V166" s="4">
        <v>1</v>
      </c>
      <c r="W166" s="4">
        <v>1</v>
      </c>
      <c r="X166" s="4">
        <v>1</v>
      </c>
      <c r="Y166" s="4">
        <v>1</v>
      </c>
      <c r="Z166" s="4">
        <v>1</v>
      </c>
      <c r="AA166" s="4">
        <v>1</v>
      </c>
      <c r="AB166" s="4">
        <v>1</v>
      </c>
      <c r="AC166" s="4">
        <v>1</v>
      </c>
      <c r="AD166" s="4">
        <v>1</v>
      </c>
      <c r="AE166" s="4" t="s">
        <v>140</v>
      </c>
      <c r="AF166" s="4">
        <v>1</v>
      </c>
      <c r="AG166" s="4">
        <v>1</v>
      </c>
      <c r="AH166" s="4">
        <v>0</v>
      </c>
      <c r="AI166" s="4">
        <v>1</v>
      </c>
      <c r="AJ166" s="4">
        <v>0</v>
      </c>
      <c r="AK166" s="4">
        <v>1</v>
      </c>
      <c r="AL166" s="4" t="s">
        <v>140</v>
      </c>
      <c r="AM166" s="4">
        <v>1</v>
      </c>
      <c r="AN166" s="4" t="s">
        <v>140</v>
      </c>
      <c r="AO166" s="4">
        <v>1</v>
      </c>
      <c r="AP166" s="4">
        <v>1</v>
      </c>
      <c r="AQ166" s="4">
        <v>1</v>
      </c>
      <c r="AR166" s="4" t="s">
        <v>140</v>
      </c>
      <c r="AS166" s="4">
        <v>1</v>
      </c>
      <c r="AT166" s="4" t="s">
        <v>1183</v>
      </c>
    </row>
    <row r="167" spans="1:46" x14ac:dyDescent="0.2">
      <c r="A167" s="4">
        <f t="shared" si="10"/>
        <v>9</v>
      </c>
      <c r="B167" s="4">
        <f t="shared" si="11"/>
        <v>3</v>
      </c>
      <c r="C167" s="13" t="str">
        <f>VLOOKUP(B167,Correspondance!$D$3:$E$14,2,FALSE)</f>
        <v>Mars</v>
      </c>
      <c r="D167" s="1" t="s">
        <v>792</v>
      </c>
      <c r="E167" s="2" t="s">
        <v>40</v>
      </c>
      <c r="F167" s="3" t="s">
        <v>41</v>
      </c>
      <c r="G167" s="4" t="s">
        <v>109</v>
      </c>
      <c r="H167" s="4" t="s">
        <v>110</v>
      </c>
      <c r="I167" s="5" t="s">
        <v>57</v>
      </c>
      <c r="J167" s="6">
        <v>74.5</v>
      </c>
      <c r="K167" s="4" t="s">
        <v>954</v>
      </c>
      <c r="L167" s="4" t="s">
        <v>46</v>
      </c>
      <c r="M167" s="4" t="s">
        <v>47</v>
      </c>
      <c r="N167" s="4" t="s">
        <v>77</v>
      </c>
      <c r="O167" s="4" t="s">
        <v>49</v>
      </c>
      <c r="P167" s="4">
        <v>1</v>
      </c>
      <c r="Q167" s="4">
        <v>0</v>
      </c>
      <c r="R167" s="4">
        <v>1</v>
      </c>
      <c r="S167" s="4">
        <v>1</v>
      </c>
      <c r="T167" s="4">
        <v>0</v>
      </c>
      <c r="U167" s="4">
        <v>1</v>
      </c>
      <c r="V167" s="4">
        <v>1</v>
      </c>
      <c r="W167" s="4">
        <v>1</v>
      </c>
      <c r="X167" s="4">
        <v>1</v>
      </c>
      <c r="Y167" s="4">
        <v>1</v>
      </c>
      <c r="Z167" s="4">
        <v>1</v>
      </c>
      <c r="AA167" s="4">
        <v>1</v>
      </c>
      <c r="AB167" s="4">
        <v>1</v>
      </c>
      <c r="AC167" s="4">
        <v>1</v>
      </c>
      <c r="AD167" s="4">
        <v>1</v>
      </c>
      <c r="AE167" s="4">
        <v>1</v>
      </c>
      <c r="AF167" s="4">
        <v>1</v>
      </c>
      <c r="AG167" s="4">
        <v>1</v>
      </c>
      <c r="AH167" s="4">
        <v>1</v>
      </c>
      <c r="AI167" s="4">
        <v>1</v>
      </c>
      <c r="AJ167" s="4" t="s">
        <v>140</v>
      </c>
      <c r="AK167" s="4">
        <v>0</v>
      </c>
      <c r="AL167" s="4">
        <v>0</v>
      </c>
      <c r="AM167" s="4">
        <v>1</v>
      </c>
      <c r="AN167" s="4" t="s">
        <v>140</v>
      </c>
      <c r="AO167" s="4">
        <v>1</v>
      </c>
      <c r="AP167" s="4">
        <v>1</v>
      </c>
      <c r="AQ167" s="4">
        <v>0</v>
      </c>
      <c r="AR167" s="4" t="s">
        <v>140</v>
      </c>
      <c r="AS167" s="4">
        <v>0</v>
      </c>
      <c r="AT167" s="4" t="s">
        <v>1053</v>
      </c>
    </row>
    <row r="168" spans="1:46" x14ac:dyDescent="0.2">
      <c r="A168" s="4">
        <f t="shared" si="10"/>
        <v>9</v>
      </c>
      <c r="B168" s="4">
        <f t="shared" si="11"/>
        <v>3</v>
      </c>
      <c r="C168" s="13" t="str">
        <f>VLOOKUP(B168,Correspondance!$D$3:$E$14,2,FALSE)</f>
        <v>Mars</v>
      </c>
      <c r="D168" s="1" t="s">
        <v>792</v>
      </c>
      <c r="E168" s="2" t="s">
        <v>40</v>
      </c>
      <c r="F168" s="3" t="s">
        <v>52</v>
      </c>
      <c r="G168" s="4" t="s">
        <v>135</v>
      </c>
      <c r="H168" s="4" t="s">
        <v>136</v>
      </c>
      <c r="I168" s="5" t="s">
        <v>57</v>
      </c>
      <c r="J168" s="6">
        <v>75.25</v>
      </c>
      <c r="K168" s="4" t="s">
        <v>955</v>
      </c>
      <c r="L168" s="4" t="s">
        <v>46</v>
      </c>
      <c r="M168" s="4" t="s">
        <v>47</v>
      </c>
      <c r="N168" s="4" t="s">
        <v>77</v>
      </c>
      <c r="O168" s="4" t="s">
        <v>49</v>
      </c>
      <c r="P168" s="4">
        <v>1</v>
      </c>
      <c r="Q168" s="4">
        <v>0</v>
      </c>
      <c r="R168" s="4">
        <v>1</v>
      </c>
      <c r="S168" s="4">
        <v>1</v>
      </c>
      <c r="T168" s="4">
        <v>0</v>
      </c>
      <c r="U168" s="4">
        <v>0</v>
      </c>
      <c r="V168" s="4">
        <v>1</v>
      </c>
      <c r="W168" s="4">
        <v>1</v>
      </c>
      <c r="X168" s="4">
        <v>1</v>
      </c>
      <c r="Y168" s="4">
        <v>1</v>
      </c>
      <c r="Z168" s="4">
        <v>1</v>
      </c>
      <c r="AA168" s="4">
        <v>1</v>
      </c>
      <c r="AB168" s="4">
        <v>1</v>
      </c>
      <c r="AC168" s="4">
        <v>1</v>
      </c>
      <c r="AD168" s="4" t="s">
        <v>140</v>
      </c>
      <c r="AE168" s="4">
        <v>1</v>
      </c>
      <c r="AF168" s="4">
        <v>1</v>
      </c>
      <c r="AG168" s="4">
        <v>1</v>
      </c>
      <c r="AH168" s="4">
        <v>1</v>
      </c>
      <c r="AI168" s="4">
        <v>1</v>
      </c>
      <c r="AJ168" s="4" t="s">
        <v>140</v>
      </c>
      <c r="AK168" s="4">
        <v>0</v>
      </c>
      <c r="AL168" s="4">
        <v>1</v>
      </c>
      <c r="AM168" s="4">
        <v>1</v>
      </c>
      <c r="AN168" s="4" t="s">
        <v>140</v>
      </c>
      <c r="AO168" s="4">
        <v>1</v>
      </c>
      <c r="AP168" s="4">
        <v>1</v>
      </c>
      <c r="AQ168" s="4">
        <v>0</v>
      </c>
      <c r="AR168" s="4" t="s">
        <v>140</v>
      </c>
      <c r="AS168" s="4">
        <v>0</v>
      </c>
      <c r="AT168" s="4" t="s">
        <v>948</v>
      </c>
    </row>
    <row r="169" spans="1:46" x14ac:dyDescent="0.2">
      <c r="A169" s="4">
        <f t="shared" si="10"/>
        <v>9</v>
      </c>
      <c r="B169" s="4">
        <f t="shared" si="11"/>
        <v>3</v>
      </c>
      <c r="C169" s="13" t="str">
        <f>VLOOKUP(B169,Correspondance!$D$3:$E$14,2,FALSE)</f>
        <v>Mars</v>
      </c>
      <c r="D169" s="1" t="s">
        <v>792</v>
      </c>
      <c r="E169" s="2" t="s">
        <v>40</v>
      </c>
      <c r="F169" s="3" t="s">
        <v>52</v>
      </c>
      <c r="G169" s="4" t="s">
        <v>135</v>
      </c>
      <c r="H169" s="4" t="s">
        <v>136</v>
      </c>
      <c r="I169" s="5" t="s">
        <v>57</v>
      </c>
      <c r="J169" s="6">
        <v>86.25</v>
      </c>
      <c r="K169" s="4" t="s">
        <v>956</v>
      </c>
      <c r="L169" s="4" t="s">
        <v>46</v>
      </c>
      <c r="M169" s="4" t="s">
        <v>47</v>
      </c>
      <c r="N169" s="4" t="s">
        <v>502</v>
      </c>
      <c r="O169" s="4" t="s">
        <v>49</v>
      </c>
      <c r="P169" s="4">
        <v>1</v>
      </c>
      <c r="Q169" s="4">
        <v>0</v>
      </c>
      <c r="R169" s="4">
        <v>1</v>
      </c>
      <c r="S169" s="4">
        <v>1</v>
      </c>
      <c r="T169" s="4">
        <v>0</v>
      </c>
      <c r="U169" s="4">
        <v>0</v>
      </c>
      <c r="V169" s="4">
        <v>1</v>
      </c>
      <c r="W169" s="4">
        <v>1</v>
      </c>
      <c r="X169" s="4">
        <v>1</v>
      </c>
      <c r="Y169" s="4">
        <v>1</v>
      </c>
      <c r="Z169" s="4">
        <v>1</v>
      </c>
      <c r="AA169" s="4">
        <v>1</v>
      </c>
      <c r="AB169" s="4">
        <v>1</v>
      </c>
      <c r="AC169" s="4">
        <v>1</v>
      </c>
      <c r="AD169" s="4" t="s">
        <v>140</v>
      </c>
      <c r="AE169" s="4">
        <v>1</v>
      </c>
      <c r="AF169" s="4">
        <v>1</v>
      </c>
      <c r="AG169" s="4">
        <v>1</v>
      </c>
      <c r="AH169" s="4">
        <v>1</v>
      </c>
      <c r="AI169" s="4">
        <v>1</v>
      </c>
      <c r="AJ169" s="4">
        <v>1</v>
      </c>
      <c r="AK169" s="4">
        <v>0</v>
      </c>
      <c r="AL169" s="4">
        <v>1</v>
      </c>
      <c r="AM169" s="4">
        <v>1</v>
      </c>
      <c r="AN169" s="4" t="s">
        <v>140</v>
      </c>
      <c r="AO169" s="4">
        <v>1</v>
      </c>
      <c r="AP169" s="4">
        <v>1</v>
      </c>
      <c r="AQ169" s="4">
        <v>1</v>
      </c>
      <c r="AR169" s="4">
        <v>1</v>
      </c>
      <c r="AS169" s="4">
        <v>1</v>
      </c>
      <c r="AT169" s="4" t="s">
        <v>948</v>
      </c>
    </row>
    <row r="170" spans="1:46" x14ac:dyDescent="0.2">
      <c r="A170" s="4">
        <f t="shared" si="10"/>
        <v>9</v>
      </c>
      <c r="B170" s="4">
        <f t="shared" si="11"/>
        <v>3</v>
      </c>
      <c r="C170" s="13" t="str">
        <f>VLOOKUP(B170,Correspondance!$D$3:$E$14,2,FALSE)</f>
        <v>Mars</v>
      </c>
      <c r="D170" s="1" t="s">
        <v>792</v>
      </c>
      <c r="E170" s="2" t="s">
        <v>40</v>
      </c>
      <c r="F170" s="3" t="s">
        <v>52</v>
      </c>
      <c r="G170" s="4" t="s">
        <v>93</v>
      </c>
      <c r="H170" s="4" t="s">
        <v>94</v>
      </c>
      <c r="I170" s="5" t="s">
        <v>57</v>
      </c>
      <c r="J170" s="6">
        <v>100</v>
      </c>
      <c r="K170" s="4" t="s">
        <v>957</v>
      </c>
      <c r="L170" s="4" t="s">
        <v>46</v>
      </c>
      <c r="M170" s="4" t="s">
        <v>47</v>
      </c>
      <c r="N170" s="4" t="s">
        <v>507</v>
      </c>
      <c r="O170" s="4" t="s">
        <v>49</v>
      </c>
      <c r="P170" s="4">
        <v>1</v>
      </c>
      <c r="Q170" s="4">
        <v>1</v>
      </c>
      <c r="R170" s="4">
        <v>1</v>
      </c>
      <c r="S170" s="4">
        <v>1</v>
      </c>
      <c r="T170" s="4">
        <v>1</v>
      </c>
      <c r="U170" s="4">
        <v>1</v>
      </c>
      <c r="V170" s="4">
        <v>1</v>
      </c>
      <c r="W170" s="4">
        <v>1</v>
      </c>
      <c r="X170" s="4">
        <v>1</v>
      </c>
      <c r="Y170" s="4">
        <v>1</v>
      </c>
      <c r="Z170" s="4">
        <v>1</v>
      </c>
      <c r="AA170" s="4">
        <v>1</v>
      </c>
      <c r="AB170" s="4">
        <v>1</v>
      </c>
      <c r="AC170" s="4">
        <v>1</v>
      </c>
      <c r="AD170" s="4" t="s">
        <v>140</v>
      </c>
      <c r="AE170" s="4">
        <v>1</v>
      </c>
      <c r="AF170" s="4">
        <v>1</v>
      </c>
      <c r="AG170" s="4">
        <v>1</v>
      </c>
      <c r="AH170" s="4">
        <v>1</v>
      </c>
      <c r="AI170" s="4">
        <v>1</v>
      </c>
      <c r="AJ170" s="4" t="s">
        <v>140</v>
      </c>
      <c r="AK170" s="4">
        <v>1</v>
      </c>
      <c r="AL170" s="4">
        <v>1</v>
      </c>
      <c r="AM170" s="4">
        <v>1</v>
      </c>
      <c r="AN170" s="4" t="s">
        <v>140</v>
      </c>
      <c r="AO170" s="4">
        <v>1</v>
      </c>
      <c r="AP170" s="4">
        <v>1</v>
      </c>
      <c r="AQ170" s="4">
        <v>1</v>
      </c>
      <c r="AR170" s="4" t="s">
        <v>140</v>
      </c>
      <c r="AS170" s="4">
        <v>1</v>
      </c>
      <c r="AT170" s="4" t="s">
        <v>874</v>
      </c>
    </row>
    <row r="171" spans="1:46" x14ac:dyDescent="0.2">
      <c r="A171" s="4">
        <f t="shared" si="10"/>
        <v>9</v>
      </c>
      <c r="B171" s="4">
        <f t="shared" si="11"/>
        <v>3</v>
      </c>
      <c r="C171" s="13" t="str">
        <f>VLOOKUP(B171,Correspondance!$D$3:$E$14,2,FALSE)</f>
        <v>Mars</v>
      </c>
      <c r="D171" s="1" t="s">
        <v>792</v>
      </c>
      <c r="E171" s="2" t="s">
        <v>40</v>
      </c>
      <c r="F171" s="3" t="s">
        <v>52</v>
      </c>
      <c r="G171" s="4" t="s">
        <v>93</v>
      </c>
      <c r="H171" s="4" t="s">
        <v>94</v>
      </c>
      <c r="I171" s="5" t="s">
        <v>57</v>
      </c>
      <c r="J171" s="6">
        <v>100</v>
      </c>
      <c r="K171" s="4" t="s">
        <v>958</v>
      </c>
      <c r="L171" s="4" t="s">
        <v>46</v>
      </c>
      <c r="M171" s="4" t="s">
        <v>74</v>
      </c>
      <c r="N171" s="4" t="s">
        <v>275</v>
      </c>
      <c r="O171" s="4" t="s">
        <v>49</v>
      </c>
      <c r="P171" s="4">
        <v>1</v>
      </c>
      <c r="Q171" s="4">
        <v>1</v>
      </c>
      <c r="R171" s="4">
        <v>1</v>
      </c>
      <c r="S171" s="4">
        <v>1</v>
      </c>
      <c r="T171" s="4">
        <v>1</v>
      </c>
      <c r="U171" s="4">
        <v>1</v>
      </c>
      <c r="V171" s="4">
        <v>1</v>
      </c>
      <c r="W171" s="4">
        <v>1</v>
      </c>
      <c r="X171" s="4">
        <v>1</v>
      </c>
      <c r="Y171" s="4">
        <v>1</v>
      </c>
      <c r="Z171" s="4">
        <v>1</v>
      </c>
      <c r="AA171" s="4">
        <v>1</v>
      </c>
      <c r="AB171" s="4">
        <v>1</v>
      </c>
      <c r="AC171" s="4">
        <v>1</v>
      </c>
      <c r="AD171" s="4">
        <v>1</v>
      </c>
      <c r="AE171" s="4">
        <v>1</v>
      </c>
      <c r="AF171" s="4">
        <v>1</v>
      </c>
      <c r="AG171" s="4">
        <v>1</v>
      </c>
      <c r="AH171" s="4">
        <v>1</v>
      </c>
      <c r="AI171" s="4">
        <v>1</v>
      </c>
      <c r="AJ171" s="4">
        <v>1</v>
      </c>
      <c r="AK171" s="4">
        <v>1</v>
      </c>
      <c r="AL171" s="4">
        <v>1</v>
      </c>
      <c r="AM171" s="4">
        <v>1</v>
      </c>
      <c r="AN171" s="4" t="s">
        <v>140</v>
      </c>
      <c r="AO171" s="4">
        <v>1</v>
      </c>
      <c r="AP171" s="4">
        <v>1</v>
      </c>
      <c r="AQ171" s="4">
        <v>1</v>
      </c>
      <c r="AR171" s="4" t="s">
        <v>140</v>
      </c>
      <c r="AS171" s="4">
        <v>1</v>
      </c>
      <c r="AT171" s="4" t="s">
        <v>874</v>
      </c>
    </row>
    <row r="172" spans="1:46" x14ac:dyDescent="0.2">
      <c r="A172" s="4">
        <f t="shared" si="10"/>
        <v>9</v>
      </c>
      <c r="B172" s="4">
        <f t="shared" si="11"/>
        <v>3</v>
      </c>
      <c r="C172" s="13" t="str">
        <f>VLOOKUP(B172,Correspondance!$D$3:$E$14,2,FALSE)</f>
        <v>Mars</v>
      </c>
      <c r="D172" s="1" t="s">
        <v>792</v>
      </c>
      <c r="E172" s="2" t="s">
        <v>40</v>
      </c>
      <c r="F172" s="3" t="s">
        <v>61</v>
      </c>
      <c r="G172" s="4" t="s">
        <v>62</v>
      </c>
      <c r="H172" s="4" t="s">
        <v>63</v>
      </c>
      <c r="I172" s="5" t="s">
        <v>57</v>
      </c>
      <c r="J172" s="6">
        <v>100</v>
      </c>
      <c r="K172" s="4" t="s">
        <v>959</v>
      </c>
      <c r="L172" s="4" t="s">
        <v>46</v>
      </c>
      <c r="M172" s="4" t="s">
        <v>47</v>
      </c>
      <c r="N172" s="4" t="s">
        <v>77</v>
      </c>
      <c r="O172" s="4" t="s">
        <v>49</v>
      </c>
      <c r="P172" s="4">
        <v>1</v>
      </c>
      <c r="Q172" s="4">
        <v>1</v>
      </c>
      <c r="R172" s="4">
        <v>1</v>
      </c>
      <c r="S172" s="4">
        <v>1</v>
      </c>
      <c r="T172" s="4">
        <v>1</v>
      </c>
      <c r="U172" s="4">
        <v>1</v>
      </c>
      <c r="V172" s="4">
        <v>1</v>
      </c>
      <c r="W172" s="4">
        <v>1</v>
      </c>
      <c r="X172" s="4">
        <v>1</v>
      </c>
      <c r="Y172" s="4">
        <v>1</v>
      </c>
      <c r="Z172" s="4">
        <v>1</v>
      </c>
      <c r="AA172" s="4">
        <v>1</v>
      </c>
      <c r="AB172" s="4">
        <v>1</v>
      </c>
      <c r="AC172" s="4">
        <v>1</v>
      </c>
      <c r="AD172" s="4" t="s">
        <v>140</v>
      </c>
      <c r="AE172" s="4">
        <v>1</v>
      </c>
      <c r="AF172" s="4">
        <v>1</v>
      </c>
      <c r="AG172" s="4">
        <v>1</v>
      </c>
      <c r="AH172" s="4">
        <v>1</v>
      </c>
      <c r="AI172" s="4">
        <v>1</v>
      </c>
      <c r="AJ172" s="4" t="s">
        <v>140</v>
      </c>
      <c r="AK172" s="4">
        <v>1</v>
      </c>
      <c r="AL172" s="4">
        <v>1</v>
      </c>
      <c r="AM172" s="4">
        <v>1</v>
      </c>
      <c r="AN172" s="4" t="s">
        <v>140</v>
      </c>
      <c r="AO172" s="4">
        <v>1</v>
      </c>
      <c r="AP172" s="4">
        <v>1</v>
      </c>
      <c r="AQ172" s="4">
        <v>1</v>
      </c>
      <c r="AR172" s="4" t="s">
        <v>140</v>
      </c>
      <c r="AS172" s="4">
        <v>1</v>
      </c>
      <c r="AT172" s="4" t="s">
        <v>973</v>
      </c>
    </row>
    <row r="173" spans="1:46" x14ac:dyDescent="0.2">
      <c r="A173" s="4">
        <f t="shared" si="10"/>
        <v>9</v>
      </c>
      <c r="B173" s="4">
        <f t="shared" si="11"/>
        <v>3</v>
      </c>
      <c r="C173" s="13" t="str">
        <f>VLOOKUP(B173,Correspondance!$D$3:$E$14,2,FALSE)</f>
        <v>Mars</v>
      </c>
      <c r="D173" s="1" t="s">
        <v>792</v>
      </c>
      <c r="E173" s="2" t="s">
        <v>40</v>
      </c>
      <c r="F173" s="3" t="s">
        <v>61</v>
      </c>
      <c r="G173" s="4" t="s">
        <v>505</v>
      </c>
      <c r="H173" s="4" t="s">
        <v>506</v>
      </c>
      <c r="I173" s="5" t="s">
        <v>57</v>
      </c>
      <c r="J173" s="6">
        <v>82.5</v>
      </c>
      <c r="K173" s="4" t="s">
        <v>960</v>
      </c>
      <c r="L173" s="4" t="s">
        <v>46</v>
      </c>
      <c r="M173" s="4" t="s">
        <v>47</v>
      </c>
      <c r="N173" s="4" t="s">
        <v>77</v>
      </c>
      <c r="O173" s="4" t="s">
        <v>49</v>
      </c>
      <c r="P173" s="4">
        <v>1</v>
      </c>
      <c r="Q173" s="4">
        <v>0</v>
      </c>
      <c r="R173" s="4">
        <v>1</v>
      </c>
      <c r="S173" s="4">
        <v>1</v>
      </c>
      <c r="T173" s="4">
        <v>1</v>
      </c>
      <c r="U173" s="4">
        <v>0</v>
      </c>
      <c r="V173" s="4">
        <v>1</v>
      </c>
      <c r="W173" s="4">
        <v>1</v>
      </c>
      <c r="X173" s="4">
        <v>1</v>
      </c>
      <c r="Y173" s="4">
        <v>1</v>
      </c>
      <c r="Z173" s="4">
        <v>1</v>
      </c>
      <c r="AA173" s="4">
        <v>1</v>
      </c>
      <c r="AB173" s="4">
        <v>1</v>
      </c>
      <c r="AC173" s="4">
        <v>1</v>
      </c>
      <c r="AD173" s="4" t="s">
        <v>140</v>
      </c>
      <c r="AE173" s="4">
        <v>1</v>
      </c>
      <c r="AF173" s="4">
        <v>1</v>
      </c>
      <c r="AG173" s="4">
        <v>1</v>
      </c>
      <c r="AH173" s="4">
        <v>1</v>
      </c>
      <c r="AI173" s="4">
        <v>1</v>
      </c>
      <c r="AJ173" s="4" t="s">
        <v>140</v>
      </c>
      <c r="AK173" s="4">
        <v>1</v>
      </c>
      <c r="AL173" s="4">
        <v>0</v>
      </c>
      <c r="AM173" s="4">
        <v>1</v>
      </c>
      <c r="AN173" s="4" t="s">
        <v>140</v>
      </c>
      <c r="AO173" s="4">
        <v>1</v>
      </c>
      <c r="AP173" s="4">
        <v>1</v>
      </c>
      <c r="AQ173" s="4">
        <v>1</v>
      </c>
      <c r="AR173" s="4" t="s">
        <v>140</v>
      </c>
      <c r="AS173" s="4">
        <v>0</v>
      </c>
      <c r="AT173" s="4" t="s">
        <v>874</v>
      </c>
    </row>
    <row r="174" spans="1:46" x14ac:dyDescent="0.2">
      <c r="A174" s="4">
        <f t="shared" si="10"/>
        <v>10</v>
      </c>
      <c r="B174" s="4">
        <f t="shared" si="11"/>
        <v>3</v>
      </c>
      <c r="C174" s="13" t="str">
        <f>VLOOKUP(B174,Correspondance!$D$3:$E$14,2,FALSE)</f>
        <v>Mars</v>
      </c>
      <c r="D174" s="1" t="s">
        <v>875</v>
      </c>
      <c r="E174" s="2" t="s">
        <v>40</v>
      </c>
      <c r="F174" s="3" t="s">
        <v>41</v>
      </c>
      <c r="G174" s="4" t="s">
        <v>78</v>
      </c>
      <c r="H174" s="4" t="s">
        <v>79</v>
      </c>
      <c r="I174" s="5" t="s">
        <v>57</v>
      </c>
      <c r="J174" s="6">
        <v>85.45</v>
      </c>
      <c r="K174" s="4" t="s">
        <v>961</v>
      </c>
      <c r="L174" s="4" t="s">
        <v>114</v>
      </c>
      <c r="M174" s="4" t="s">
        <v>47</v>
      </c>
      <c r="N174" s="4" t="s">
        <v>77</v>
      </c>
      <c r="O174" s="4" t="s">
        <v>49</v>
      </c>
      <c r="P174" s="4">
        <v>1</v>
      </c>
      <c r="Q174" s="4">
        <v>0</v>
      </c>
      <c r="R174" s="4">
        <v>1</v>
      </c>
      <c r="S174" s="4">
        <v>1</v>
      </c>
      <c r="T174" s="4">
        <v>1</v>
      </c>
      <c r="U174" s="4">
        <v>0</v>
      </c>
      <c r="V174" s="4">
        <v>1</v>
      </c>
      <c r="W174" s="4">
        <v>1</v>
      </c>
      <c r="X174" s="4">
        <v>1</v>
      </c>
      <c r="Y174" s="4">
        <v>1</v>
      </c>
      <c r="Z174" s="4">
        <v>1</v>
      </c>
      <c r="AA174" s="4">
        <v>1</v>
      </c>
      <c r="AB174" s="4">
        <v>1</v>
      </c>
      <c r="AC174" s="4">
        <v>1</v>
      </c>
      <c r="AD174" s="4" t="s">
        <v>140</v>
      </c>
      <c r="AE174" s="4">
        <v>1</v>
      </c>
      <c r="AF174" s="4">
        <v>1</v>
      </c>
      <c r="AG174" s="4">
        <v>1</v>
      </c>
      <c r="AH174" s="4">
        <v>1</v>
      </c>
      <c r="AI174" s="4">
        <v>1</v>
      </c>
      <c r="AJ174" s="4" t="s">
        <v>140</v>
      </c>
      <c r="AK174" s="4">
        <v>0</v>
      </c>
      <c r="AL174" s="4">
        <v>1</v>
      </c>
      <c r="AM174" s="4">
        <v>1</v>
      </c>
      <c r="AN174" s="4" t="s">
        <v>140</v>
      </c>
      <c r="AO174" s="4">
        <v>0</v>
      </c>
      <c r="AP174" s="4">
        <v>1</v>
      </c>
      <c r="AQ174" s="4">
        <v>0</v>
      </c>
      <c r="AR174" s="4" t="s">
        <v>140</v>
      </c>
      <c r="AS174" s="4">
        <v>1</v>
      </c>
      <c r="AT174" s="4" t="s">
        <v>973</v>
      </c>
    </row>
    <row r="175" spans="1:46" x14ac:dyDescent="0.2">
      <c r="A175" s="4">
        <f t="shared" si="10"/>
        <v>10</v>
      </c>
      <c r="B175" s="4">
        <f t="shared" si="11"/>
        <v>3</v>
      </c>
      <c r="C175" s="13" t="str">
        <f>VLOOKUP(B175,Correspondance!$D$3:$E$14,2,FALSE)</f>
        <v>Mars</v>
      </c>
      <c r="D175" s="1" t="s">
        <v>875</v>
      </c>
      <c r="E175" s="2" t="s">
        <v>40</v>
      </c>
      <c r="F175" s="3" t="s">
        <v>41</v>
      </c>
      <c r="G175" s="4" t="s">
        <v>78</v>
      </c>
      <c r="H175" s="4" t="s">
        <v>79</v>
      </c>
      <c r="I175" s="5" t="s">
        <v>57</v>
      </c>
      <c r="J175" s="6">
        <v>96</v>
      </c>
      <c r="K175" s="4" t="s">
        <v>962</v>
      </c>
      <c r="L175" s="4" t="s">
        <v>114</v>
      </c>
      <c r="M175" s="4" t="s">
        <v>47</v>
      </c>
      <c r="N175" s="4"/>
      <c r="O175" s="4" t="s">
        <v>49</v>
      </c>
      <c r="P175" s="4">
        <v>1</v>
      </c>
      <c r="Q175" s="4">
        <v>1</v>
      </c>
      <c r="R175" s="4">
        <v>1</v>
      </c>
      <c r="S175" s="4">
        <v>1</v>
      </c>
      <c r="T175" s="4">
        <v>1</v>
      </c>
      <c r="U175" s="4">
        <v>1</v>
      </c>
      <c r="V175" s="4">
        <v>1</v>
      </c>
      <c r="W175" s="4">
        <v>1</v>
      </c>
      <c r="X175" s="4">
        <v>1</v>
      </c>
      <c r="Y175" s="4">
        <v>1</v>
      </c>
      <c r="Z175" s="4">
        <v>1</v>
      </c>
      <c r="AA175" s="4">
        <v>1</v>
      </c>
      <c r="AB175" s="4">
        <v>1</v>
      </c>
      <c r="AC175" s="4">
        <v>1</v>
      </c>
      <c r="AD175" s="4" t="s">
        <v>140</v>
      </c>
      <c r="AE175" s="4">
        <v>1</v>
      </c>
      <c r="AF175" s="4">
        <v>1</v>
      </c>
      <c r="AG175" s="4">
        <v>1</v>
      </c>
      <c r="AH175" s="4">
        <v>1</v>
      </c>
      <c r="AI175" s="4">
        <v>1</v>
      </c>
      <c r="AJ175" s="4">
        <v>1</v>
      </c>
      <c r="AK175" s="4">
        <v>0</v>
      </c>
      <c r="AL175" s="4">
        <v>1</v>
      </c>
      <c r="AM175" s="4">
        <v>1</v>
      </c>
      <c r="AN175" s="4" t="s">
        <v>140</v>
      </c>
      <c r="AO175" s="4">
        <v>1</v>
      </c>
      <c r="AP175" s="4">
        <v>1</v>
      </c>
      <c r="AQ175" s="4">
        <v>0</v>
      </c>
      <c r="AR175" s="4" t="s">
        <v>140</v>
      </c>
      <c r="AS175" s="4">
        <v>1</v>
      </c>
      <c r="AT175" s="4" t="s">
        <v>973</v>
      </c>
    </row>
    <row r="176" spans="1:46" x14ac:dyDescent="0.2">
      <c r="A176" s="4">
        <f t="shared" si="10"/>
        <v>10</v>
      </c>
      <c r="B176" s="4">
        <f t="shared" si="11"/>
        <v>3</v>
      </c>
      <c r="C176" s="13" t="str">
        <f>VLOOKUP(B176,Correspondance!$D$3:$E$14,2,FALSE)</f>
        <v>Mars</v>
      </c>
      <c r="D176" s="1" t="s">
        <v>875</v>
      </c>
      <c r="E176" s="2" t="s">
        <v>40</v>
      </c>
      <c r="F176" s="3" t="s">
        <v>52</v>
      </c>
      <c r="G176" s="4" t="s">
        <v>135</v>
      </c>
      <c r="H176" s="4" t="s">
        <v>136</v>
      </c>
      <c r="I176" s="5" t="s">
        <v>57</v>
      </c>
      <c r="J176" s="6">
        <v>85.45</v>
      </c>
      <c r="K176" s="4" t="s">
        <v>963</v>
      </c>
      <c r="L176" s="4" t="s">
        <v>114</v>
      </c>
      <c r="M176" s="4" t="s">
        <v>47</v>
      </c>
      <c r="N176" s="4" t="s">
        <v>548</v>
      </c>
      <c r="O176" s="4" t="s">
        <v>49</v>
      </c>
      <c r="P176" s="4">
        <v>1</v>
      </c>
      <c r="Q176" s="4">
        <v>0</v>
      </c>
      <c r="R176" s="4">
        <v>1</v>
      </c>
      <c r="S176" s="4">
        <v>1</v>
      </c>
      <c r="T176" s="4">
        <v>0</v>
      </c>
      <c r="U176" s="4">
        <v>1</v>
      </c>
      <c r="V176" s="4">
        <v>1</v>
      </c>
      <c r="W176" s="4">
        <v>1</v>
      </c>
      <c r="X176" s="4">
        <v>1</v>
      </c>
      <c r="Y176" s="4">
        <v>1</v>
      </c>
      <c r="Z176" s="4">
        <v>1</v>
      </c>
      <c r="AA176" s="4">
        <v>1</v>
      </c>
      <c r="AB176" s="4">
        <v>1</v>
      </c>
      <c r="AC176" s="4">
        <v>1</v>
      </c>
      <c r="AD176" s="4" t="s">
        <v>140</v>
      </c>
      <c r="AE176" s="4">
        <v>1</v>
      </c>
      <c r="AF176" s="4">
        <v>1</v>
      </c>
      <c r="AG176" s="4">
        <v>1</v>
      </c>
      <c r="AH176" s="4">
        <v>1</v>
      </c>
      <c r="AI176" s="4">
        <v>1</v>
      </c>
      <c r="AJ176" s="4" t="s">
        <v>140</v>
      </c>
      <c r="AK176" s="4">
        <v>1</v>
      </c>
      <c r="AL176" s="4">
        <v>1</v>
      </c>
      <c r="AM176" s="4">
        <v>1</v>
      </c>
      <c r="AN176" s="4" t="s">
        <v>140</v>
      </c>
      <c r="AO176" s="4">
        <v>0</v>
      </c>
      <c r="AP176" s="4">
        <v>1</v>
      </c>
      <c r="AQ176" s="4">
        <v>1</v>
      </c>
      <c r="AR176" s="4" t="s">
        <v>140</v>
      </c>
      <c r="AS176" s="4">
        <v>1</v>
      </c>
      <c r="AT176" s="4" t="s">
        <v>948</v>
      </c>
    </row>
    <row r="177" spans="1:46" x14ac:dyDescent="0.2">
      <c r="A177" s="4">
        <f t="shared" si="10"/>
        <v>10</v>
      </c>
      <c r="B177" s="4">
        <f t="shared" si="11"/>
        <v>3</v>
      </c>
      <c r="C177" s="13" t="str">
        <f>VLOOKUP(B177,Correspondance!$D$3:$E$14,2,FALSE)</f>
        <v>Mars</v>
      </c>
      <c r="D177" s="1" t="s">
        <v>875</v>
      </c>
      <c r="E177" s="2" t="s">
        <v>40</v>
      </c>
      <c r="F177" s="3" t="s">
        <v>52</v>
      </c>
      <c r="G177" s="4" t="s">
        <v>93</v>
      </c>
      <c r="H177" s="4" t="s">
        <v>94</v>
      </c>
      <c r="I177" s="5" t="s">
        <v>57</v>
      </c>
      <c r="J177" s="6">
        <v>100</v>
      </c>
      <c r="K177" s="4" t="s">
        <v>964</v>
      </c>
      <c r="L177" s="4" t="s">
        <v>114</v>
      </c>
      <c r="M177" s="4" t="s">
        <v>47</v>
      </c>
      <c r="N177" s="4" t="s">
        <v>77</v>
      </c>
      <c r="O177" s="4" t="s">
        <v>49</v>
      </c>
      <c r="P177" s="4">
        <v>1</v>
      </c>
      <c r="Q177" s="4">
        <v>1</v>
      </c>
      <c r="R177" s="4">
        <v>1</v>
      </c>
      <c r="S177" s="4">
        <v>1</v>
      </c>
      <c r="T177" s="4">
        <v>1</v>
      </c>
      <c r="U177" s="4">
        <v>1</v>
      </c>
      <c r="V177" s="4">
        <v>1</v>
      </c>
      <c r="W177" s="4">
        <v>1</v>
      </c>
      <c r="X177" s="4">
        <v>1</v>
      </c>
      <c r="Y177" s="4">
        <v>1</v>
      </c>
      <c r="Z177" s="4">
        <v>1</v>
      </c>
      <c r="AA177" s="4">
        <v>1</v>
      </c>
      <c r="AB177" s="4">
        <v>1</v>
      </c>
      <c r="AC177" s="4">
        <v>1</v>
      </c>
      <c r="AD177" s="4" t="s">
        <v>140</v>
      </c>
      <c r="AE177" s="4">
        <v>1</v>
      </c>
      <c r="AF177" s="4">
        <v>1</v>
      </c>
      <c r="AG177" s="4">
        <v>1</v>
      </c>
      <c r="AH177" s="4">
        <v>1</v>
      </c>
      <c r="AI177" s="4">
        <v>1</v>
      </c>
      <c r="AJ177" s="4">
        <v>1</v>
      </c>
      <c r="AK177" s="4">
        <v>1</v>
      </c>
      <c r="AL177" s="4">
        <v>1</v>
      </c>
      <c r="AM177" s="4">
        <v>1</v>
      </c>
      <c r="AN177" s="4" t="s">
        <v>140</v>
      </c>
      <c r="AO177" s="4">
        <v>1</v>
      </c>
      <c r="AP177" s="4">
        <v>1</v>
      </c>
      <c r="AQ177" s="4">
        <v>1</v>
      </c>
      <c r="AR177" s="4" t="s">
        <v>140</v>
      </c>
      <c r="AS177" s="4">
        <v>1</v>
      </c>
      <c r="AT177" s="4" t="s">
        <v>973</v>
      </c>
    </row>
    <row r="178" spans="1:46" x14ac:dyDescent="0.2">
      <c r="A178" s="4">
        <f t="shared" si="10"/>
        <v>10</v>
      </c>
      <c r="B178" s="4">
        <f t="shared" si="11"/>
        <v>3</v>
      </c>
      <c r="C178" s="13" t="str">
        <f>VLOOKUP(B178,Correspondance!$D$3:$E$14,2,FALSE)</f>
        <v>Mars</v>
      </c>
      <c r="D178" s="1" t="s">
        <v>875</v>
      </c>
      <c r="E178" s="2" t="s">
        <v>40</v>
      </c>
      <c r="F178" s="3" t="s">
        <v>52</v>
      </c>
      <c r="G178" s="4" t="s">
        <v>120</v>
      </c>
      <c r="H178" s="4" t="s">
        <v>121</v>
      </c>
      <c r="I178" s="5" t="s">
        <v>57</v>
      </c>
      <c r="J178" s="6">
        <v>89.2</v>
      </c>
      <c r="K178" s="4" t="s">
        <v>965</v>
      </c>
      <c r="L178" s="4" t="s">
        <v>114</v>
      </c>
      <c r="M178" s="4" t="s">
        <v>47</v>
      </c>
      <c r="N178" s="4" t="s">
        <v>77</v>
      </c>
      <c r="O178" s="4" t="s">
        <v>49</v>
      </c>
      <c r="P178" s="4">
        <v>1</v>
      </c>
      <c r="Q178" s="4">
        <v>1</v>
      </c>
      <c r="R178" s="4">
        <v>1</v>
      </c>
      <c r="S178" s="4">
        <v>1</v>
      </c>
      <c r="T178" s="4">
        <v>1</v>
      </c>
      <c r="U178" s="4">
        <v>1</v>
      </c>
      <c r="V178" s="4">
        <v>1</v>
      </c>
      <c r="W178" s="4">
        <v>1</v>
      </c>
      <c r="X178" s="4">
        <v>1</v>
      </c>
      <c r="Y178" s="4">
        <v>1</v>
      </c>
      <c r="Z178" s="4">
        <v>1</v>
      </c>
      <c r="AA178" s="4">
        <v>1</v>
      </c>
      <c r="AB178" s="4">
        <v>1</v>
      </c>
      <c r="AC178" s="4">
        <v>1</v>
      </c>
      <c r="AD178" s="4" t="s">
        <v>140</v>
      </c>
      <c r="AE178" s="4">
        <v>1</v>
      </c>
      <c r="AF178" s="4">
        <v>1</v>
      </c>
      <c r="AG178" s="4">
        <v>1</v>
      </c>
      <c r="AH178" s="4">
        <v>0</v>
      </c>
      <c r="AI178" s="4">
        <v>1</v>
      </c>
      <c r="AJ178" s="4" t="s">
        <v>140</v>
      </c>
      <c r="AK178" s="4">
        <v>1</v>
      </c>
      <c r="AL178" s="4">
        <v>1</v>
      </c>
      <c r="AM178" s="4">
        <v>1</v>
      </c>
      <c r="AN178" s="4" t="s">
        <v>140</v>
      </c>
      <c r="AO178" s="4">
        <v>1</v>
      </c>
      <c r="AP178" s="4">
        <v>1</v>
      </c>
      <c r="AQ178" s="4">
        <v>1</v>
      </c>
      <c r="AR178" s="4" t="s">
        <v>140</v>
      </c>
      <c r="AS178" s="4">
        <v>0</v>
      </c>
      <c r="AT178" s="4" t="s">
        <v>973</v>
      </c>
    </row>
    <row r="179" spans="1:46" x14ac:dyDescent="0.2">
      <c r="A179" s="4">
        <f t="shared" si="10"/>
        <v>10</v>
      </c>
      <c r="B179" s="4">
        <f t="shared" si="11"/>
        <v>3</v>
      </c>
      <c r="C179" s="13" t="str">
        <f>VLOOKUP(B179,Correspondance!$D$3:$E$14,2,FALSE)</f>
        <v>Mars</v>
      </c>
      <c r="D179" s="1" t="s">
        <v>875</v>
      </c>
      <c r="E179" s="2" t="s">
        <v>40</v>
      </c>
      <c r="F179" s="3" t="s">
        <v>61</v>
      </c>
      <c r="G179" s="4" t="s">
        <v>101</v>
      </c>
      <c r="H179" s="4" t="s">
        <v>102</v>
      </c>
      <c r="I179" s="5" t="s">
        <v>57</v>
      </c>
      <c r="J179" s="6">
        <v>91</v>
      </c>
      <c r="K179" s="4" t="s">
        <v>966</v>
      </c>
      <c r="L179" s="4" t="s">
        <v>114</v>
      </c>
      <c r="M179" s="4" t="s">
        <v>47</v>
      </c>
      <c r="N179" s="4" t="s">
        <v>77</v>
      </c>
      <c r="O179" s="4" t="s">
        <v>49</v>
      </c>
      <c r="P179" s="4">
        <v>1</v>
      </c>
      <c r="Q179" s="4">
        <v>1</v>
      </c>
      <c r="R179" s="4">
        <v>1</v>
      </c>
      <c r="S179" s="4">
        <v>1</v>
      </c>
      <c r="T179" s="4">
        <v>1</v>
      </c>
      <c r="U179" s="4">
        <v>1</v>
      </c>
      <c r="V179" s="4">
        <v>1</v>
      </c>
      <c r="W179" s="4">
        <v>1</v>
      </c>
      <c r="X179" s="4">
        <v>1</v>
      </c>
      <c r="Y179" s="4">
        <v>1</v>
      </c>
      <c r="Z179" s="4">
        <v>1</v>
      </c>
      <c r="AA179" s="4">
        <v>1</v>
      </c>
      <c r="AB179" s="4">
        <v>1</v>
      </c>
      <c r="AC179" s="4">
        <v>1</v>
      </c>
      <c r="AD179" s="4" t="s">
        <v>140</v>
      </c>
      <c r="AE179" s="4">
        <v>1</v>
      </c>
      <c r="AF179" s="4">
        <v>1</v>
      </c>
      <c r="AG179" s="4">
        <v>1</v>
      </c>
      <c r="AH179" s="4">
        <v>1</v>
      </c>
      <c r="AI179" s="4">
        <v>1</v>
      </c>
      <c r="AJ179" s="4" t="s">
        <v>140</v>
      </c>
      <c r="AK179" s="4">
        <v>1</v>
      </c>
      <c r="AL179" s="4">
        <v>1</v>
      </c>
      <c r="AM179" s="4">
        <v>1</v>
      </c>
      <c r="AN179" s="4" t="s">
        <v>140</v>
      </c>
      <c r="AO179" s="4">
        <v>1</v>
      </c>
      <c r="AP179" s="4">
        <v>1</v>
      </c>
      <c r="AQ179" s="4">
        <v>0</v>
      </c>
      <c r="AR179" s="4" t="s">
        <v>140</v>
      </c>
      <c r="AS179" s="4">
        <v>0</v>
      </c>
      <c r="AT179" s="4" t="s">
        <v>973</v>
      </c>
    </row>
    <row r="180" spans="1:46" x14ac:dyDescent="0.2">
      <c r="A180" s="4">
        <f t="shared" si="10"/>
        <v>10</v>
      </c>
      <c r="B180" s="4">
        <f t="shared" si="11"/>
        <v>3</v>
      </c>
      <c r="C180" s="13" t="str">
        <f>VLOOKUP(B180,Correspondance!$D$3:$E$14,2,FALSE)</f>
        <v>Mars</v>
      </c>
      <c r="D180" s="1" t="s">
        <v>875</v>
      </c>
      <c r="E180" s="2" t="s">
        <v>40</v>
      </c>
      <c r="F180" s="3" t="s">
        <v>61</v>
      </c>
      <c r="G180" s="4" t="s">
        <v>130</v>
      </c>
      <c r="H180" s="4" t="s">
        <v>131</v>
      </c>
      <c r="I180" s="5" t="s">
        <v>57</v>
      </c>
      <c r="J180" s="6">
        <v>100</v>
      </c>
      <c r="K180" s="4" t="s">
        <v>967</v>
      </c>
      <c r="L180" s="4" t="s">
        <v>114</v>
      </c>
      <c r="M180" s="4" t="s">
        <v>47</v>
      </c>
      <c r="N180" s="4" t="s">
        <v>502</v>
      </c>
      <c r="O180" s="4" t="s">
        <v>49</v>
      </c>
      <c r="P180" s="4">
        <v>1</v>
      </c>
      <c r="Q180" s="4">
        <v>1</v>
      </c>
      <c r="R180" s="4">
        <v>1</v>
      </c>
      <c r="S180" s="4">
        <v>1</v>
      </c>
      <c r="T180" s="4">
        <v>1</v>
      </c>
      <c r="U180" s="4">
        <v>1</v>
      </c>
      <c r="V180" s="4">
        <v>1</v>
      </c>
      <c r="W180" s="4">
        <v>1</v>
      </c>
      <c r="X180" s="4">
        <v>1</v>
      </c>
      <c r="Y180" s="4">
        <v>1</v>
      </c>
      <c r="Z180" s="4">
        <v>1</v>
      </c>
      <c r="AA180" s="4">
        <v>1</v>
      </c>
      <c r="AB180" s="4">
        <v>1</v>
      </c>
      <c r="AC180" s="4">
        <v>1</v>
      </c>
      <c r="AD180" s="4" t="s">
        <v>140</v>
      </c>
      <c r="AE180" s="4">
        <v>1</v>
      </c>
      <c r="AF180" s="4">
        <v>1</v>
      </c>
      <c r="AG180" s="4">
        <v>1</v>
      </c>
      <c r="AH180" s="4">
        <v>1</v>
      </c>
      <c r="AI180" s="4">
        <v>1</v>
      </c>
      <c r="AJ180" s="4" t="s">
        <v>140</v>
      </c>
      <c r="AK180" s="4">
        <v>1</v>
      </c>
      <c r="AL180" s="4">
        <v>1</v>
      </c>
      <c r="AM180" s="4">
        <v>1</v>
      </c>
      <c r="AN180" s="4" t="s">
        <v>140</v>
      </c>
      <c r="AO180" s="4">
        <v>1</v>
      </c>
      <c r="AP180" s="4">
        <v>1</v>
      </c>
      <c r="AQ180" s="4">
        <v>1</v>
      </c>
      <c r="AR180" s="4" t="s">
        <v>140</v>
      </c>
      <c r="AS180" s="4">
        <v>1</v>
      </c>
      <c r="AT180" s="4" t="s">
        <v>973</v>
      </c>
    </row>
    <row r="181" spans="1:46" x14ac:dyDescent="0.2">
      <c r="A181" s="4">
        <f t="shared" si="10"/>
        <v>10</v>
      </c>
      <c r="B181" s="4">
        <f t="shared" si="11"/>
        <v>3</v>
      </c>
      <c r="C181" s="13" t="str">
        <f>VLOOKUP(B181,Correspondance!$D$3:$E$14,2,FALSE)</f>
        <v>Mars</v>
      </c>
      <c r="D181" s="1" t="s">
        <v>875</v>
      </c>
      <c r="E181" s="2" t="s">
        <v>40</v>
      </c>
      <c r="F181" s="3" t="s">
        <v>61</v>
      </c>
      <c r="G181" s="4" t="s">
        <v>62</v>
      </c>
      <c r="H181" s="4" t="s">
        <v>63</v>
      </c>
      <c r="I181" s="5" t="s">
        <v>57</v>
      </c>
      <c r="J181" s="6">
        <v>97</v>
      </c>
      <c r="K181" s="4" t="s">
        <v>968</v>
      </c>
      <c r="L181" s="4" t="s">
        <v>114</v>
      </c>
      <c r="M181" s="4" t="s">
        <v>47</v>
      </c>
      <c r="N181" s="4" t="s">
        <v>77</v>
      </c>
      <c r="O181" s="4" t="s">
        <v>49</v>
      </c>
      <c r="P181" s="4">
        <v>1</v>
      </c>
      <c r="Q181" s="4">
        <v>1</v>
      </c>
      <c r="R181" s="4">
        <v>1</v>
      </c>
      <c r="S181" s="4">
        <v>1</v>
      </c>
      <c r="T181" s="4">
        <v>1</v>
      </c>
      <c r="U181" s="4">
        <v>0</v>
      </c>
      <c r="V181" s="4">
        <v>1</v>
      </c>
      <c r="W181" s="4">
        <v>1</v>
      </c>
      <c r="X181" s="4">
        <v>1</v>
      </c>
      <c r="Y181" s="4">
        <v>1</v>
      </c>
      <c r="Z181" s="4">
        <v>1</v>
      </c>
      <c r="AA181" s="4">
        <v>1</v>
      </c>
      <c r="AB181" s="4">
        <v>1</v>
      </c>
      <c r="AC181" s="4">
        <v>1</v>
      </c>
      <c r="AD181" s="4" t="s">
        <v>140</v>
      </c>
      <c r="AE181" s="4">
        <v>1</v>
      </c>
      <c r="AF181" s="4">
        <v>1</v>
      </c>
      <c r="AG181" s="4">
        <v>1</v>
      </c>
      <c r="AH181" s="4">
        <v>1</v>
      </c>
      <c r="AI181" s="4">
        <v>1</v>
      </c>
      <c r="AJ181" s="4">
        <v>1</v>
      </c>
      <c r="AK181" s="4">
        <v>1</v>
      </c>
      <c r="AL181" s="4">
        <v>1</v>
      </c>
      <c r="AM181" s="4">
        <v>1</v>
      </c>
      <c r="AN181" s="4" t="s">
        <v>140</v>
      </c>
      <c r="AO181" s="4">
        <v>1</v>
      </c>
      <c r="AP181" s="4">
        <v>1</v>
      </c>
      <c r="AQ181" s="4">
        <v>1</v>
      </c>
      <c r="AR181" s="4" t="s">
        <v>140</v>
      </c>
      <c r="AS181" s="4">
        <v>1</v>
      </c>
      <c r="AT181" s="4" t="s">
        <v>973</v>
      </c>
    </row>
    <row r="182" spans="1:46" x14ac:dyDescent="0.2">
      <c r="A182" s="4">
        <f t="shared" si="10"/>
        <v>10</v>
      </c>
      <c r="B182" s="4">
        <f t="shared" si="11"/>
        <v>3</v>
      </c>
      <c r="C182" s="13" t="str">
        <f>VLOOKUP(B182,Correspondance!$D$3:$E$14,2,FALSE)</f>
        <v>Mars</v>
      </c>
      <c r="D182" s="1" t="s">
        <v>875</v>
      </c>
      <c r="E182" s="2" t="s">
        <v>40</v>
      </c>
      <c r="F182" s="3" t="s">
        <v>61</v>
      </c>
      <c r="G182" s="4" t="s">
        <v>342</v>
      </c>
      <c r="H182" s="4" t="s">
        <v>343</v>
      </c>
      <c r="I182" s="5" t="s">
        <v>57</v>
      </c>
      <c r="J182" s="6">
        <v>94</v>
      </c>
      <c r="K182" s="4" t="s">
        <v>879</v>
      </c>
      <c r="L182" s="4" t="s">
        <v>46</v>
      </c>
      <c r="M182" s="4" t="s">
        <v>175</v>
      </c>
      <c r="N182" s="4" t="s">
        <v>275</v>
      </c>
      <c r="O182" s="4" t="s">
        <v>49</v>
      </c>
      <c r="P182" s="4">
        <v>1</v>
      </c>
      <c r="Q182" s="4">
        <v>1</v>
      </c>
      <c r="R182" s="4">
        <v>1</v>
      </c>
      <c r="S182" s="4">
        <v>0</v>
      </c>
      <c r="T182" s="4">
        <v>1</v>
      </c>
      <c r="U182" s="4">
        <v>1</v>
      </c>
      <c r="V182" s="4">
        <v>1</v>
      </c>
      <c r="W182" s="4">
        <v>1</v>
      </c>
      <c r="X182" s="4">
        <v>1</v>
      </c>
      <c r="Y182" s="4">
        <v>1</v>
      </c>
      <c r="Z182" s="4">
        <v>1</v>
      </c>
      <c r="AA182" s="4">
        <v>1</v>
      </c>
      <c r="AB182" s="4">
        <v>1</v>
      </c>
      <c r="AC182" s="4">
        <v>1</v>
      </c>
      <c r="AD182" s="4" t="s">
        <v>140</v>
      </c>
      <c r="AE182" s="4">
        <v>1</v>
      </c>
      <c r="AF182" s="4">
        <v>1</v>
      </c>
      <c r="AG182" s="4">
        <v>1</v>
      </c>
      <c r="AH182" s="4">
        <v>1</v>
      </c>
      <c r="AI182" s="4">
        <v>1</v>
      </c>
      <c r="AJ182" s="4" t="s">
        <v>140</v>
      </c>
      <c r="AK182" s="4">
        <v>1</v>
      </c>
      <c r="AL182" s="4">
        <v>1</v>
      </c>
      <c r="AM182" s="4">
        <v>1</v>
      </c>
      <c r="AN182" s="4" t="s">
        <v>140</v>
      </c>
      <c r="AO182" s="4">
        <v>1</v>
      </c>
      <c r="AP182" s="4">
        <v>1</v>
      </c>
      <c r="AQ182" s="4">
        <v>1</v>
      </c>
      <c r="AR182" s="4" t="s">
        <v>140</v>
      </c>
      <c r="AS182" s="4">
        <v>1</v>
      </c>
      <c r="AT182" s="4" t="s">
        <v>917</v>
      </c>
    </row>
    <row r="183" spans="1:46" x14ac:dyDescent="0.2">
      <c r="A183" s="4">
        <f t="shared" si="10"/>
        <v>10</v>
      </c>
      <c r="B183" s="4">
        <f t="shared" si="11"/>
        <v>3</v>
      </c>
      <c r="C183" s="13" t="str">
        <f>VLOOKUP(B183,Correspondance!$D$3:$E$14,2,FALSE)</f>
        <v>Mars</v>
      </c>
      <c r="D183" s="1" t="s">
        <v>875</v>
      </c>
      <c r="E183" s="2" t="s">
        <v>40</v>
      </c>
      <c r="F183" s="3" t="s">
        <v>61</v>
      </c>
      <c r="G183" s="4" t="s">
        <v>342</v>
      </c>
      <c r="H183" s="4" t="s">
        <v>343</v>
      </c>
      <c r="I183" s="5" t="s">
        <v>57</v>
      </c>
      <c r="J183" s="6">
        <v>100</v>
      </c>
      <c r="K183" s="4" t="s">
        <v>969</v>
      </c>
      <c r="L183" s="4" t="s">
        <v>114</v>
      </c>
      <c r="M183" s="4" t="s">
        <v>47</v>
      </c>
      <c r="N183" s="4" t="s">
        <v>77</v>
      </c>
      <c r="O183" s="4" t="s">
        <v>49</v>
      </c>
      <c r="P183" s="4">
        <v>1</v>
      </c>
      <c r="Q183" s="4">
        <v>1</v>
      </c>
      <c r="R183" s="4">
        <v>1</v>
      </c>
      <c r="S183" s="4">
        <v>1</v>
      </c>
      <c r="T183" s="4">
        <v>1</v>
      </c>
      <c r="U183" s="4">
        <v>1</v>
      </c>
      <c r="V183" s="4">
        <v>1</v>
      </c>
      <c r="W183" s="4">
        <v>1</v>
      </c>
      <c r="X183" s="4">
        <v>1</v>
      </c>
      <c r="Y183" s="4">
        <v>1</v>
      </c>
      <c r="Z183" s="4">
        <v>1</v>
      </c>
      <c r="AA183" s="4">
        <v>1</v>
      </c>
      <c r="AB183" s="4">
        <v>1</v>
      </c>
      <c r="AC183" s="4">
        <v>1</v>
      </c>
      <c r="AD183" s="4" t="s">
        <v>140</v>
      </c>
      <c r="AE183" s="4">
        <v>1</v>
      </c>
      <c r="AF183" s="4">
        <v>1</v>
      </c>
      <c r="AG183" s="4">
        <v>1</v>
      </c>
      <c r="AH183" s="4">
        <v>1</v>
      </c>
      <c r="AI183" s="4">
        <v>1</v>
      </c>
      <c r="AJ183" s="4">
        <v>1</v>
      </c>
      <c r="AK183" s="4">
        <v>1</v>
      </c>
      <c r="AL183" s="4">
        <v>1</v>
      </c>
      <c r="AM183" s="4">
        <v>1</v>
      </c>
      <c r="AN183" s="4" t="s">
        <v>140</v>
      </c>
      <c r="AO183" s="4">
        <v>1</v>
      </c>
      <c r="AP183" s="4">
        <v>1</v>
      </c>
      <c r="AQ183" s="4">
        <v>1</v>
      </c>
      <c r="AR183" s="4" t="s">
        <v>140</v>
      </c>
      <c r="AS183" s="4">
        <v>1</v>
      </c>
      <c r="AT183" s="4" t="s">
        <v>973</v>
      </c>
    </row>
    <row r="184" spans="1:46" x14ac:dyDescent="0.2">
      <c r="A184" s="4">
        <f t="shared" si="10"/>
        <v>10</v>
      </c>
      <c r="B184" s="4">
        <f t="shared" si="11"/>
        <v>3</v>
      </c>
      <c r="C184" s="13" t="str">
        <f>VLOOKUP(B184,Correspondance!$D$3:$E$14,2,FALSE)</f>
        <v>Mars</v>
      </c>
      <c r="D184" s="1" t="s">
        <v>875</v>
      </c>
      <c r="E184" s="2" t="s">
        <v>40</v>
      </c>
      <c r="F184" s="3" t="s">
        <v>61</v>
      </c>
      <c r="G184" s="4" t="s">
        <v>68</v>
      </c>
      <c r="H184" s="4" t="s">
        <v>69</v>
      </c>
      <c r="I184" s="5" t="s">
        <v>61</v>
      </c>
      <c r="J184" s="6">
        <v>96.2</v>
      </c>
      <c r="K184" s="4" t="s">
        <v>970</v>
      </c>
      <c r="L184" s="4" t="s">
        <v>114</v>
      </c>
      <c r="M184" s="4" t="s">
        <v>47</v>
      </c>
      <c r="N184" s="4" t="s">
        <v>77</v>
      </c>
      <c r="O184" s="4" t="s">
        <v>49</v>
      </c>
      <c r="P184" s="4">
        <v>0</v>
      </c>
      <c r="Q184" s="4">
        <v>1</v>
      </c>
      <c r="R184" s="4">
        <v>1</v>
      </c>
      <c r="S184" s="4">
        <v>1</v>
      </c>
      <c r="T184" s="4">
        <v>1</v>
      </c>
      <c r="U184" s="4">
        <v>1</v>
      </c>
      <c r="V184" s="4">
        <v>1</v>
      </c>
      <c r="W184" s="4">
        <v>1</v>
      </c>
      <c r="X184" s="4">
        <v>1</v>
      </c>
      <c r="Y184" s="4">
        <v>1</v>
      </c>
      <c r="Z184" s="4">
        <v>1</v>
      </c>
      <c r="AA184" s="4">
        <v>1</v>
      </c>
      <c r="AB184" s="4">
        <v>1</v>
      </c>
      <c r="AC184" s="4">
        <v>1</v>
      </c>
      <c r="AD184" s="4" t="s">
        <v>140</v>
      </c>
      <c r="AE184" s="4">
        <v>1</v>
      </c>
      <c r="AF184" s="4">
        <v>1</v>
      </c>
      <c r="AG184" s="4">
        <v>1</v>
      </c>
      <c r="AH184" s="4">
        <v>1</v>
      </c>
      <c r="AI184" s="4">
        <v>1</v>
      </c>
      <c r="AJ184" s="4" t="s">
        <v>140</v>
      </c>
      <c r="AK184" s="4">
        <v>1</v>
      </c>
      <c r="AL184" s="4">
        <v>1</v>
      </c>
      <c r="AM184" s="4">
        <v>1</v>
      </c>
      <c r="AN184" s="4" t="s">
        <v>140</v>
      </c>
      <c r="AO184" s="4">
        <v>1</v>
      </c>
      <c r="AP184" s="4">
        <v>1</v>
      </c>
      <c r="AQ184" s="4">
        <v>1</v>
      </c>
      <c r="AR184" s="4" t="s">
        <v>140</v>
      </c>
      <c r="AS184" s="4">
        <v>1</v>
      </c>
      <c r="AT184" s="4" t="s">
        <v>973</v>
      </c>
    </row>
    <row r="185" spans="1:46" x14ac:dyDescent="0.2">
      <c r="A185" s="4">
        <f t="shared" si="10"/>
        <v>10</v>
      </c>
      <c r="B185" s="4">
        <f t="shared" si="11"/>
        <v>3</v>
      </c>
      <c r="C185" s="13" t="str">
        <f>VLOOKUP(B185,Correspondance!$D$3:$E$14,2,FALSE)</f>
        <v>Mars</v>
      </c>
      <c r="D185" s="1" t="s">
        <v>875</v>
      </c>
      <c r="E185" s="2" t="s">
        <v>40</v>
      </c>
      <c r="F185" s="3" t="s">
        <v>61</v>
      </c>
      <c r="G185" s="4" t="s">
        <v>505</v>
      </c>
      <c r="H185" s="4" t="s">
        <v>506</v>
      </c>
      <c r="I185" s="5" t="s">
        <v>61</v>
      </c>
      <c r="J185" s="6">
        <v>100</v>
      </c>
      <c r="K185" s="4" t="s">
        <v>971</v>
      </c>
      <c r="L185" s="4" t="s">
        <v>114</v>
      </c>
      <c r="M185" s="4" t="s">
        <v>99</v>
      </c>
      <c r="N185" s="4" t="s">
        <v>972</v>
      </c>
      <c r="O185" s="4" t="s">
        <v>49</v>
      </c>
      <c r="P185" s="4">
        <v>1</v>
      </c>
      <c r="Q185" s="4">
        <v>1</v>
      </c>
      <c r="R185" s="4">
        <v>1</v>
      </c>
      <c r="S185" s="4">
        <v>1</v>
      </c>
      <c r="T185" s="4">
        <v>1</v>
      </c>
      <c r="U185" s="4">
        <v>1</v>
      </c>
      <c r="V185" s="4">
        <v>1</v>
      </c>
      <c r="W185" s="4">
        <v>1</v>
      </c>
      <c r="X185" s="4">
        <v>1</v>
      </c>
      <c r="Y185" s="4">
        <v>1</v>
      </c>
      <c r="Z185" s="4">
        <v>1</v>
      </c>
      <c r="AA185" s="4">
        <v>1</v>
      </c>
      <c r="AB185" s="4">
        <v>1</v>
      </c>
      <c r="AC185" s="4">
        <v>1</v>
      </c>
      <c r="AD185" s="4" t="s">
        <v>140</v>
      </c>
      <c r="AE185" s="4">
        <v>1</v>
      </c>
      <c r="AF185" s="4">
        <v>1</v>
      </c>
      <c r="AG185" s="4">
        <v>1</v>
      </c>
      <c r="AH185" s="4">
        <v>1</v>
      </c>
      <c r="AI185" s="4">
        <v>1</v>
      </c>
      <c r="AJ185" s="4" t="s">
        <v>140</v>
      </c>
      <c r="AK185" s="4">
        <v>1</v>
      </c>
      <c r="AL185" s="4">
        <v>1</v>
      </c>
      <c r="AM185" s="4">
        <v>1</v>
      </c>
      <c r="AN185" s="4" t="s">
        <v>140</v>
      </c>
      <c r="AO185" s="4">
        <v>1</v>
      </c>
      <c r="AP185" s="4">
        <v>1</v>
      </c>
      <c r="AQ185" s="4">
        <v>1</v>
      </c>
      <c r="AR185" s="4">
        <v>1</v>
      </c>
      <c r="AS185" s="4">
        <v>1</v>
      </c>
      <c r="AT185" s="4"/>
    </row>
    <row r="186" spans="1:46" x14ac:dyDescent="0.2">
      <c r="A186" s="4">
        <f t="shared" si="10"/>
        <v>10</v>
      </c>
      <c r="B186" s="4">
        <f t="shared" si="11"/>
        <v>3</v>
      </c>
      <c r="C186" s="13" t="str">
        <f>VLOOKUP(B186,Correspondance!$D$3:$E$14,2,FALSE)</f>
        <v>Mars</v>
      </c>
      <c r="D186" s="1" t="s">
        <v>973</v>
      </c>
      <c r="E186" s="2" t="s">
        <v>40</v>
      </c>
      <c r="F186" s="3" t="s">
        <v>41</v>
      </c>
      <c r="G186" s="4" t="s">
        <v>42</v>
      </c>
      <c r="H186" s="4" t="s">
        <v>43</v>
      </c>
      <c r="I186" s="5" t="s">
        <v>57</v>
      </c>
      <c r="J186" s="6">
        <v>96.25</v>
      </c>
      <c r="K186" s="4" t="s">
        <v>974</v>
      </c>
      <c r="L186" s="4" t="s">
        <v>46</v>
      </c>
      <c r="M186" s="4" t="s">
        <v>175</v>
      </c>
      <c r="N186" s="4" t="s">
        <v>975</v>
      </c>
      <c r="O186" s="4" t="s">
        <v>49</v>
      </c>
      <c r="P186" s="4">
        <v>1</v>
      </c>
      <c r="Q186" s="4">
        <v>0</v>
      </c>
      <c r="R186" s="4">
        <v>1</v>
      </c>
      <c r="S186" s="4">
        <v>1</v>
      </c>
      <c r="T186" s="4">
        <v>1</v>
      </c>
      <c r="U186" s="4">
        <v>1</v>
      </c>
      <c r="V186" s="4">
        <v>1</v>
      </c>
      <c r="W186" s="4">
        <v>1</v>
      </c>
      <c r="X186" s="4">
        <v>1</v>
      </c>
      <c r="Y186" s="4">
        <v>1</v>
      </c>
      <c r="Z186" s="4">
        <v>1</v>
      </c>
      <c r="AA186" s="4">
        <v>1</v>
      </c>
      <c r="AB186" s="4">
        <v>1</v>
      </c>
      <c r="AC186" s="4">
        <v>1</v>
      </c>
      <c r="AD186" s="4" t="s">
        <v>140</v>
      </c>
      <c r="AE186" s="4">
        <v>1</v>
      </c>
      <c r="AF186" s="4">
        <v>1</v>
      </c>
      <c r="AG186" s="4">
        <v>1</v>
      </c>
      <c r="AH186" s="4">
        <v>1</v>
      </c>
      <c r="AI186" s="4">
        <v>1</v>
      </c>
      <c r="AJ186" s="4" t="s">
        <v>140</v>
      </c>
      <c r="AK186" s="4">
        <v>1</v>
      </c>
      <c r="AL186" s="4">
        <v>1</v>
      </c>
      <c r="AM186" s="4">
        <v>1</v>
      </c>
      <c r="AN186" s="4" t="s">
        <v>140</v>
      </c>
      <c r="AO186" s="4">
        <v>1</v>
      </c>
      <c r="AP186" s="4">
        <v>1</v>
      </c>
      <c r="AQ186" s="4">
        <v>1</v>
      </c>
      <c r="AR186" s="4" t="s">
        <v>140</v>
      </c>
      <c r="AS186" s="4">
        <v>1</v>
      </c>
      <c r="AT186" s="4" t="s">
        <v>797</v>
      </c>
    </row>
    <row r="187" spans="1:46" x14ac:dyDescent="0.2">
      <c r="A187" s="4">
        <f t="shared" si="10"/>
        <v>10</v>
      </c>
      <c r="B187" s="4">
        <f t="shared" si="11"/>
        <v>3</v>
      </c>
      <c r="C187" s="13" t="str">
        <f>VLOOKUP(B187,Correspondance!$D$3:$E$14,2,FALSE)</f>
        <v>Mars</v>
      </c>
      <c r="D187" s="1" t="s">
        <v>973</v>
      </c>
      <c r="E187" s="2" t="s">
        <v>40</v>
      </c>
      <c r="F187" s="3" t="s">
        <v>41</v>
      </c>
      <c r="G187" s="4" t="s">
        <v>42</v>
      </c>
      <c r="H187" s="4" t="s">
        <v>43</v>
      </c>
      <c r="I187" s="5" t="s">
        <v>57</v>
      </c>
      <c r="J187" s="6">
        <v>100</v>
      </c>
      <c r="K187" s="4" t="s">
        <v>976</v>
      </c>
      <c r="L187" s="4" t="s">
        <v>46</v>
      </c>
      <c r="M187" s="4" t="s">
        <v>175</v>
      </c>
      <c r="N187" s="4" t="s">
        <v>514</v>
      </c>
      <c r="O187" s="4" t="s">
        <v>49</v>
      </c>
      <c r="P187" s="4">
        <v>1</v>
      </c>
      <c r="Q187" s="4">
        <v>1</v>
      </c>
      <c r="R187" s="4">
        <v>1</v>
      </c>
      <c r="S187" s="4">
        <v>1</v>
      </c>
      <c r="T187" s="4">
        <v>1</v>
      </c>
      <c r="U187" s="4">
        <v>1</v>
      </c>
      <c r="V187" s="4">
        <v>1</v>
      </c>
      <c r="W187" s="4">
        <v>1</v>
      </c>
      <c r="X187" s="4">
        <v>1</v>
      </c>
      <c r="Y187" s="4">
        <v>1</v>
      </c>
      <c r="Z187" s="4">
        <v>1</v>
      </c>
      <c r="AA187" s="4">
        <v>1</v>
      </c>
      <c r="AB187" s="4">
        <v>1</v>
      </c>
      <c r="AC187" s="4">
        <v>1</v>
      </c>
      <c r="AD187" s="4" t="s">
        <v>140</v>
      </c>
      <c r="AE187" s="4">
        <v>1</v>
      </c>
      <c r="AF187" s="4">
        <v>1</v>
      </c>
      <c r="AG187" s="4">
        <v>1</v>
      </c>
      <c r="AH187" s="4">
        <v>1</v>
      </c>
      <c r="AI187" s="4">
        <v>1</v>
      </c>
      <c r="AJ187" s="4" t="s">
        <v>140</v>
      </c>
      <c r="AK187" s="4">
        <v>1</v>
      </c>
      <c r="AL187" s="4">
        <v>1</v>
      </c>
      <c r="AM187" s="4">
        <v>1</v>
      </c>
      <c r="AN187" s="4" t="s">
        <v>140</v>
      </c>
      <c r="AO187" s="4">
        <v>1</v>
      </c>
      <c r="AP187" s="4">
        <v>1</v>
      </c>
      <c r="AQ187" s="4">
        <v>1</v>
      </c>
      <c r="AR187" s="4" t="s">
        <v>140</v>
      </c>
      <c r="AS187" s="4">
        <v>1</v>
      </c>
      <c r="AT187" s="4" t="s">
        <v>797</v>
      </c>
    </row>
    <row r="188" spans="1:46" x14ac:dyDescent="0.2">
      <c r="A188" s="4">
        <f t="shared" ref="A188:A251" si="12">WEEKNUM(D188)</f>
        <v>10</v>
      </c>
      <c r="B188" s="4">
        <f t="shared" ref="B188:B251" si="13">MONTH(D188)</f>
        <v>3</v>
      </c>
      <c r="C188" s="13" t="str">
        <f>VLOOKUP(B188,Correspondance!$D$3:$E$14,2,FALSE)</f>
        <v>Mars</v>
      </c>
      <c r="D188" s="1" t="s">
        <v>973</v>
      </c>
      <c r="E188" s="2" t="s">
        <v>40</v>
      </c>
      <c r="F188" s="3" t="s">
        <v>52</v>
      </c>
      <c r="G188" s="4" t="s">
        <v>53</v>
      </c>
      <c r="H188" s="4" t="s">
        <v>54</v>
      </c>
      <c r="I188" s="5" t="s">
        <v>57</v>
      </c>
      <c r="J188" s="6">
        <v>100</v>
      </c>
      <c r="K188" s="4" t="s">
        <v>977</v>
      </c>
      <c r="L188" s="4" t="s">
        <v>46</v>
      </c>
      <c r="M188" s="4" t="s">
        <v>74</v>
      </c>
      <c r="N188" s="4" t="s">
        <v>504</v>
      </c>
      <c r="O188" s="4" t="s">
        <v>49</v>
      </c>
      <c r="P188" s="4">
        <v>1</v>
      </c>
      <c r="Q188" s="4" t="s">
        <v>140</v>
      </c>
      <c r="R188" s="4">
        <v>1</v>
      </c>
      <c r="S188" s="4">
        <v>1</v>
      </c>
      <c r="T188" s="4">
        <v>1</v>
      </c>
      <c r="U188" s="4">
        <v>1</v>
      </c>
      <c r="V188" s="4">
        <v>1</v>
      </c>
      <c r="W188" s="4">
        <v>1</v>
      </c>
      <c r="X188" s="4">
        <v>1</v>
      </c>
      <c r="Y188" s="4">
        <v>1</v>
      </c>
      <c r="Z188" s="4">
        <v>1</v>
      </c>
      <c r="AA188" s="4">
        <v>1</v>
      </c>
      <c r="AB188" s="4">
        <v>1</v>
      </c>
      <c r="AC188" s="4">
        <v>1</v>
      </c>
      <c r="AD188" s="4" t="s">
        <v>140</v>
      </c>
      <c r="AE188" s="4">
        <v>1</v>
      </c>
      <c r="AF188" s="4">
        <v>1</v>
      </c>
      <c r="AG188" s="4">
        <v>1</v>
      </c>
      <c r="AH188" s="4">
        <v>1</v>
      </c>
      <c r="AI188" s="4">
        <v>1</v>
      </c>
      <c r="AJ188" s="4" t="s">
        <v>140</v>
      </c>
      <c r="AK188" s="4">
        <v>1</v>
      </c>
      <c r="AL188" s="4">
        <v>1</v>
      </c>
      <c r="AM188" s="4">
        <v>1</v>
      </c>
      <c r="AN188" s="4" t="s">
        <v>140</v>
      </c>
      <c r="AO188" s="4">
        <v>1</v>
      </c>
      <c r="AP188" s="4">
        <v>1</v>
      </c>
      <c r="AQ188" s="4">
        <v>1</v>
      </c>
      <c r="AR188" s="4" t="s">
        <v>140</v>
      </c>
      <c r="AS188" s="4">
        <v>1</v>
      </c>
      <c r="AT188" s="4" t="s">
        <v>872</v>
      </c>
    </row>
    <row r="189" spans="1:46" x14ac:dyDescent="0.2">
      <c r="A189" s="4">
        <f t="shared" si="12"/>
        <v>10</v>
      </c>
      <c r="B189" s="4">
        <f t="shared" si="13"/>
        <v>3</v>
      </c>
      <c r="C189" s="13" t="str">
        <f>VLOOKUP(B189,Correspondance!$D$3:$E$14,2,FALSE)</f>
        <v>Mars</v>
      </c>
      <c r="D189" s="1" t="s">
        <v>973</v>
      </c>
      <c r="E189" s="2" t="s">
        <v>40</v>
      </c>
      <c r="F189" s="3" t="s">
        <v>61</v>
      </c>
      <c r="G189" s="4" t="s">
        <v>201</v>
      </c>
      <c r="H189" s="4" t="s">
        <v>202</v>
      </c>
      <c r="I189" s="5" t="s">
        <v>57</v>
      </c>
      <c r="J189" s="6">
        <v>100</v>
      </c>
      <c r="K189" s="4" t="s">
        <v>978</v>
      </c>
      <c r="L189" s="4" t="s">
        <v>46</v>
      </c>
      <c r="M189" s="4" t="s">
        <v>47</v>
      </c>
      <c r="N189" s="4" t="s">
        <v>979</v>
      </c>
      <c r="O189" s="4" t="s">
        <v>49</v>
      </c>
      <c r="P189" s="4">
        <v>1</v>
      </c>
      <c r="Q189" s="4">
        <v>1</v>
      </c>
      <c r="R189" s="4">
        <v>1</v>
      </c>
      <c r="S189" s="4">
        <v>1</v>
      </c>
      <c r="T189" s="4">
        <v>1</v>
      </c>
      <c r="U189" s="4">
        <v>1</v>
      </c>
      <c r="V189" s="4">
        <v>1</v>
      </c>
      <c r="W189" s="4">
        <v>1</v>
      </c>
      <c r="X189" s="4">
        <v>1</v>
      </c>
      <c r="Y189" s="4">
        <v>1</v>
      </c>
      <c r="Z189" s="4">
        <v>1</v>
      </c>
      <c r="AA189" s="4">
        <v>1</v>
      </c>
      <c r="AB189" s="4">
        <v>1</v>
      </c>
      <c r="AC189" s="4">
        <v>1</v>
      </c>
      <c r="AD189" s="4" t="s">
        <v>140</v>
      </c>
      <c r="AE189" s="4">
        <v>1</v>
      </c>
      <c r="AF189" s="4">
        <v>1</v>
      </c>
      <c r="AG189" s="4">
        <v>1</v>
      </c>
      <c r="AH189" s="4">
        <v>1</v>
      </c>
      <c r="AI189" s="4">
        <v>1</v>
      </c>
      <c r="AJ189" s="4" t="s">
        <v>140</v>
      </c>
      <c r="AK189" s="4">
        <v>1</v>
      </c>
      <c r="AL189" s="4">
        <v>1</v>
      </c>
      <c r="AM189" s="4">
        <v>1</v>
      </c>
      <c r="AN189" s="4" t="s">
        <v>140</v>
      </c>
      <c r="AO189" s="4">
        <v>1</v>
      </c>
      <c r="AP189" s="4">
        <v>1</v>
      </c>
      <c r="AQ189" s="4">
        <v>1</v>
      </c>
      <c r="AR189" s="4" t="s">
        <v>140</v>
      </c>
      <c r="AS189" s="4">
        <v>1</v>
      </c>
      <c r="AT189" s="4" t="s">
        <v>872</v>
      </c>
    </row>
    <row r="190" spans="1:46" x14ac:dyDescent="0.2">
      <c r="A190" s="4">
        <f t="shared" si="12"/>
        <v>10</v>
      </c>
      <c r="B190" s="4">
        <f t="shared" si="13"/>
        <v>3</v>
      </c>
      <c r="C190" s="13" t="str">
        <f>VLOOKUP(B190,Correspondance!$D$3:$E$14,2,FALSE)</f>
        <v>Mars</v>
      </c>
      <c r="D190" s="1" t="s">
        <v>973</v>
      </c>
      <c r="E190" s="2" t="s">
        <v>40</v>
      </c>
      <c r="F190" s="3" t="s">
        <v>61</v>
      </c>
      <c r="G190" s="4" t="s">
        <v>130</v>
      </c>
      <c r="H190" s="4" t="s">
        <v>131</v>
      </c>
      <c r="I190" s="5" t="s">
        <v>61</v>
      </c>
      <c r="J190" s="6">
        <v>96.25</v>
      </c>
      <c r="K190" s="4" t="s">
        <v>980</v>
      </c>
      <c r="L190" s="4" t="s">
        <v>114</v>
      </c>
      <c r="M190" s="4" t="s">
        <v>47</v>
      </c>
      <c r="N190" s="4" t="s">
        <v>77</v>
      </c>
      <c r="O190" s="4" t="s">
        <v>49</v>
      </c>
      <c r="P190" s="4">
        <v>1</v>
      </c>
      <c r="Q190" s="4">
        <v>0</v>
      </c>
      <c r="R190" s="4">
        <v>1</v>
      </c>
      <c r="S190" s="4">
        <v>1</v>
      </c>
      <c r="T190" s="4">
        <v>1</v>
      </c>
      <c r="U190" s="4">
        <v>1</v>
      </c>
      <c r="V190" s="4">
        <v>1</v>
      </c>
      <c r="W190" s="4">
        <v>1</v>
      </c>
      <c r="X190" s="4">
        <v>1</v>
      </c>
      <c r="Y190" s="4">
        <v>1</v>
      </c>
      <c r="Z190" s="4">
        <v>1</v>
      </c>
      <c r="AA190" s="4">
        <v>1</v>
      </c>
      <c r="AB190" s="4">
        <v>1</v>
      </c>
      <c r="AC190" s="4">
        <v>1</v>
      </c>
      <c r="AD190" s="4" t="s">
        <v>140</v>
      </c>
      <c r="AE190" s="4">
        <v>1</v>
      </c>
      <c r="AF190" s="4">
        <v>1</v>
      </c>
      <c r="AG190" s="4">
        <v>1</v>
      </c>
      <c r="AH190" s="4">
        <v>1</v>
      </c>
      <c r="AI190" s="4">
        <v>1</v>
      </c>
      <c r="AJ190" s="4" t="s">
        <v>140</v>
      </c>
      <c r="AK190" s="4">
        <v>1</v>
      </c>
      <c r="AL190" s="4">
        <v>1</v>
      </c>
      <c r="AM190" s="4">
        <v>1</v>
      </c>
      <c r="AN190" s="4" t="s">
        <v>140</v>
      </c>
      <c r="AO190" s="4">
        <v>1</v>
      </c>
      <c r="AP190" s="4">
        <v>1</v>
      </c>
      <c r="AQ190" s="4">
        <v>1</v>
      </c>
      <c r="AR190" s="4" t="s">
        <v>140</v>
      </c>
      <c r="AS190" s="4">
        <v>1</v>
      </c>
      <c r="AT190" s="4" t="s">
        <v>973</v>
      </c>
    </row>
    <row r="191" spans="1:46" x14ac:dyDescent="0.2">
      <c r="A191" s="4">
        <f t="shared" si="12"/>
        <v>10</v>
      </c>
      <c r="B191" s="4">
        <f t="shared" si="13"/>
        <v>3</v>
      </c>
      <c r="C191" s="13" t="str">
        <f>VLOOKUP(B191,Correspondance!$D$3:$E$14,2,FALSE)</f>
        <v>Mars</v>
      </c>
      <c r="D191" s="1" t="s">
        <v>973</v>
      </c>
      <c r="E191" s="2" t="s">
        <v>40</v>
      </c>
      <c r="F191" s="3" t="s">
        <v>61</v>
      </c>
      <c r="G191" s="4" t="s">
        <v>68</v>
      </c>
      <c r="H191" s="4" t="s">
        <v>69</v>
      </c>
      <c r="I191" s="5" t="s">
        <v>57</v>
      </c>
      <c r="J191" s="6">
        <v>100</v>
      </c>
      <c r="K191" s="4" t="s">
        <v>981</v>
      </c>
      <c r="L191" s="4" t="s">
        <v>114</v>
      </c>
      <c r="M191" s="4" t="s">
        <v>99</v>
      </c>
      <c r="N191" s="4" t="s">
        <v>328</v>
      </c>
      <c r="O191" s="4" t="s">
        <v>49</v>
      </c>
      <c r="P191" s="4">
        <v>1</v>
      </c>
      <c r="Q191" s="4">
        <v>1</v>
      </c>
      <c r="R191" s="4">
        <v>1</v>
      </c>
      <c r="S191" s="4">
        <v>1</v>
      </c>
      <c r="T191" s="4">
        <v>1</v>
      </c>
      <c r="U191" s="4">
        <v>1</v>
      </c>
      <c r="V191" s="4">
        <v>1</v>
      </c>
      <c r="W191" s="4">
        <v>1</v>
      </c>
      <c r="X191" s="4">
        <v>1</v>
      </c>
      <c r="Y191" s="4">
        <v>1</v>
      </c>
      <c r="Z191" s="4">
        <v>1</v>
      </c>
      <c r="AA191" s="4">
        <v>1</v>
      </c>
      <c r="AB191" s="4">
        <v>1</v>
      </c>
      <c r="AC191" s="4">
        <v>1</v>
      </c>
      <c r="AD191" s="4">
        <v>1</v>
      </c>
      <c r="AE191" s="4">
        <v>1</v>
      </c>
      <c r="AF191" s="4">
        <v>1</v>
      </c>
      <c r="AG191" s="4">
        <v>1</v>
      </c>
      <c r="AH191" s="4">
        <v>1</v>
      </c>
      <c r="AI191" s="4">
        <v>1</v>
      </c>
      <c r="AJ191" s="4" t="s">
        <v>140</v>
      </c>
      <c r="AK191" s="4">
        <v>1</v>
      </c>
      <c r="AL191" s="4">
        <v>1</v>
      </c>
      <c r="AM191" s="4">
        <v>1</v>
      </c>
      <c r="AN191" s="4" t="s">
        <v>140</v>
      </c>
      <c r="AO191" s="4">
        <v>1</v>
      </c>
      <c r="AP191" s="4">
        <v>1</v>
      </c>
      <c r="AQ191" s="4">
        <v>1</v>
      </c>
      <c r="AR191" s="4" t="s">
        <v>140</v>
      </c>
      <c r="AS191" s="4">
        <v>1</v>
      </c>
      <c r="AT191" s="4" t="s">
        <v>973</v>
      </c>
    </row>
    <row r="192" spans="1:46" x14ac:dyDescent="0.2">
      <c r="A192" s="4">
        <f t="shared" si="12"/>
        <v>10</v>
      </c>
      <c r="B192" s="4">
        <f t="shared" si="13"/>
        <v>3</v>
      </c>
      <c r="C192" s="13" t="str">
        <f>VLOOKUP(B192,Correspondance!$D$3:$E$14,2,FALSE)</f>
        <v>Mars</v>
      </c>
      <c r="D192" s="1" t="s">
        <v>886</v>
      </c>
      <c r="E192" s="2" t="s">
        <v>40</v>
      </c>
      <c r="F192" s="3" t="s">
        <v>41</v>
      </c>
      <c r="G192" s="4" t="s">
        <v>82</v>
      </c>
      <c r="H192" s="4" t="s">
        <v>83</v>
      </c>
      <c r="I192" s="5" t="s">
        <v>57</v>
      </c>
      <c r="J192" s="6">
        <v>92.25</v>
      </c>
      <c r="K192" s="4" t="s">
        <v>879</v>
      </c>
      <c r="L192" s="4" t="s">
        <v>46</v>
      </c>
      <c r="M192" s="4" t="s">
        <v>175</v>
      </c>
      <c r="N192" s="4" t="s">
        <v>275</v>
      </c>
      <c r="O192" s="4" t="s">
        <v>49</v>
      </c>
      <c r="P192" s="4">
        <v>1</v>
      </c>
      <c r="Q192" s="4">
        <v>0</v>
      </c>
      <c r="R192" s="4">
        <v>1</v>
      </c>
      <c r="S192" s="4">
        <v>0</v>
      </c>
      <c r="T192" s="4">
        <v>1</v>
      </c>
      <c r="U192" s="4">
        <v>1</v>
      </c>
      <c r="V192" s="4">
        <v>1</v>
      </c>
      <c r="W192" s="4">
        <v>1</v>
      </c>
      <c r="X192" s="4">
        <v>1</v>
      </c>
      <c r="Y192" s="4">
        <v>1</v>
      </c>
      <c r="Z192" s="4">
        <v>1</v>
      </c>
      <c r="AA192" s="4">
        <v>1</v>
      </c>
      <c r="AB192" s="4">
        <v>1</v>
      </c>
      <c r="AC192" s="4">
        <v>1</v>
      </c>
      <c r="AD192" s="4">
        <v>1</v>
      </c>
      <c r="AE192" s="4">
        <v>1</v>
      </c>
      <c r="AF192" s="4">
        <v>1</v>
      </c>
      <c r="AG192" s="4">
        <v>1</v>
      </c>
      <c r="AH192" s="4">
        <v>1</v>
      </c>
      <c r="AI192" s="4">
        <v>1</v>
      </c>
      <c r="AJ192" s="4" t="s">
        <v>140</v>
      </c>
      <c r="AK192" s="4">
        <v>1</v>
      </c>
      <c r="AL192" s="4">
        <v>1</v>
      </c>
      <c r="AM192" s="4">
        <v>1</v>
      </c>
      <c r="AN192" s="4" t="s">
        <v>140</v>
      </c>
      <c r="AO192" s="4">
        <v>1</v>
      </c>
      <c r="AP192" s="4">
        <v>1</v>
      </c>
      <c r="AQ192" s="4">
        <v>1</v>
      </c>
      <c r="AR192" s="4" t="s">
        <v>140</v>
      </c>
      <c r="AS192" s="4">
        <v>1</v>
      </c>
      <c r="AT192" s="4" t="s">
        <v>874</v>
      </c>
    </row>
    <row r="193" spans="1:46" x14ac:dyDescent="0.2">
      <c r="A193" s="4">
        <f t="shared" si="12"/>
        <v>10</v>
      </c>
      <c r="B193" s="4">
        <f t="shared" si="13"/>
        <v>3</v>
      </c>
      <c r="C193" s="13" t="str">
        <f>VLOOKUP(B193,Correspondance!$D$3:$E$14,2,FALSE)</f>
        <v>Mars</v>
      </c>
      <c r="D193" s="1" t="s">
        <v>886</v>
      </c>
      <c r="E193" s="2" t="s">
        <v>40</v>
      </c>
      <c r="F193" s="3" t="s">
        <v>41</v>
      </c>
      <c r="G193" s="4" t="s">
        <v>89</v>
      </c>
      <c r="H193" s="4" t="s">
        <v>90</v>
      </c>
      <c r="I193" s="5" t="s">
        <v>57</v>
      </c>
      <c r="J193" s="6">
        <v>88.75</v>
      </c>
      <c r="K193" s="4" t="s">
        <v>982</v>
      </c>
      <c r="L193" s="4" t="s">
        <v>46</v>
      </c>
      <c r="M193" s="4" t="s">
        <v>47</v>
      </c>
      <c r="N193" s="4" t="s">
        <v>983</v>
      </c>
      <c r="O193" s="4" t="s">
        <v>49</v>
      </c>
      <c r="P193" s="4">
        <v>1</v>
      </c>
      <c r="Q193" s="4">
        <v>0</v>
      </c>
      <c r="R193" s="4">
        <v>1</v>
      </c>
      <c r="S193" s="4">
        <v>1</v>
      </c>
      <c r="T193" s="4">
        <v>1</v>
      </c>
      <c r="U193" s="4">
        <v>1</v>
      </c>
      <c r="V193" s="4">
        <v>1</v>
      </c>
      <c r="W193" s="4">
        <v>0</v>
      </c>
      <c r="X193" s="4">
        <v>1</v>
      </c>
      <c r="Y193" s="4">
        <v>1</v>
      </c>
      <c r="Z193" s="4">
        <v>1</v>
      </c>
      <c r="AA193" s="4">
        <v>1</v>
      </c>
      <c r="AB193" s="4">
        <v>1</v>
      </c>
      <c r="AC193" s="4">
        <v>1</v>
      </c>
      <c r="AD193" s="4" t="s">
        <v>140</v>
      </c>
      <c r="AE193" s="4">
        <v>0</v>
      </c>
      <c r="AF193" s="4">
        <v>1</v>
      </c>
      <c r="AG193" s="4">
        <v>1</v>
      </c>
      <c r="AH193" s="4">
        <v>1</v>
      </c>
      <c r="AI193" s="4">
        <v>1</v>
      </c>
      <c r="AJ193" s="4" t="s">
        <v>140</v>
      </c>
      <c r="AK193" s="4">
        <v>1</v>
      </c>
      <c r="AL193" s="4">
        <v>1</v>
      </c>
      <c r="AM193" s="4">
        <v>1</v>
      </c>
      <c r="AN193" s="4" t="s">
        <v>140</v>
      </c>
      <c r="AO193" s="4">
        <v>1</v>
      </c>
      <c r="AP193" s="4">
        <v>1</v>
      </c>
      <c r="AQ193" s="4">
        <v>1</v>
      </c>
      <c r="AR193" s="4" t="s">
        <v>140</v>
      </c>
      <c r="AS193" s="4">
        <v>1</v>
      </c>
      <c r="AT193" s="4" t="s">
        <v>1011</v>
      </c>
    </row>
    <row r="194" spans="1:46" x14ac:dyDescent="0.2">
      <c r="A194" s="4">
        <f t="shared" si="12"/>
        <v>10</v>
      </c>
      <c r="B194" s="4">
        <f t="shared" si="13"/>
        <v>3</v>
      </c>
      <c r="C194" s="13" t="str">
        <f>VLOOKUP(B194,Correspondance!$D$3:$E$14,2,FALSE)</f>
        <v>Mars</v>
      </c>
      <c r="D194" s="1" t="s">
        <v>886</v>
      </c>
      <c r="E194" s="2" t="s">
        <v>40</v>
      </c>
      <c r="F194" s="3" t="s">
        <v>41</v>
      </c>
      <c r="G194" s="4" t="s">
        <v>89</v>
      </c>
      <c r="H194" s="4" t="s">
        <v>90</v>
      </c>
      <c r="I194" s="5" t="s">
        <v>57</v>
      </c>
      <c r="J194" s="6">
        <v>89.5</v>
      </c>
      <c r="K194" s="4" t="s">
        <v>984</v>
      </c>
      <c r="L194" s="4" t="s">
        <v>46</v>
      </c>
      <c r="M194" s="4" t="s">
        <v>47</v>
      </c>
      <c r="N194" s="4" t="s">
        <v>985</v>
      </c>
      <c r="O194" s="4" t="s">
        <v>49</v>
      </c>
      <c r="P194" s="4">
        <v>1</v>
      </c>
      <c r="Q194" s="4">
        <v>0</v>
      </c>
      <c r="R194" s="4">
        <v>1</v>
      </c>
      <c r="S194" s="4">
        <v>1</v>
      </c>
      <c r="T194" s="4">
        <v>1</v>
      </c>
      <c r="U194" s="4">
        <v>0</v>
      </c>
      <c r="V194" s="4">
        <v>1</v>
      </c>
      <c r="W194" s="4">
        <v>1</v>
      </c>
      <c r="X194" s="4">
        <v>1</v>
      </c>
      <c r="Y194" s="4">
        <v>1</v>
      </c>
      <c r="Z194" s="4">
        <v>1</v>
      </c>
      <c r="AA194" s="4">
        <v>1</v>
      </c>
      <c r="AB194" s="4">
        <v>1</v>
      </c>
      <c r="AC194" s="4">
        <v>1</v>
      </c>
      <c r="AD194" s="4" t="s">
        <v>140</v>
      </c>
      <c r="AE194" s="4">
        <v>0</v>
      </c>
      <c r="AF194" s="4">
        <v>1</v>
      </c>
      <c r="AG194" s="4">
        <v>1</v>
      </c>
      <c r="AH194" s="4">
        <v>1</v>
      </c>
      <c r="AI194" s="4">
        <v>1</v>
      </c>
      <c r="AJ194" s="4" t="s">
        <v>140</v>
      </c>
      <c r="AK194" s="4">
        <v>1</v>
      </c>
      <c r="AL194" s="4">
        <v>1</v>
      </c>
      <c r="AM194" s="4">
        <v>1</v>
      </c>
      <c r="AN194" s="4" t="s">
        <v>140</v>
      </c>
      <c r="AO194" s="4">
        <v>1</v>
      </c>
      <c r="AP194" s="4" t="s">
        <v>140</v>
      </c>
      <c r="AQ194" s="4">
        <v>1</v>
      </c>
      <c r="AR194" s="4" t="s">
        <v>140</v>
      </c>
      <c r="AS194" s="4">
        <v>1</v>
      </c>
      <c r="AT194" s="4" t="s">
        <v>1011</v>
      </c>
    </row>
    <row r="195" spans="1:46" x14ac:dyDescent="0.2">
      <c r="A195" s="4">
        <f t="shared" si="12"/>
        <v>11</v>
      </c>
      <c r="B195" s="4">
        <f t="shared" si="13"/>
        <v>3</v>
      </c>
      <c r="C195" s="13" t="str">
        <f>VLOOKUP(B195,Correspondance!$D$3:$E$14,2,FALSE)</f>
        <v>Mars</v>
      </c>
      <c r="D195" s="1" t="s">
        <v>794</v>
      </c>
      <c r="E195" s="2" t="s">
        <v>40</v>
      </c>
      <c r="F195" s="3" t="s">
        <v>52</v>
      </c>
      <c r="G195" s="4" t="s">
        <v>484</v>
      </c>
      <c r="H195" s="4" t="s">
        <v>485</v>
      </c>
      <c r="I195" s="5" t="s">
        <v>57</v>
      </c>
      <c r="J195" s="6">
        <v>94.25</v>
      </c>
      <c r="K195" s="4" t="s">
        <v>986</v>
      </c>
      <c r="L195" s="4" t="s">
        <v>46</v>
      </c>
      <c r="M195" s="4" t="s">
        <v>47</v>
      </c>
      <c r="N195" s="4" t="s">
        <v>987</v>
      </c>
      <c r="O195" s="4" t="s">
        <v>49</v>
      </c>
      <c r="P195" s="4">
        <v>1</v>
      </c>
      <c r="Q195" s="4">
        <v>0</v>
      </c>
      <c r="R195" s="4">
        <v>1</v>
      </c>
      <c r="S195" s="4">
        <v>1</v>
      </c>
      <c r="T195" s="4">
        <v>1</v>
      </c>
      <c r="U195" s="4">
        <v>1</v>
      </c>
      <c r="V195" s="4">
        <v>1</v>
      </c>
      <c r="W195" s="4">
        <v>1</v>
      </c>
      <c r="X195" s="4">
        <v>1</v>
      </c>
      <c r="Y195" s="4">
        <v>1</v>
      </c>
      <c r="Z195" s="4">
        <v>1</v>
      </c>
      <c r="AA195" s="4">
        <v>1</v>
      </c>
      <c r="AB195" s="4">
        <v>1</v>
      </c>
      <c r="AC195" s="4">
        <v>1</v>
      </c>
      <c r="AD195" s="4" t="s">
        <v>140</v>
      </c>
      <c r="AE195" s="4">
        <v>1</v>
      </c>
      <c r="AF195" s="4">
        <v>1</v>
      </c>
      <c r="AG195" s="4">
        <v>1</v>
      </c>
      <c r="AH195" s="4">
        <v>1</v>
      </c>
      <c r="AI195" s="4">
        <v>1</v>
      </c>
      <c r="AJ195" s="4" t="s">
        <v>140</v>
      </c>
      <c r="AK195" s="4">
        <v>1</v>
      </c>
      <c r="AL195" s="4">
        <v>1</v>
      </c>
      <c r="AM195" s="4">
        <v>1</v>
      </c>
      <c r="AN195" s="4" t="s">
        <v>140</v>
      </c>
      <c r="AO195" s="4">
        <v>1</v>
      </c>
      <c r="AP195" s="4">
        <v>1</v>
      </c>
      <c r="AQ195" s="4">
        <v>0</v>
      </c>
      <c r="AR195" s="4" t="s">
        <v>140</v>
      </c>
      <c r="AS195" s="4">
        <v>1</v>
      </c>
      <c r="AT195" s="4" t="s">
        <v>874</v>
      </c>
    </row>
    <row r="196" spans="1:46" x14ac:dyDescent="0.2">
      <c r="A196" s="4">
        <f t="shared" si="12"/>
        <v>11</v>
      </c>
      <c r="B196" s="4">
        <f t="shared" si="13"/>
        <v>3</v>
      </c>
      <c r="C196" s="13" t="str">
        <f>VLOOKUP(B196,Correspondance!$D$3:$E$14,2,FALSE)</f>
        <v>Mars</v>
      </c>
      <c r="D196" s="1" t="s">
        <v>794</v>
      </c>
      <c r="E196" s="2" t="s">
        <v>40</v>
      </c>
      <c r="F196" s="3" t="s">
        <v>52</v>
      </c>
      <c r="G196" s="4" t="s">
        <v>484</v>
      </c>
      <c r="H196" s="4" t="s">
        <v>485</v>
      </c>
      <c r="I196" s="5" t="s">
        <v>57</v>
      </c>
      <c r="J196" s="6">
        <v>96.25</v>
      </c>
      <c r="K196" s="4" t="s">
        <v>988</v>
      </c>
      <c r="L196" s="4" t="s">
        <v>46</v>
      </c>
      <c r="M196" s="4" t="s">
        <v>47</v>
      </c>
      <c r="N196" s="4"/>
      <c r="O196" s="4" t="s">
        <v>49</v>
      </c>
      <c r="P196" s="4">
        <v>1</v>
      </c>
      <c r="Q196" s="4">
        <v>0</v>
      </c>
      <c r="R196" s="4">
        <v>1</v>
      </c>
      <c r="S196" s="4">
        <v>1</v>
      </c>
      <c r="T196" s="4">
        <v>1</v>
      </c>
      <c r="U196" s="4">
        <v>1</v>
      </c>
      <c r="V196" s="4">
        <v>1</v>
      </c>
      <c r="W196" s="4">
        <v>1</v>
      </c>
      <c r="X196" s="4">
        <v>1</v>
      </c>
      <c r="Y196" s="4">
        <v>1</v>
      </c>
      <c r="Z196" s="4">
        <v>1</v>
      </c>
      <c r="AA196" s="4">
        <v>1</v>
      </c>
      <c r="AB196" s="4">
        <v>1</v>
      </c>
      <c r="AC196" s="4">
        <v>1</v>
      </c>
      <c r="AD196" s="4" t="s">
        <v>140</v>
      </c>
      <c r="AE196" s="4">
        <v>1</v>
      </c>
      <c r="AF196" s="4">
        <v>1</v>
      </c>
      <c r="AG196" s="4">
        <v>1</v>
      </c>
      <c r="AH196" s="4">
        <v>1</v>
      </c>
      <c r="AI196" s="4">
        <v>1</v>
      </c>
      <c r="AJ196" s="4" t="s">
        <v>140</v>
      </c>
      <c r="AK196" s="4">
        <v>1</v>
      </c>
      <c r="AL196" s="4">
        <v>1</v>
      </c>
      <c r="AM196" s="4">
        <v>1</v>
      </c>
      <c r="AN196" s="4" t="s">
        <v>140</v>
      </c>
      <c r="AO196" s="4">
        <v>1</v>
      </c>
      <c r="AP196" s="4">
        <v>1</v>
      </c>
      <c r="AQ196" s="4">
        <v>1</v>
      </c>
      <c r="AR196" s="4" t="s">
        <v>140</v>
      </c>
      <c r="AS196" s="4">
        <v>1</v>
      </c>
      <c r="AT196" s="4" t="s">
        <v>874</v>
      </c>
    </row>
    <row r="197" spans="1:46" x14ac:dyDescent="0.2">
      <c r="A197" s="4">
        <f t="shared" si="12"/>
        <v>11</v>
      </c>
      <c r="B197" s="4">
        <f t="shared" si="13"/>
        <v>3</v>
      </c>
      <c r="C197" s="13" t="str">
        <f>VLOOKUP(B197,Correspondance!$D$3:$E$14,2,FALSE)</f>
        <v>Mars</v>
      </c>
      <c r="D197" s="1" t="s">
        <v>794</v>
      </c>
      <c r="E197" s="2" t="s">
        <v>40</v>
      </c>
      <c r="F197" s="3" t="s">
        <v>61</v>
      </c>
      <c r="G197" s="4" t="s">
        <v>68</v>
      </c>
      <c r="H197" s="4" t="s">
        <v>69</v>
      </c>
      <c r="I197" s="5" t="s">
        <v>57</v>
      </c>
      <c r="J197" s="6">
        <v>100</v>
      </c>
      <c r="K197" s="4" t="s">
        <v>989</v>
      </c>
      <c r="L197" s="4" t="s">
        <v>46</v>
      </c>
      <c r="M197" s="4" t="s">
        <v>47</v>
      </c>
      <c r="N197" s="4" t="s">
        <v>1162</v>
      </c>
      <c r="O197" s="4" t="s">
        <v>49</v>
      </c>
      <c r="P197" s="4">
        <v>1</v>
      </c>
      <c r="Q197" s="4">
        <v>1</v>
      </c>
      <c r="R197" s="4">
        <v>1</v>
      </c>
      <c r="S197" s="4">
        <v>1</v>
      </c>
      <c r="T197" s="4">
        <v>1</v>
      </c>
      <c r="U197" s="4">
        <v>1</v>
      </c>
      <c r="V197" s="4">
        <v>1</v>
      </c>
      <c r="W197" s="4">
        <v>1</v>
      </c>
      <c r="X197" s="4">
        <v>1</v>
      </c>
      <c r="Y197" s="4">
        <v>1</v>
      </c>
      <c r="Z197" s="4">
        <v>1</v>
      </c>
      <c r="AA197" s="4">
        <v>1</v>
      </c>
      <c r="AB197" s="4">
        <v>1</v>
      </c>
      <c r="AC197" s="4">
        <v>1</v>
      </c>
      <c r="AD197" s="4">
        <v>1</v>
      </c>
      <c r="AE197" s="4">
        <v>1</v>
      </c>
      <c r="AF197" s="4">
        <v>1</v>
      </c>
      <c r="AG197" s="4">
        <v>1</v>
      </c>
      <c r="AH197" s="4">
        <v>1</v>
      </c>
      <c r="AI197" s="4">
        <v>1</v>
      </c>
      <c r="AJ197" s="4" t="s">
        <v>140</v>
      </c>
      <c r="AK197" s="4">
        <v>1</v>
      </c>
      <c r="AL197" s="4">
        <v>1</v>
      </c>
      <c r="AM197" s="4">
        <v>1</v>
      </c>
      <c r="AN197" s="4" t="s">
        <v>140</v>
      </c>
      <c r="AO197" s="4">
        <v>1</v>
      </c>
      <c r="AP197" s="4">
        <v>1</v>
      </c>
      <c r="AQ197" s="4">
        <v>1</v>
      </c>
      <c r="AR197" s="4">
        <v>1</v>
      </c>
      <c r="AS197" s="4">
        <v>1</v>
      </c>
      <c r="AT197" s="4" t="s">
        <v>874</v>
      </c>
    </row>
    <row r="198" spans="1:46" x14ac:dyDescent="0.2">
      <c r="A198" s="4">
        <f t="shared" si="12"/>
        <v>11</v>
      </c>
      <c r="B198" s="4">
        <f t="shared" si="13"/>
        <v>3</v>
      </c>
      <c r="C198" s="13" t="str">
        <f>VLOOKUP(B198,Correspondance!$D$3:$E$14,2,FALSE)</f>
        <v>Mars</v>
      </c>
      <c r="D198" s="1" t="s">
        <v>953</v>
      </c>
      <c r="E198" s="2" t="s">
        <v>40</v>
      </c>
      <c r="F198" s="3" t="s">
        <v>41</v>
      </c>
      <c r="G198" s="4" t="s">
        <v>109</v>
      </c>
      <c r="H198" s="4" t="s">
        <v>110</v>
      </c>
      <c r="I198" s="5" t="s">
        <v>57</v>
      </c>
      <c r="J198" s="6">
        <v>85.416666666666671</v>
      </c>
      <c r="K198" s="4" t="s">
        <v>990</v>
      </c>
      <c r="L198" s="4" t="s">
        <v>46</v>
      </c>
      <c r="M198" s="4" t="s">
        <v>47</v>
      </c>
      <c r="N198" s="4" t="s">
        <v>991</v>
      </c>
      <c r="O198" s="4" t="s">
        <v>49</v>
      </c>
      <c r="P198" s="4">
        <v>1</v>
      </c>
      <c r="Q198" s="4">
        <v>0</v>
      </c>
      <c r="R198" s="4">
        <v>1</v>
      </c>
      <c r="S198" s="4">
        <v>1</v>
      </c>
      <c r="T198" s="4">
        <v>1</v>
      </c>
      <c r="U198" s="4">
        <v>0</v>
      </c>
      <c r="V198" s="4">
        <v>1</v>
      </c>
      <c r="W198" s="4">
        <v>1</v>
      </c>
      <c r="X198" s="4">
        <v>1</v>
      </c>
      <c r="Y198" s="4">
        <v>1</v>
      </c>
      <c r="Z198" s="4">
        <v>1</v>
      </c>
      <c r="AA198" s="4">
        <v>1</v>
      </c>
      <c r="AB198" s="4">
        <v>1</v>
      </c>
      <c r="AC198" s="4">
        <v>1</v>
      </c>
      <c r="AD198" s="4" t="s">
        <v>140</v>
      </c>
      <c r="AE198" s="4">
        <v>1</v>
      </c>
      <c r="AF198" s="4">
        <v>1</v>
      </c>
      <c r="AG198" s="4">
        <v>1</v>
      </c>
      <c r="AH198" s="4">
        <v>1</v>
      </c>
      <c r="AI198" s="4">
        <v>1</v>
      </c>
      <c r="AJ198" s="4">
        <v>0</v>
      </c>
      <c r="AK198" s="4">
        <v>0</v>
      </c>
      <c r="AL198" s="4">
        <v>1</v>
      </c>
      <c r="AM198" s="4">
        <v>1</v>
      </c>
      <c r="AN198" s="4" t="s">
        <v>140</v>
      </c>
      <c r="AO198" s="4">
        <v>1</v>
      </c>
      <c r="AP198" s="4">
        <v>1</v>
      </c>
      <c r="AQ198" s="4">
        <v>1</v>
      </c>
      <c r="AR198" s="4" t="s">
        <v>140</v>
      </c>
      <c r="AS198" s="4">
        <v>1</v>
      </c>
      <c r="AT198" s="4" t="s">
        <v>1053</v>
      </c>
    </row>
    <row r="199" spans="1:46" x14ac:dyDescent="0.2">
      <c r="A199" s="4">
        <f t="shared" si="12"/>
        <v>11</v>
      </c>
      <c r="B199" s="4">
        <f t="shared" si="13"/>
        <v>3</v>
      </c>
      <c r="C199" s="13" t="str">
        <f>VLOOKUP(B199,Correspondance!$D$3:$E$14,2,FALSE)</f>
        <v>Mars</v>
      </c>
      <c r="D199" s="1" t="s">
        <v>953</v>
      </c>
      <c r="E199" s="2" t="s">
        <v>40</v>
      </c>
      <c r="F199" s="3" t="s">
        <v>61</v>
      </c>
      <c r="G199" s="4" t="s">
        <v>96</v>
      </c>
      <c r="H199" s="4" t="s">
        <v>97</v>
      </c>
      <c r="I199" s="5" t="s">
        <v>57</v>
      </c>
      <c r="J199" s="6">
        <v>100</v>
      </c>
      <c r="K199" s="4" t="s">
        <v>992</v>
      </c>
      <c r="L199" s="4" t="s">
        <v>46</v>
      </c>
      <c r="M199" s="4" t="s">
        <v>47</v>
      </c>
      <c r="N199" s="4" t="s">
        <v>993</v>
      </c>
      <c r="O199" s="4" t="s">
        <v>49</v>
      </c>
      <c r="P199" s="4">
        <v>1</v>
      </c>
      <c r="Q199" s="4">
        <v>1</v>
      </c>
      <c r="R199" s="4">
        <v>1</v>
      </c>
      <c r="S199" s="4">
        <v>1</v>
      </c>
      <c r="T199" s="4">
        <v>1</v>
      </c>
      <c r="U199" s="4">
        <v>1</v>
      </c>
      <c r="V199" s="4">
        <v>1</v>
      </c>
      <c r="W199" s="4">
        <v>1</v>
      </c>
      <c r="X199" s="4">
        <v>1</v>
      </c>
      <c r="Y199" s="4">
        <v>1</v>
      </c>
      <c r="Z199" s="4">
        <v>1</v>
      </c>
      <c r="AA199" s="4">
        <v>1</v>
      </c>
      <c r="AB199" s="4">
        <v>1</v>
      </c>
      <c r="AC199" s="4">
        <v>1</v>
      </c>
      <c r="AD199" s="4" t="s">
        <v>140</v>
      </c>
      <c r="AE199" s="4">
        <v>1</v>
      </c>
      <c r="AF199" s="4">
        <v>1</v>
      </c>
      <c r="AG199" s="4">
        <v>1</v>
      </c>
      <c r="AH199" s="4">
        <v>1</v>
      </c>
      <c r="AI199" s="4">
        <v>1</v>
      </c>
      <c r="AJ199" s="4" t="s">
        <v>140</v>
      </c>
      <c r="AK199" s="4">
        <v>1</v>
      </c>
      <c r="AL199" s="4">
        <v>1</v>
      </c>
      <c r="AM199" s="4">
        <v>1</v>
      </c>
      <c r="AN199" s="4" t="s">
        <v>140</v>
      </c>
      <c r="AO199" s="4">
        <v>1</v>
      </c>
      <c r="AP199" s="4">
        <v>1</v>
      </c>
      <c r="AQ199" s="4">
        <v>1</v>
      </c>
      <c r="AR199" s="4" t="s">
        <v>140</v>
      </c>
      <c r="AS199" s="4">
        <v>1</v>
      </c>
      <c r="AT199" s="4" t="s">
        <v>917</v>
      </c>
    </row>
    <row r="200" spans="1:46" x14ac:dyDescent="0.2">
      <c r="A200" s="4">
        <f t="shared" si="12"/>
        <v>11</v>
      </c>
      <c r="B200" s="4">
        <f t="shared" si="13"/>
        <v>3</v>
      </c>
      <c r="C200" s="13" t="str">
        <f>VLOOKUP(B200,Correspondance!$D$3:$E$14,2,FALSE)</f>
        <v>Mars</v>
      </c>
      <c r="D200" s="1" t="s">
        <v>953</v>
      </c>
      <c r="E200" s="2" t="s">
        <v>40</v>
      </c>
      <c r="F200" s="3" t="s">
        <v>61</v>
      </c>
      <c r="G200" s="4" t="s">
        <v>96</v>
      </c>
      <c r="H200" s="4" t="s">
        <v>97</v>
      </c>
      <c r="I200" s="5" t="s">
        <v>61</v>
      </c>
      <c r="J200" s="6">
        <v>100</v>
      </c>
      <c r="K200" s="4" t="s">
        <v>992</v>
      </c>
      <c r="L200" s="4" t="s">
        <v>66</v>
      </c>
      <c r="M200" s="4" t="s">
        <v>99</v>
      </c>
      <c r="N200" s="4" t="s">
        <v>994</v>
      </c>
      <c r="O200" s="4" t="s">
        <v>49</v>
      </c>
      <c r="P200" s="4">
        <v>1</v>
      </c>
      <c r="Q200" s="4">
        <v>1</v>
      </c>
      <c r="R200" s="4">
        <v>1</v>
      </c>
      <c r="S200" s="4">
        <v>1</v>
      </c>
      <c r="T200" s="4">
        <v>1</v>
      </c>
      <c r="U200" s="4">
        <v>1</v>
      </c>
      <c r="V200" s="4">
        <v>1</v>
      </c>
      <c r="W200" s="4">
        <v>1</v>
      </c>
      <c r="X200" s="4">
        <v>1</v>
      </c>
      <c r="Y200" s="4">
        <v>1</v>
      </c>
      <c r="Z200" s="4">
        <v>1</v>
      </c>
      <c r="AA200" s="4">
        <v>1</v>
      </c>
      <c r="AB200" s="4">
        <v>1</v>
      </c>
      <c r="AC200" s="4">
        <v>1</v>
      </c>
      <c r="AD200" s="4" t="s">
        <v>140</v>
      </c>
      <c r="AE200" s="4">
        <v>1</v>
      </c>
      <c r="AF200" s="4">
        <v>1</v>
      </c>
      <c r="AG200" s="4">
        <v>1</v>
      </c>
      <c r="AH200" s="4">
        <v>1</v>
      </c>
      <c r="AI200" s="4">
        <v>1</v>
      </c>
      <c r="AJ200" s="4">
        <v>1</v>
      </c>
      <c r="AK200" s="4">
        <v>1</v>
      </c>
      <c r="AL200" s="4">
        <v>1</v>
      </c>
      <c r="AM200" s="4">
        <v>1</v>
      </c>
      <c r="AN200" s="4" t="s">
        <v>140</v>
      </c>
      <c r="AO200" s="4">
        <v>1</v>
      </c>
      <c r="AP200" s="4">
        <v>1</v>
      </c>
      <c r="AQ200" s="4">
        <v>1</v>
      </c>
      <c r="AR200" s="4" t="s">
        <v>140</v>
      </c>
      <c r="AS200" s="4">
        <v>1</v>
      </c>
      <c r="AT200" s="4" t="s">
        <v>948</v>
      </c>
    </row>
    <row r="201" spans="1:46" x14ac:dyDescent="0.2">
      <c r="A201" s="4">
        <f t="shared" si="12"/>
        <v>11</v>
      </c>
      <c r="B201" s="4">
        <f t="shared" si="13"/>
        <v>3</v>
      </c>
      <c r="C201" s="13" t="str">
        <f>VLOOKUP(B201,Correspondance!$D$3:$E$14,2,FALSE)</f>
        <v>Mars</v>
      </c>
      <c r="D201" s="1" t="s">
        <v>953</v>
      </c>
      <c r="E201" s="2" t="s">
        <v>40</v>
      </c>
      <c r="F201" s="3" t="s">
        <v>61</v>
      </c>
      <c r="G201" s="4" t="s">
        <v>342</v>
      </c>
      <c r="H201" s="4" t="s">
        <v>343</v>
      </c>
      <c r="I201" s="5" t="s">
        <v>61</v>
      </c>
      <c r="J201" s="6">
        <v>100</v>
      </c>
      <c r="K201" s="4" t="s">
        <v>995</v>
      </c>
      <c r="L201" s="4" t="s">
        <v>66</v>
      </c>
      <c r="M201" s="4" t="s">
        <v>47</v>
      </c>
      <c r="N201" s="4" t="s">
        <v>996</v>
      </c>
      <c r="O201" s="4" t="s">
        <v>49</v>
      </c>
      <c r="P201" s="4">
        <v>1</v>
      </c>
      <c r="Q201" s="4">
        <v>1</v>
      </c>
      <c r="R201" s="4">
        <v>1</v>
      </c>
      <c r="S201" s="4">
        <v>1</v>
      </c>
      <c r="T201" s="4">
        <v>1</v>
      </c>
      <c r="U201" s="4">
        <v>1</v>
      </c>
      <c r="V201" s="4">
        <v>1</v>
      </c>
      <c r="W201" s="4">
        <v>1</v>
      </c>
      <c r="X201" s="4">
        <v>1</v>
      </c>
      <c r="Y201" s="4">
        <v>1</v>
      </c>
      <c r="Z201" s="4">
        <v>1</v>
      </c>
      <c r="AA201" s="4">
        <v>1</v>
      </c>
      <c r="AB201" s="4">
        <v>1</v>
      </c>
      <c r="AC201" s="4">
        <v>1</v>
      </c>
      <c r="AD201" s="4" t="s">
        <v>140</v>
      </c>
      <c r="AE201" s="4">
        <v>1</v>
      </c>
      <c r="AF201" s="4">
        <v>1</v>
      </c>
      <c r="AG201" s="4">
        <v>1</v>
      </c>
      <c r="AH201" s="4">
        <v>1</v>
      </c>
      <c r="AI201" s="4">
        <v>1</v>
      </c>
      <c r="AJ201" s="4">
        <v>1</v>
      </c>
      <c r="AK201" s="4">
        <v>1</v>
      </c>
      <c r="AL201" s="4">
        <v>1</v>
      </c>
      <c r="AM201" s="4">
        <v>1</v>
      </c>
      <c r="AN201" s="4" t="s">
        <v>140</v>
      </c>
      <c r="AO201" s="4">
        <v>1</v>
      </c>
      <c r="AP201" s="4">
        <v>1</v>
      </c>
      <c r="AQ201" s="4">
        <v>1</v>
      </c>
      <c r="AR201" s="4" t="s">
        <v>140</v>
      </c>
      <c r="AS201" s="4">
        <v>1</v>
      </c>
      <c r="AT201" s="4" t="s">
        <v>872</v>
      </c>
    </row>
    <row r="202" spans="1:46" x14ac:dyDescent="0.2">
      <c r="A202" s="4">
        <f t="shared" si="12"/>
        <v>11</v>
      </c>
      <c r="B202" s="4">
        <f t="shared" si="13"/>
        <v>3</v>
      </c>
      <c r="C202" s="13" t="str">
        <f>VLOOKUP(B202,Correspondance!$D$3:$E$14,2,FALSE)</f>
        <v>Mars</v>
      </c>
      <c r="D202" s="1" t="s">
        <v>917</v>
      </c>
      <c r="E202" s="2" t="s">
        <v>40</v>
      </c>
      <c r="F202" s="3" t="s">
        <v>41</v>
      </c>
      <c r="G202" s="4" t="s">
        <v>109</v>
      </c>
      <c r="H202" s="4" t="s">
        <v>110</v>
      </c>
      <c r="I202" s="5" t="s">
        <v>57</v>
      </c>
      <c r="J202" s="6">
        <v>89.25</v>
      </c>
      <c r="K202" s="4" t="s">
        <v>997</v>
      </c>
      <c r="L202" s="4" t="s">
        <v>46</v>
      </c>
      <c r="M202" s="4" t="s">
        <v>47</v>
      </c>
      <c r="N202" s="4" t="s">
        <v>998</v>
      </c>
      <c r="O202" s="4" t="s">
        <v>49</v>
      </c>
      <c r="P202" s="4">
        <v>1</v>
      </c>
      <c r="Q202" s="4">
        <v>1</v>
      </c>
      <c r="R202" s="4">
        <v>1</v>
      </c>
      <c r="S202" s="4">
        <v>1</v>
      </c>
      <c r="T202" s="4">
        <v>1</v>
      </c>
      <c r="U202" s="4">
        <v>0</v>
      </c>
      <c r="V202" s="4">
        <v>1</v>
      </c>
      <c r="W202" s="4">
        <v>1</v>
      </c>
      <c r="X202" s="4">
        <v>1</v>
      </c>
      <c r="Y202" s="4">
        <v>1</v>
      </c>
      <c r="Z202" s="4">
        <v>1</v>
      </c>
      <c r="AA202" s="4">
        <v>1</v>
      </c>
      <c r="AB202" s="4">
        <v>1</v>
      </c>
      <c r="AC202" s="4">
        <v>1</v>
      </c>
      <c r="AD202" s="4" t="s">
        <v>140</v>
      </c>
      <c r="AE202" s="4">
        <v>1</v>
      </c>
      <c r="AF202" s="4">
        <v>1</v>
      </c>
      <c r="AG202" s="4">
        <v>1</v>
      </c>
      <c r="AH202" s="4">
        <v>1</v>
      </c>
      <c r="AI202" s="4">
        <v>1</v>
      </c>
      <c r="AJ202" s="4" t="s">
        <v>140</v>
      </c>
      <c r="AK202" s="4">
        <v>0</v>
      </c>
      <c r="AL202" s="4">
        <v>0</v>
      </c>
      <c r="AM202" s="4">
        <v>1</v>
      </c>
      <c r="AN202" s="4" t="s">
        <v>140</v>
      </c>
      <c r="AO202" s="4">
        <v>1</v>
      </c>
      <c r="AP202" s="4">
        <v>1</v>
      </c>
      <c r="AQ202" s="4">
        <v>0</v>
      </c>
      <c r="AR202" s="4" t="s">
        <v>140</v>
      </c>
      <c r="AS202" s="4">
        <v>1</v>
      </c>
      <c r="AT202" s="4" t="s">
        <v>1053</v>
      </c>
    </row>
    <row r="203" spans="1:46" x14ac:dyDescent="0.2">
      <c r="A203" s="4">
        <f t="shared" si="12"/>
        <v>11</v>
      </c>
      <c r="B203" s="4">
        <f t="shared" si="13"/>
        <v>3</v>
      </c>
      <c r="C203" s="13" t="str">
        <f>VLOOKUP(B203,Correspondance!$D$3:$E$14,2,FALSE)</f>
        <v>Mars</v>
      </c>
      <c r="D203" s="1" t="s">
        <v>917</v>
      </c>
      <c r="E203" s="2" t="s">
        <v>40</v>
      </c>
      <c r="F203" s="3" t="s">
        <v>41</v>
      </c>
      <c r="G203" s="4" t="s">
        <v>82</v>
      </c>
      <c r="H203" s="4" t="s">
        <v>83</v>
      </c>
      <c r="I203" s="5" t="s">
        <v>57</v>
      </c>
      <c r="J203" s="6">
        <v>92.2</v>
      </c>
      <c r="K203" s="4" t="s">
        <v>999</v>
      </c>
      <c r="L203" s="4" t="s">
        <v>46</v>
      </c>
      <c r="M203" s="4" t="s">
        <v>74</v>
      </c>
      <c r="N203" s="4" t="s">
        <v>503</v>
      </c>
      <c r="O203" s="4" t="s">
        <v>49</v>
      </c>
      <c r="P203" s="4">
        <v>1</v>
      </c>
      <c r="Q203" s="4">
        <v>1</v>
      </c>
      <c r="R203" s="4">
        <v>1</v>
      </c>
      <c r="S203" s="4">
        <v>1</v>
      </c>
      <c r="T203" s="4">
        <v>1</v>
      </c>
      <c r="U203" s="4">
        <v>1</v>
      </c>
      <c r="V203" s="4">
        <v>1</v>
      </c>
      <c r="W203" s="4">
        <v>1</v>
      </c>
      <c r="X203" s="4">
        <v>1</v>
      </c>
      <c r="Y203" s="4">
        <v>1</v>
      </c>
      <c r="Z203" s="4">
        <v>1</v>
      </c>
      <c r="AA203" s="4">
        <v>1</v>
      </c>
      <c r="AB203" s="4">
        <v>1</v>
      </c>
      <c r="AC203" s="4">
        <v>1</v>
      </c>
      <c r="AD203" s="4" t="s">
        <v>140</v>
      </c>
      <c r="AE203" s="4">
        <v>1</v>
      </c>
      <c r="AF203" s="4">
        <v>1</v>
      </c>
      <c r="AG203" s="4">
        <v>1</v>
      </c>
      <c r="AH203" s="4">
        <v>1</v>
      </c>
      <c r="AI203" s="4">
        <v>1</v>
      </c>
      <c r="AJ203" s="4" t="s">
        <v>140</v>
      </c>
      <c r="AK203" s="4">
        <v>0</v>
      </c>
      <c r="AL203" s="4">
        <v>1</v>
      </c>
      <c r="AM203" s="4">
        <v>1</v>
      </c>
      <c r="AN203" s="4" t="s">
        <v>140</v>
      </c>
      <c r="AO203" s="4">
        <v>0</v>
      </c>
      <c r="AP203" s="4">
        <v>1</v>
      </c>
      <c r="AQ203" s="4">
        <v>0</v>
      </c>
      <c r="AR203" s="4" t="s">
        <v>140</v>
      </c>
      <c r="AS203" s="4">
        <v>1</v>
      </c>
      <c r="AT203" s="4" t="s">
        <v>874</v>
      </c>
    </row>
    <row r="204" spans="1:46" x14ac:dyDescent="0.2">
      <c r="A204" s="4">
        <f t="shared" si="12"/>
        <v>11</v>
      </c>
      <c r="B204" s="4">
        <f t="shared" si="13"/>
        <v>3</v>
      </c>
      <c r="C204" s="13" t="str">
        <f>VLOOKUP(B204,Correspondance!$D$3:$E$14,2,FALSE)</f>
        <v>Mars</v>
      </c>
      <c r="D204" s="1" t="s">
        <v>917</v>
      </c>
      <c r="E204" s="2" t="s">
        <v>40</v>
      </c>
      <c r="F204" s="3" t="s">
        <v>52</v>
      </c>
      <c r="G204" s="4" t="s">
        <v>120</v>
      </c>
      <c r="H204" s="4" t="s">
        <v>121</v>
      </c>
      <c r="I204" s="5" t="s">
        <v>57</v>
      </c>
      <c r="J204" s="6">
        <v>100</v>
      </c>
      <c r="K204" s="4" t="s">
        <v>1000</v>
      </c>
      <c r="L204" s="4" t="s">
        <v>46</v>
      </c>
      <c r="M204" s="4" t="s">
        <v>47</v>
      </c>
      <c r="N204" s="4" t="s">
        <v>77</v>
      </c>
      <c r="O204" s="4" t="s">
        <v>49</v>
      </c>
      <c r="P204" s="4">
        <v>1</v>
      </c>
      <c r="Q204" s="4">
        <v>1</v>
      </c>
      <c r="R204" s="4">
        <v>1</v>
      </c>
      <c r="S204" s="4">
        <v>1</v>
      </c>
      <c r="T204" s="4">
        <v>1</v>
      </c>
      <c r="U204" s="4">
        <v>1</v>
      </c>
      <c r="V204" s="4">
        <v>1</v>
      </c>
      <c r="W204" s="4">
        <v>1</v>
      </c>
      <c r="X204" s="4">
        <v>1</v>
      </c>
      <c r="Y204" s="4">
        <v>1</v>
      </c>
      <c r="Z204" s="4">
        <v>1</v>
      </c>
      <c r="AA204" s="4">
        <v>1</v>
      </c>
      <c r="AB204" s="4">
        <v>1</v>
      </c>
      <c r="AC204" s="4">
        <v>1</v>
      </c>
      <c r="AD204" s="4" t="s">
        <v>140</v>
      </c>
      <c r="AE204" s="4">
        <v>1</v>
      </c>
      <c r="AF204" s="4">
        <v>1</v>
      </c>
      <c r="AG204" s="4">
        <v>1</v>
      </c>
      <c r="AH204" s="4">
        <v>1</v>
      </c>
      <c r="AI204" s="4">
        <v>1</v>
      </c>
      <c r="AJ204" s="4" t="s">
        <v>140</v>
      </c>
      <c r="AK204" s="4">
        <v>1</v>
      </c>
      <c r="AL204" s="4">
        <v>1</v>
      </c>
      <c r="AM204" s="4">
        <v>1</v>
      </c>
      <c r="AN204" s="4" t="s">
        <v>140</v>
      </c>
      <c r="AO204" s="4">
        <v>1</v>
      </c>
      <c r="AP204" s="4">
        <v>1</v>
      </c>
      <c r="AQ204" s="4">
        <v>1</v>
      </c>
      <c r="AR204" s="4" t="s">
        <v>140</v>
      </c>
      <c r="AS204" s="4">
        <v>1</v>
      </c>
      <c r="AT204" s="4" t="s">
        <v>874</v>
      </c>
    </row>
    <row r="205" spans="1:46" x14ac:dyDescent="0.2">
      <c r="A205" s="4">
        <f t="shared" si="12"/>
        <v>11</v>
      </c>
      <c r="B205" s="4">
        <f t="shared" si="13"/>
        <v>3</v>
      </c>
      <c r="C205" s="13" t="str">
        <f>VLOOKUP(B205,Correspondance!$D$3:$E$14,2,FALSE)</f>
        <v>Mars</v>
      </c>
      <c r="D205" s="1" t="s">
        <v>917</v>
      </c>
      <c r="E205" s="2" t="s">
        <v>40</v>
      </c>
      <c r="F205" s="3" t="s">
        <v>61</v>
      </c>
      <c r="G205" s="4" t="s">
        <v>101</v>
      </c>
      <c r="H205" s="4" t="s">
        <v>102</v>
      </c>
      <c r="I205" s="5" t="s">
        <v>57</v>
      </c>
      <c r="J205" s="6">
        <v>98</v>
      </c>
      <c r="K205" s="4" t="s">
        <v>1001</v>
      </c>
      <c r="L205" s="4" t="s">
        <v>46</v>
      </c>
      <c r="M205" s="4" t="s">
        <v>47</v>
      </c>
      <c r="N205" s="4" t="s">
        <v>77</v>
      </c>
      <c r="O205" s="4" t="s">
        <v>49</v>
      </c>
      <c r="P205" s="4">
        <v>1</v>
      </c>
      <c r="Q205" s="4" t="s">
        <v>140</v>
      </c>
      <c r="R205" s="4">
        <v>1</v>
      </c>
      <c r="S205" s="4">
        <v>1</v>
      </c>
      <c r="T205" s="4">
        <v>1</v>
      </c>
      <c r="U205" s="4">
        <v>1</v>
      </c>
      <c r="V205" s="4">
        <v>1</v>
      </c>
      <c r="W205" s="4">
        <v>1</v>
      </c>
      <c r="X205" s="4">
        <v>1</v>
      </c>
      <c r="Y205" s="4">
        <v>1</v>
      </c>
      <c r="Z205" s="4">
        <v>1</v>
      </c>
      <c r="AA205" s="4">
        <v>1</v>
      </c>
      <c r="AB205" s="4">
        <v>1</v>
      </c>
      <c r="AC205" s="4">
        <v>1</v>
      </c>
      <c r="AD205" s="4" t="s">
        <v>140</v>
      </c>
      <c r="AE205" s="4">
        <v>1</v>
      </c>
      <c r="AF205" s="4">
        <v>1</v>
      </c>
      <c r="AG205" s="4">
        <v>1</v>
      </c>
      <c r="AH205" s="4">
        <v>1</v>
      </c>
      <c r="AI205" s="4">
        <v>1</v>
      </c>
      <c r="AJ205" s="4" t="s">
        <v>140</v>
      </c>
      <c r="AK205" s="4">
        <v>0</v>
      </c>
      <c r="AL205" s="4">
        <v>1</v>
      </c>
      <c r="AM205" s="4">
        <v>1</v>
      </c>
      <c r="AN205" s="4" t="s">
        <v>140</v>
      </c>
      <c r="AO205" s="4">
        <v>1</v>
      </c>
      <c r="AP205" s="4">
        <v>1</v>
      </c>
      <c r="AQ205" s="4">
        <v>1</v>
      </c>
      <c r="AR205" s="4" t="s">
        <v>140</v>
      </c>
      <c r="AS205" s="4">
        <v>1</v>
      </c>
      <c r="AT205" s="4" t="s">
        <v>1011</v>
      </c>
    </row>
    <row r="206" spans="1:46" x14ac:dyDescent="0.2">
      <c r="A206" s="4">
        <f t="shared" si="12"/>
        <v>11</v>
      </c>
      <c r="B206" s="4">
        <f t="shared" si="13"/>
        <v>3</v>
      </c>
      <c r="C206" s="13" t="str">
        <f>VLOOKUP(B206,Correspondance!$D$3:$E$14,2,FALSE)</f>
        <v>Mars</v>
      </c>
      <c r="D206" s="1" t="s">
        <v>917</v>
      </c>
      <c r="E206" s="2" t="s">
        <v>40</v>
      </c>
      <c r="F206" s="3" t="s">
        <v>61</v>
      </c>
      <c r="G206" s="4" t="s">
        <v>101</v>
      </c>
      <c r="H206" s="4" t="s">
        <v>102</v>
      </c>
      <c r="I206" s="5" t="s">
        <v>57</v>
      </c>
      <c r="J206" s="6">
        <v>100</v>
      </c>
      <c r="K206" s="4" t="s">
        <v>1002</v>
      </c>
      <c r="L206" s="4" t="s">
        <v>46</v>
      </c>
      <c r="M206" s="4" t="s">
        <v>47</v>
      </c>
      <c r="N206" s="4" t="s">
        <v>633</v>
      </c>
      <c r="O206" s="4" t="s">
        <v>49</v>
      </c>
      <c r="P206" s="4">
        <v>1</v>
      </c>
      <c r="Q206" s="4">
        <v>1</v>
      </c>
      <c r="R206" s="4">
        <v>1</v>
      </c>
      <c r="S206" s="4">
        <v>1</v>
      </c>
      <c r="T206" s="4">
        <v>1</v>
      </c>
      <c r="U206" s="4">
        <v>1</v>
      </c>
      <c r="V206" s="4">
        <v>1</v>
      </c>
      <c r="W206" s="4">
        <v>1</v>
      </c>
      <c r="X206" s="4">
        <v>1</v>
      </c>
      <c r="Y206" s="4">
        <v>1</v>
      </c>
      <c r="Z206" s="4">
        <v>1</v>
      </c>
      <c r="AA206" s="4">
        <v>1</v>
      </c>
      <c r="AB206" s="4">
        <v>1</v>
      </c>
      <c r="AC206" s="4">
        <v>1</v>
      </c>
      <c r="AD206" s="4" t="s">
        <v>140</v>
      </c>
      <c r="AE206" s="4">
        <v>1</v>
      </c>
      <c r="AF206" s="4">
        <v>1</v>
      </c>
      <c r="AG206" s="4">
        <v>1</v>
      </c>
      <c r="AH206" s="4">
        <v>1</v>
      </c>
      <c r="AI206" s="4">
        <v>1</v>
      </c>
      <c r="AJ206" s="4" t="s">
        <v>140</v>
      </c>
      <c r="AK206" s="4">
        <v>1</v>
      </c>
      <c r="AL206" s="4">
        <v>1</v>
      </c>
      <c r="AM206" s="4">
        <v>1</v>
      </c>
      <c r="AN206" s="4" t="s">
        <v>140</v>
      </c>
      <c r="AO206" s="4">
        <v>1</v>
      </c>
      <c r="AP206" s="4">
        <v>1</v>
      </c>
      <c r="AQ206" s="4">
        <v>1</v>
      </c>
      <c r="AR206" s="4" t="s">
        <v>140</v>
      </c>
      <c r="AS206" s="4">
        <v>1</v>
      </c>
      <c r="AT206" s="4" t="s">
        <v>1011</v>
      </c>
    </row>
    <row r="207" spans="1:46" x14ac:dyDescent="0.2">
      <c r="A207" s="4">
        <f t="shared" si="12"/>
        <v>11</v>
      </c>
      <c r="B207" s="4">
        <f t="shared" si="13"/>
        <v>3</v>
      </c>
      <c r="C207" s="13" t="str">
        <f>VLOOKUP(B207,Correspondance!$D$3:$E$14,2,FALSE)</f>
        <v>Mars</v>
      </c>
      <c r="D207" s="1" t="s">
        <v>874</v>
      </c>
      <c r="E207" s="2" t="s">
        <v>40</v>
      </c>
      <c r="F207" s="3" t="s">
        <v>41</v>
      </c>
      <c r="G207" s="4" t="s">
        <v>109</v>
      </c>
      <c r="H207" s="4" t="s">
        <v>110</v>
      </c>
      <c r="I207" s="5" t="s">
        <v>41</v>
      </c>
      <c r="J207" s="6">
        <v>90.166666666666671</v>
      </c>
      <c r="K207" s="4" t="s">
        <v>1003</v>
      </c>
      <c r="L207" s="4" t="s">
        <v>66</v>
      </c>
      <c r="M207" s="4" t="s">
        <v>47</v>
      </c>
      <c r="N207" s="4" t="s">
        <v>490</v>
      </c>
      <c r="O207" s="4" t="s">
        <v>49</v>
      </c>
      <c r="P207" s="4">
        <v>1</v>
      </c>
      <c r="Q207" s="4">
        <v>1</v>
      </c>
      <c r="R207" s="4">
        <v>1</v>
      </c>
      <c r="S207" s="4">
        <v>1</v>
      </c>
      <c r="T207" s="4">
        <v>0</v>
      </c>
      <c r="U207" s="4">
        <v>1</v>
      </c>
      <c r="V207" s="4">
        <v>1</v>
      </c>
      <c r="W207" s="4">
        <v>1</v>
      </c>
      <c r="X207" s="4">
        <v>1</v>
      </c>
      <c r="Y207" s="4">
        <v>1</v>
      </c>
      <c r="Z207" s="4">
        <v>1</v>
      </c>
      <c r="AA207" s="4">
        <v>1</v>
      </c>
      <c r="AB207" s="4">
        <v>1</v>
      </c>
      <c r="AC207" s="4">
        <v>1</v>
      </c>
      <c r="AD207" s="4">
        <v>1</v>
      </c>
      <c r="AE207" s="4">
        <v>1</v>
      </c>
      <c r="AF207" s="4">
        <v>1</v>
      </c>
      <c r="AG207" s="4">
        <v>1</v>
      </c>
      <c r="AH207" s="4">
        <v>1</v>
      </c>
      <c r="AI207" s="4">
        <v>1</v>
      </c>
      <c r="AJ207" s="4">
        <v>1</v>
      </c>
      <c r="AK207" s="4">
        <v>0</v>
      </c>
      <c r="AL207" s="4">
        <v>1</v>
      </c>
      <c r="AM207" s="4">
        <v>1</v>
      </c>
      <c r="AN207" s="4">
        <v>1</v>
      </c>
      <c r="AO207" s="4">
        <v>1</v>
      </c>
      <c r="AP207" s="4">
        <v>1</v>
      </c>
      <c r="AQ207" s="4">
        <v>0</v>
      </c>
      <c r="AR207" s="4" t="s">
        <v>140</v>
      </c>
      <c r="AS207" s="4">
        <v>1</v>
      </c>
      <c r="AT207" s="4" t="s">
        <v>1053</v>
      </c>
    </row>
    <row r="208" spans="1:46" x14ac:dyDescent="0.2">
      <c r="A208" s="4">
        <f t="shared" si="12"/>
        <v>11</v>
      </c>
      <c r="B208" s="4">
        <f t="shared" si="13"/>
        <v>3</v>
      </c>
      <c r="C208" s="13" t="str">
        <f>VLOOKUP(B208,Correspondance!$D$3:$E$14,2,FALSE)</f>
        <v>Mars</v>
      </c>
      <c r="D208" s="1" t="s">
        <v>874</v>
      </c>
      <c r="E208" s="2" t="s">
        <v>40</v>
      </c>
      <c r="F208" s="3" t="s">
        <v>41</v>
      </c>
      <c r="G208" s="4" t="s">
        <v>42</v>
      </c>
      <c r="H208" s="4" t="s">
        <v>43</v>
      </c>
      <c r="I208" s="5" t="s">
        <v>57</v>
      </c>
      <c r="J208" s="6">
        <v>100</v>
      </c>
      <c r="K208" s="4" t="s">
        <v>1004</v>
      </c>
      <c r="L208" s="4" t="s">
        <v>66</v>
      </c>
      <c r="M208" s="4" t="s">
        <v>74</v>
      </c>
      <c r="N208" s="4" t="s">
        <v>188</v>
      </c>
      <c r="O208" s="4" t="s">
        <v>49</v>
      </c>
      <c r="P208" s="4">
        <v>1</v>
      </c>
      <c r="Q208" s="4">
        <v>1</v>
      </c>
      <c r="R208" s="4">
        <v>1</v>
      </c>
      <c r="S208" s="4">
        <v>1</v>
      </c>
      <c r="T208" s="4">
        <v>1</v>
      </c>
      <c r="U208" s="4">
        <v>1</v>
      </c>
      <c r="V208" s="4">
        <v>1</v>
      </c>
      <c r="W208" s="4">
        <v>1</v>
      </c>
      <c r="X208" s="4">
        <v>1</v>
      </c>
      <c r="Y208" s="4">
        <v>1</v>
      </c>
      <c r="Z208" s="4">
        <v>1</v>
      </c>
      <c r="AA208" s="4">
        <v>1</v>
      </c>
      <c r="AB208" s="4">
        <v>1</v>
      </c>
      <c r="AC208" s="4">
        <v>1</v>
      </c>
      <c r="AD208" s="4" t="s">
        <v>140</v>
      </c>
      <c r="AE208" s="4">
        <v>1</v>
      </c>
      <c r="AF208" s="4">
        <v>1</v>
      </c>
      <c r="AG208" s="4">
        <v>1</v>
      </c>
      <c r="AH208" s="4">
        <v>1</v>
      </c>
      <c r="AI208" s="4">
        <v>1</v>
      </c>
      <c r="AJ208" s="4">
        <v>1</v>
      </c>
      <c r="AK208" s="4">
        <v>1</v>
      </c>
      <c r="AL208" s="4">
        <v>1</v>
      </c>
      <c r="AM208" s="4">
        <v>1</v>
      </c>
      <c r="AN208" s="4">
        <v>1</v>
      </c>
      <c r="AO208" s="4">
        <v>1</v>
      </c>
      <c r="AP208" s="4">
        <v>1</v>
      </c>
      <c r="AQ208" s="4">
        <v>1</v>
      </c>
      <c r="AR208" s="4" t="s">
        <v>140</v>
      </c>
      <c r="AS208" s="4">
        <v>1</v>
      </c>
      <c r="AT208" s="4" t="s">
        <v>797</v>
      </c>
    </row>
    <row r="209" spans="1:46" x14ac:dyDescent="0.2">
      <c r="A209" s="4">
        <f t="shared" si="12"/>
        <v>11</v>
      </c>
      <c r="B209" s="4">
        <f t="shared" si="13"/>
        <v>3</v>
      </c>
      <c r="C209" s="13" t="str">
        <f>VLOOKUP(B209,Correspondance!$D$3:$E$14,2,FALSE)</f>
        <v>Mars</v>
      </c>
      <c r="D209" s="1" t="s">
        <v>874</v>
      </c>
      <c r="E209" s="2" t="s">
        <v>40</v>
      </c>
      <c r="F209" s="3" t="s">
        <v>41</v>
      </c>
      <c r="G209" s="4" t="s">
        <v>78</v>
      </c>
      <c r="H209" s="4" t="s">
        <v>79</v>
      </c>
      <c r="I209" s="5" t="s">
        <v>41</v>
      </c>
      <c r="J209" s="6">
        <v>90</v>
      </c>
      <c r="K209" s="4" t="s">
        <v>1005</v>
      </c>
      <c r="L209" s="4" t="s">
        <v>66</v>
      </c>
      <c r="M209" s="4" t="s">
        <v>47</v>
      </c>
      <c r="N209" s="4" t="s">
        <v>490</v>
      </c>
      <c r="O209" s="4" t="s">
        <v>49</v>
      </c>
      <c r="P209" s="4">
        <v>1</v>
      </c>
      <c r="Q209" s="4">
        <v>1</v>
      </c>
      <c r="R209" s="4">
        <v>1</v>
      </c>
      <c r="S209" s="4">
        <v>1</v>
      </c>
      <c r="T209" s="4">
        <v>1</v>
      </c>
      <c r="U209" s="4">
        <v>1</v>
      </c>
      <c r="V209" s="4">
        <v>1</v>
      </c>
      <c r="W209" s="4">
        <v>1</v>
      </c>
      <c r="X209" s="4">
        <v>0</v>
      </c>
      <c r="Y209" s="4">
        <v>1</v>
      </c>
      <c r="Z209" s="4">
        <v>1</v>
      </c>
      <c r="AA209" s="4">
        <v>1</v>
      </c>
      <c r="AB209" s="4">
        <v>1</v>
      </c>
      <c r="AC209" s="4">
        <v>1</v>
      </c>
      <c r="AD209" s="4" t="s">
        <v>140</v>
      </c>
      <c r="AE209" s="4">
        <v>1</v>
      </c>
      <c r="AF209" s="4">
        <v>1</v>
      </c>
      <c r="AG209" s="4">
        <v>1</v>
      </c>
      <c r="AH209" s="4">
        <v>1</v>
      </c>
      <c r="AI209" s="4">
        <v>1</v>
      </c>
      <c r="AJ209" s="4">
        <v>1</v>
      </c>
      <c r="AK209" s="4">
        <v>0</v>
      </c>
      <c r="AL209" s="4">
        <v>1</v>
      </c>
      <c r="AM209" s="4">
        <v>1</v>
      </c>
      <c r="AN209" s="4">
        <v>1</v>
      </c>
      <c r="AO209" s="4">
        <v>1</v>
      </c>
      <c r="AP209" s="4">
        <v>1</v>
      </c>
      <c r="AQ209" s="4">
        <v>0</v>
      </c>
      <c r="AR209" s="4" t="s">
        <v>140</v>
      </c>
      <c r="AS209" s="4">
        <v>1</v>
      </c>
      <c r="AT209" s="4" t="s">
        <v>797</v>
      </c>
    </row>
    <row r="210" spans="1:46" x14ac:dyDescent="0.2">
      <c r="A210" s="4">
        <f t="shared" si="12"/>
        <v>11</v>
      </c>
      <c r="B210" s="4">
        <f t="shared" si="13"/>
        <v>3</v>
      </c>
      <c r="C210" s="13" t="str">
        <f>VLOOKUP(B210,Correspondance!$D$3:$E$14,2,FALSE)</f>
        <v>Mars</v>
      </c>
      <c r="D210" s="1" t="s">
        <v>874</v>
      </c>
      <c r="E210" s="2" t="s">
        <v>40</v>
      </c>
      <c r="F210" s="3" t="s">
        <v>41</v>
      </c>
      <c r="G210" s="4" t="s">
        <v>82</v>
      </c>
      <c r="H210" s="4" t="s">
        <v>83</v>
      </c>
      <c r="I210" s="5" t="s">
        <v>41</v>
      </c>
      <c r="J210" s="6">
        <v>96</v>
      </c>
      <c r="K210" s="4" t="s">
        <v>1006</v>
      </c>
      <c r="L210" s="4" t="s">
        <v>66</v>
      </c>
      <c r="M210" s="4" t="s">
        <v>74</v>
      </c>
      <c r="N210" s="4" t="s">
        <v>943</v>
      </c>
      <c r="O210" s="4" t="s">
        <v>49</v>
      </c>
      <c r="P210" s="4">
        <v>1</v>
      </c>
      <c r="Q210" s="4" t="s">
        <v>140</v>
      </c>
      <c r="R210" s="4">
        <v>1</v>
      </c>
      <c r="S210" s="4">
        <v>1</v>
      </c>
      <c r="T210" s="4">
        <v>1</v>
      </c>
      <c r="U210" s="4">
        <v>1</v>
      </c>
      <c r="V210" s="4">
        <v>1</v>
      </c>
      <c r="W210" s="4">
        <v>1</v>
      </c>
      <c r="X210" s="4">
        <v>1</v>
      </c>
      <c r="Y210" s="4">
        <v>1</v>
      </c>
      <c r="Z210" s="4">
        <v>1</v>
      </c>
      <c r="AA210" s="4">
        <v>1</v>
      </c>
      <c r="AB210" s="4">
        <v>1</v>
      </c>
      <c r="AC210" s="4">
        <v>1</v>
      </c>
      <c r="AD210" s="4" t="s">
        <v>140</v>
      </c>
      <c r="AE210" s="4">
        <v>1</v>
      </c>
      <c r="AF210" s="4">
        <v>1</v>
      </c>
      <c r="AG210" s="4">
        <v>1</v>
      </c>
      <c r="AH210" s="4">
        <v>1</v>
      </c>
      <c r="AI210" s="4">
        <v>1</v>
      </c>
      <c r="AJ210" s="4">
        <v>1</v>
      </c>
      <c r="AK210" s="4">
        <v>0</v>
      </c>
      <c r="AL210" s="4">
        <v>1</v>
      </c>
      <c r="AM210" s="4">
        <v>1</v>
      </c>
      <c r="AN210" s="4">
        <v>1</v>
      </c>
      <c r="AO210" s="4">
        <v>1</v>
      </c>
      <c r="AP210" s="4">
        <v>1</v>
      </c>
      <c r="AQ210" s="4">
        <v>0</v>
      </c>
      <c r="AR210" s="4" t="s">
        <v>140</v>
      </c>
      <c r="AS210" s="4">
        <v>1</v>
      </c>
      <c r="AT210" s="4" t="s">
        <v>948</v>
      </c>
    </row>
    <row r="211" spans="1:46" x14ac:dyDescent="0.2">
      <c r="A211" s="4">
        <f t="shared" si="12"/>
        <v>11</v>
      </c>
      <c r="B211" s="4">
        <f t="shared" si="13"/>
        <v>3</v>
      </c>
      <c r="C211" s="13" t="str">
        <f>VLOOKUP(B211,Correspondance!$D$3:$E$14,2,FALSE)</f>
        <v>Mars</v>
      </c>
      <c r="D211" s="1" t="s">
        <v>874</v>
      </c>
      <c r="E211" s="2" t="s">
        <v>40</v>
      </c>
      <c r="F211" s="3" t="s">
        <v>41</v>
      </c>
      <c r="G211" s="4" t="s">
        <v>89</v>
      </c>
      <c r="H211" s="4" t="s">
        <v>90</v>
      </c>
      <c r="I211" s="5" t="s">
        <v>41</v>
      </c>
      <c r="J211" s="6">
        <v>96</v>
      </c>
      <c r="K211" s="4" t="s">
        <v>1007</v>
      </c>
      <c r="L211" s="4" t="s">
        <v>66</v>
      </c>
      <c r="M211" s="4" t="s">
        <v>47</v>
      </c>
      <c r="N211" s="4"/>
      <c r="O211" s="4" t="s">
        <v>49</v>
      </c>
      <c r="P211" s="4">
        <v>1</v>
      </c>
      <c r="Q211" s="4">
        <v>1</v>
      </c>
      <c r="R211" s="4">
        <v>1</v>
      </c>
      <c r="S211" s="4">
        <v>1</v>
      </c>
      <c r="T211" s="4">
        <v>1</v>
      </c>
      <c r="U211" s="4">
        <v>1</v>
      </c>
      <c r="V211" s="4">
        <v>1</v>
      </c>
      <c r="W211" s="4">
        <v>1</v>
      </c>
      <c r="X211" s="4">
        <v>1</v>
      </c>
      <c r="Y211" s="4">
        <v>1</v>
      </c>
      <c r="Z211" s="4">
        <v>1</v>
      </c>
      <c r="AA211" s="4">
        <v>1</v>
      </c>
      <c r="AB211" s="4">
        <v>1</v>
      </c>
      <c r="AC211" s="4">
        <v>1</v>
      </c>
      <c r="AD211" s="4" t="s">
        <v>140</v>
      </c>
      <c r="AE211" s="4">
        <v>1</v>
      </c>
      <c r="AF211" s="4">
        <v>1</v>
      </c>
      <c r="AG211" s="4">
        <v>1</v>
      </c>
      <c r="AH211" s="4">
        <v>1</v>
      </c>
      <c r="AI211" s="4">
        <v>1</v>
      </c>
      <c r="AJ211" s="4">
        <v>1</v>
      </c>
      <c r="AK211" s="4">
        <v>0</v>
      </c>
      <c r="AL211" s="4">
        <v>1</v>
      </c>
      <c r="AM211" s="4">
        <v>1</v>
      </c>
      <c r="AN211" s="4">
        <v>1</v>
      </c>
      <c r="AO211" s="4">
        <v>1</v>
      </c>
      <c r="AP211" s="4">
        <v>1</v>
      </c>
      <c r="AQ211" s="4">
        <v>0</v>
      </c>
      <c r="AR211" s="4" t="s">
        <v>140</v>
      </c>
      <c r="AS211" s="4">
        <v>1</v>
      </c>
      <c r="AT211" s="4" t="s">
        <v>948</v>
      </c>
    </row>
    <row r="212" spans="1:46" ht="25.5" x14ac:dyDescent="0.2">
      <c r="A212" s="4">
        <f t="shared" si="12"/>
        <v>11</v>
      </c>
      <c r="B212" s="4">
        <f t="shared" si="13"/>
        <v>3</v>
      </c>
      <c r="C212" s="13" t="str">
        <f>VLOOKUP(B212,Correspondance!$D$3:$E$14,2,FALSE)</f>
        <v>Mars</v>
      </c>
      <c r="D212" s="1" t="s">
        <v>874</v>
      </c>
      <c r="E212" s="2" t="s">
        <v>40</v>
      </c>
      <c r="F212" s="3" t="s">
        <v>61</v>
      </c>
      <c r="G212" s="4" t="s">
        <v>101</v>
      </c>
      <c r="H212" s="4" t="s">
        <v>102</v>
      </c>
      <c r="I212" s="5" t="s">
        <v>61</v>
      </c>
      <c r="J212" s="6">
        <v>100</v>
      </c>
      <c r="K212" s="4" t="s">
        <v>1008</v>
      </c>
      <c r="L212" s="4" t="s">
        <v>66</v>
      </c>
      <c r="M212" s="4" t="s">
        <v>47</v>
      </c>
      <c r="N212" s="4" t="s">
        <v>499</v>
      </c>
      <c r="O212" s="4" t="s">
        <v>49</v>
      </c>
      <c r="P212" s="4">
        <v>1</v>
      </c>
      <c r="Q212" s="4">
        <v>1</v>
      </c>
      <c r="R212" s="4">
        <v>1</v>
      </c>
      <c r="S212" s="4">
        <v>1</v>
      </c>
      <c r="T212" s="4">
        <v>1</v>
      </c>
      <c r="U212" s="4">
        <v>1</v>
      </c>
      <c r="V212" s="4">
        <v>1</v>
      </c>
      <c r="W212" s="4">
        <v>1</v>
      </c>
      <c r="X212" s="4">
        <v>1</v>
      </c>
      <c r="Y212" s="4">
        <v>1</v>
      </c>
      <c r="Z212" s="4">
        <v>1</v>
      </c>
      <c r="AA212" s="4">
        <v>1</v>
      </c>
      <c r="AB212" s="4">
        <v>1</v>
      </c>
      <c r="AC212" s="4">
        <v>1</v>
      </c>
      <c r="AD212" s="4" t="s">
        <v>140</v>
      </c>
      <c r="AE212" s="4">
        <v>1</v>
      </c>
      <c r="AF212" s="4">
        <v>1</v>
      </c>
      <c r="AG212" s="4">
        <v>1</v>
      </c>
      <c r="AH212" s="4">
        <v>1</v>
      </c>
      <c r="AI212" s="4">
        <v>1</v>
      </c>
      <c r="AJ212" s="4">
        <v>1</v>
      </c>
      <c r="AK212" s="4">
        <v>1</v>
      </c>
      <c r="AL212" s="4">
        <v>1</v>
      </c>
      <c r="AM212" s="4">
        <v>1</v>
      </c>
      <c r="AN212" s="4" t="s">
        <v>140</v>
      </c>
      <c r="AO212" s="4">
        <v>1</v>
      </c>
      <c r="AP212" s="4">
        <v>1</v>
      </c>
      <c r="AQ212" s="4">
        <v>1</v>
      </c>
      <c r="AR212" s="4" t="s">
        <v>140</v>
      </c>
      <c r="AS212" s="4">
        <v>1</v>
      </c>
      <c r="AT212" s="4" t="s">
        <v>948</v>
      </c>
    </row>
    <row r="213" spans="1:46" x14ac:dyDescent="0.2">
      <c r="A213" s="4">
        <f t="shared" si="12"/>
        <v>11</v>
      </c>
      <c r="B213" s="4">
        <f t="shared" si="13"/>
        <v>3</v>
      </c>
      <c r="C213" s="13" t="str">
        <f>VLOOKUP(B213,Correspondance!$D$3:$E$14,2,FALSE)</f>
        <v>Mars</v>
      </c>
      <c r="D213" s="1" t="s">
        <v>874</v>
      </c>
      <c r="E213" s="2" t="s">
        <v>40</v>
      </c>
      <c r="F213" s="3" t="s">
        <v>61</v>
      </c>
      <c r="G213" s="4" t="s">
        <v>505</v>
      </c>
      <c r="H213" s="4" t="s">
        <v>506</v>
      </c>
      <c r="I213" s="5" t="s">
        <v>57</v>
      </c>
      <c r="J213" s="6">
        <v>97</v>
      </c>
      <c r="K213" s="4" t="s">
        <v>1009</v>
      </c>
      <c r="L213" s="4" t="s">
        <v>66</v>
      </c>
      <c r="M213" s="4" t="s">
        <v>47</v>
      </c>
      <c r="N213" s="4" t="s">
        <v>1010</v>
      </c>
      <c r="O213" s="4" t="s">
        <v>49</v>
      </c>
      <c r="P213" s="4">
        <v>1</v>
      </c>
      <c r="Q213" s="4">
        <v>1</v>
      </c>
      <c r="R213" s="4">
        <v>1</v>
      </c>
      <c r="S213" s="4">
        <v>1</v>
      </c>
      <c r="T213" s="4">
        <v>1</v>
      </c>
      <c r="U213" s="4">
        <v>0</v>
      </c>
      <c r="V213" s="4">
        <v>1</v>
      </c>
      <c r="W213" s="4">
        <v>1</v>
      </c>
      <c r="X213" s="4">
        <v>1</v>
      </c>
      <c r="Y213" s="4">
        <v>1</v>
      </c>
      <c r="Z213" s="4">
        <v>1</v>
      </c>
      <c r="AA213" s="4">
        <v>1</v>
      </c>
      <c r="AB213" s="4">
        <v>1</v>
      </c>
      <c r="AC213" s="4">
        <v>1</v>
      </c>
      <c r="AD213" s="4" t="s">
        <v>140</v>
      </c>
      <c r="AE213" s="4">
        <v>1</v>
      </c>
      <c r="AF213" s="4">
        <v>1</v>
      </c>
      <c r="AG213" s="4">
        <v>1</v>
      </c>
      <c r="AH213" s="4">
        <v>1</v>
      </c>
      <c r="AI213" s="4">
        <v>1</v>
      </c>
      <c r="AJ213" s="4">
        <v>1</v>
      </c>
      <c r="AK213" s="4">
        <v>1</v>
      </c>
      <c r="AL213" s="4">
        <v>1</v>
      </c>
      <c r="AM213" s="4">
        <v>1</v>
      </c>
      <c r="AN213" s="4" t="s">
        <v>140</v>
      </c>
      <c r="AO213" s="4">
        <v>1</v>
      </c>
      <c r="AP213" s="4">
        <v>1</v>
      </c>
      <c r="AQ213" s="4">
        <v>1</v>
      </c>
      <c r="AR213" s="4" t="s">
        <v>140</v>
      </c>
      <c r="AS213" s="4">
        <v>1</v>
      </c>
      <c r="AT213" s="4" t="s">
        <v>874</v>
      </c>
    </row>
    <row r="214" spans="1:46" x14ac:dyDescent="0.2">
      <c r="A214" s="4">
        <f t="shared" si="12"/>
        <v>11</v>
      </c>
      <c r="B214" s="4">
        <f t="shared" si="13"/>
        <v>3</v>
      </c>
      <c r="C214" s="13" t="str">
        <f>VLOOKUP(B214,Correspondance!$D$3:$E$14,2,FALSE)</f>
        <v>Mars</v>
      </c>
      <c r="D214" s="1" t="s">
        <v>874</v>
      </c>
      <c r="E214" s="2" t="s">
        <v>40</v>
      </c>
      <c r="F214" s="3" t="s">
        <v>61</v>
      </c>
      <c r="G214" s="4" t="s">
        <v>505</v>
      </c>
      <c r="H214" s="4" t="s">
        <v>506</v>
      </c>
      <c r="I214" s="5" t="s">
        <v>57</v>
      </c>
      <c r="J214" s="6">
        <v>97</v>
      </c>
      <c r="K214" s="4" t="s">
        <v>1009</v>
      </c>
      <c r="L214" s="4" t="s">
        <v>66</v>
      </c>
      <c r="M214" s="4" t="s">
        <v>47</v>
      </c>
      <c r="N214" s="4" t="s">
        <v>1010</v>
      </c>
      <c r="O214" s="4" t="s">
        <v>49</v>
      </c>
      <c r="P214" s="4">
        <v>1</v>
      </c>
      <c r="Q214" s="4">
        <v>1</v>
      </c>
      <c r="R214" s="4">
        <v>1</v>
      </c>
      <c r="S214" s="4">
        <v>1</v>
      </c>
      <c r="T214" s="4">
        <v>1</v>
      </c>
      <c r="U214" s="4">
        <v>0</v>
      </c>
      <c r="V214" s="4">
        <v>1</v>
      </c>
      <c r="W214" s="4">
        <v>1</v>
      </c>
      <c r="X214" s="4">
        <v>1</v>
      </c>
      <c r="Y214" s="4">
        <v>1</v>
      </c>
      <c r="Z214" s="4">
        <v>1</v>
      </c>
      <c r="AA214" s="4">
        <v>1</v>
      </c>
      <c r="AB214" s="4">
        <v>1</v>
      </c>
      <c r="AC214" s="4">
        <v>1</v>
      </c>
      <c r="AD214" s="4" t="s">
        <v>140</v>
      </c>
      <c r="AE214" s="4">
        <v>1</v>
      </c>
      <c r="AF214" s="4">
        <v>1</v>
      </c>
      <c r="AG214" s="4">
        <v>1</v>
      </c>
      <c r="AH214" s="4">
        <v>1</v>
      </c>
      <c r="AI214" s="4">
        <v>1</v>
      </c>
      <c r="AJ214" s="4">
        <v>1</v>
      </c>
      <c r="AK214" s="4">
        <v>1</v>
      </c>
      <c r="AL214" s="4">
        <v>1</v>
      </c>
      <c r="AM214" s="4">
        <v>1</v>
      </c>
      <c r="AN214" s="4" t="s">
        <v>140</v>
      </c>
      <c r="AO214" s="4">
        <v>1</v>
      </c>
      <c r="AP214" s="4">
        <v>1</v>
      </c>
      <c r="AQ214" s="4">
        <v>1</v>
      </c>
      <c r="AR214" s="4" t="s">
        <v>140</v>
      </c>
      <c r="AS214" s="4">
        <v>1</v>
      </c>
      <c r="AT214" s="4" t="s">
        <v>874</v>
      </c>
    </row>
    <row r="215" spans="1:46" x14ac:dyDescent="0.2">
      <c r="A215" s="4">
        <f t="shared" si="12"/>
        <v>11</v>
      </c>
      <c r="B215" s="4">
        <f t="shared" si="13"/>
        <v>3</v>
      </c>
      <c r="C215" s="13" t="str">
        <f>VLOOKUP(B215,Correspondance!$D$3:$E$14,2,FALSE)</f>
        <v>Mars</v>
      </c>
      <c r="D215" s="1" t="s">
        <v>1011</v>
      </c>
      <c r="E215" s="2" t="s">
        <v>40</v>
      </c>
      <c r="F215" s="3" t="s">
        <v>61</v>
      </c>
      <c r="G215" s="4" t="s">
        <v>62</v>
      </c>
      <c r="H215" s="4" t="s">
        <v>63</v>
      </c>
      <c r="I215" s="5" t="s">
        <v>57</v>
      </c>
      <c r="J215" s="6">
        <v>77.86666666666666</v>
      </c>
      <c r="K215" s="4" t="s">
        <v>1012</v>
      </c>
      <c r="L215" s="4" t="s">
        <v>46</v>
      </c>
      <c r="M215" s="4" t="s">
        <v>47</v>
      </c>
      <c r="N215" s="4" t="s">
        <v>77</v>
      </c>
      <c r="O215" s="4" t="s">
        <v>49</v>
      </c>
      <c r="P215" s="4">
        <v>1</v>
      </c>
      <c r="Q215" s="4">
        <v>0</v>
      </c>
      <c r="R215" s="4">
        <v>1</v>
      </c>
      <c r="S215" s="4">
        <v>1</v>
      </c>
      <c r="T215" s="4">
        <v>1</v>
      </c>
      <c r="U215" s="4">
        <v>0</v>
      </c>
      <c r="V215" s="4">
        <v>1</v>
      </c>
      <c r="W215" s="4">
        <v>1</v>
      </c>
      <c r="X215" s="4">
        <v>1</v>
      </c>
      <c r="Y215" s="4">
        <v>1</v>
      </c>
      <c r="Z215" s="4">
        <v>1</v>
      </c>
      <c r="AA215" s="4">
        <v>1</v>
      </c>
      <c r="AB215" s="4">
        <v>1</v>
      </c>
      <c r="AC215" s="4">
        <v>1</v>
      </c>
      <c r="AD215" s="4" t="s">
        <v>140</v>
      </c>
      <c r="AE215" s="4">
        <v>1</v>
      </c>
      <c r="AF215" s="4">
        <v>1</v>
      </c>
      <c r="AG215" s="4">
        <v>1</v>
      </c>
      <c r="AH215" s="4">
        <v>0</v>
      </c>
      <c r="AI215" s="4">
        <v>1</v>
      </c>
      <c r="AJ215" s="4">
        <v>1</v>
      </c>
      <c r="AK215" s="4">
        <v>0</v>
      </c>
      <c r="AL215" s="4">
        <v>0</v>
      </c>
      <c r="AM215" s="4">
        <v>1</v>
      </c>
      <c r="AN215" s="4" t="s">
        <v>140</v>
      </c>
      <c r="AO215" s="4">
        <v>1</v>
      </c>
      <c r="AP215" s="4">
        <v>1</v>
      </c>
      <c r="AQ215" s="4">
        <v>1</v>
      </c>
      <c r="AR215" s="4" t="s">
        <v>140</v>
      </c>
      <c r="AS215" s="4">
        <v>0</v>
      </c>
      <c r="AT215" s="4" t="s">
        <v>873</v>
      </c>
    </row>
    <row r="216" spans="1:46" x14ac:dyDescent="0.2">
      <c r="A216" s="4">
        <f t="shared" si="12"/>
        <v>11</v>
      </c>
      <c r="B216" s="4">
        <f t="shared" si="13"/>
        <v>3</v>
      </c>
      <c r="C216" s="13" t="str">
        <f>VLOOKUP(B216,Correspondance!$D$3:$E$14,2,FALSE)</f>
        <v>Mars</v>
      </c>
      <c r="D216" s="1" t="s">
        <v>1011</v>
      </c>
      <c r="E216" s="2" t="s">
        <v>40</v>
      </c>
      <c r="F216" s="3" t="s">
        <v>61</v>
      </c>
      <c r="G216" s="4" t="s">
        <v>62</v>
      </c>
      <c r="H216" s="4" t="s">
        <v>63</v>
      </c>
      <c r="I216" s="5" t="s">
        <v>57</v>
      </c>
      <c r="J216" s="6">
        <v>93.25</v>
      </c>
      <c r="K216" s="4" t="s">
        <v>1013</v>
      </c>
      <c r="L216" s="4" t="s">
        <v>46</v>
      </c>
      <c r="M216" s="4" t="s">
        <v>47</v>
      </c>
      <c r="N216" s="4"/>
      <c r="O216" s="4" t="s">
        <v>49</v>
      </c>
      <c r="P216" s="4">
        <v>1</v>
      </c>
      <c r="Q216" s="4">
        <v>1</v>
      </c>
      <c r="R216" s="4">
        <v>1</v>
      </c>
      <c r="S216" s="4">
        <v>1</v>
      </c>
      <c r="T216" s="4">
        <v>1</v>
      </c>
      <c r="U216" s="4">
        <v>0</v>
      </c>
      <c r="V216" s="4">
        <v>1</v>
      </c>
      <c r="W216" s="4">
        <v>1</v>
      </c>
      <c r="X216" s="4">
        <v>1</v>
      </c>
      <c r="Y216" s="4">
        <v>1</v>
      </c>
      <c r="Z216" s="4">
        <v>1</v>
      </c>
      <c r="AA216" s="4">
        <v>1</v>
      </c>
      <c r="AB216" s="4">
        <v>1</v>
      </c>
      <c r="AC216" s="4">
        <v>1</v>
      </c>
      <c r="AD216" s="4" t="s">
        <v>140</v>
      </c>
      <c r="AE216" s="4">
        <v>1</v>
      </c>
      <c r="AF216" s="4">
        <v>1</v>
      </c>
      <c r="AG216" s="4">
        <v>1</v>
      </c>
      <c r="AH216" s="4">
        <v>1</v>
      </c>
      <c r="AI216" s="4">
        <v>1</v>
      </c>
      <c r="AJ216" s="4">
        <v>1</v>
      </c>
      <c r="AK216" s="4">
        <v>1</v>
      </c>
      <c r="AL216" s="4">
        <v>0</v>
      </c>
      <c r="AM216" s="4">
        <v>1</v>
      </c>
      <c r="AN216" s="4" t="s">
        <v>140</v>
      </c>
      <c r="AO216" s="4">
        <v>1</v>
      </c>
      <c r="AP216" s="4">
        <v>1</v>
      </c>
      <c r="AQ216" s="4">
        <v>1</v>
      </c>
      <c r="AR216" s="4" t="s">
        <v>140</v>
      </c>
      <c r="AS216" s="4">
        <v>1</v>
      </c>
      <c r="AT216" s="4" t="s">
        <v>873</v>
      </c>
    </row>
    <row r="217" spans="1:46" x14ac:dyDescent="0.2">
      <c r="A217" s="4">
        <f t="shared" si="12"/>
        <v>12</v>
      </c>
      <c r="B217" s="4">
        <f t="shared" si="13"/>
        <v>3</v>
      </c>
      <c r="C217" s="13" t="str">
        <f>VLOOKUP(B217,Correspondance!$D$3:$E$14,2,FALSE)</f>
        <v>Mars</v>
      </c>
      <c r="D217" s="1" t="s">
        <v>796</v>
      </c>
      <c r="E217" s="2" t="s">
        <v>40</v>
      </c>
      <c r="F217" s="3" t="s">
        <v>41</v>
      </c>
      <c r="G217" s="4" t="s">
        <v>42</v>
      </c>
      <c r="H217" s="4" t="s">
        <v>43</v>
      </c>
      <c r="I217" s="5" t="s">
        <v>41</v>
      </c>
      <c r="J217" s="6">
        <v>94.166666666666671</v>
      </c>
      <c r="K217" s="4" t="s">
        <v>1014</v>
      </c>
      <c r="L217" s="4" t="s">
        <v>66</v>
      </c>
      <c r="M217" s="4" t="s">
        <v>175</v>
      </c>
      <c r="N217" s="4" t="s">
        <v>1015</v>
      </c>
      <c r="O217" s="4" t="s">
        <v>49</v>
      </c>
      <c r="P217" s="4">
        <v>1</v>
      </c>
      <c r="Q217" s="4" t="s">
        <v>140</v>
      </c>
      <c r="R217" s="4">
        <v>1</v>
      </c>
      <c r="S217" s="4">
        <v>1</v>
      </c>
      <c r="T217" s="4">
        <v>0</v>
      </c>
      <c r="U217" s="4">
        <v>1</v>
      </c>
      <c r="V217" s="4">
        <v>1</v>
      </c>
      <c r="W217" s="4">
        <v>1</v>
      </c>
      <c r="X217" s="4">
        <v>1</v>
      </c>
      <c r="Y217" s="4">
        <v>1</v>
      </c>
      <c r="Z217" s="4">
        <v>1</v>
      </c>
      <c r="AA217" s="4">
        <v>1</v>
      </c>
      <c r="AB217" s="4">
        <v>1</v>
      </c>
      <c r="AC217" s="4">
        <v>1</v>
      </c>
      <c r="AD217" s="4" t="s">
        <v>140</v>
      </c>
      <c r="AE217" s="4">
        <v>1</v>
      </c>
      <c r="AF217" s="4">
        <v>1</v>
      </c>
      <c r="AG217" s="4">
        <v>1</v>
      </c>
      <c r="AH217" s="4">
        <v>1</v>
      </c>
      <c r="AI217" s="4">
        <v>1</v>
      </c>
      <c r="AJ217" s="4">
        <v>1</v>
      </c>
      <c r="AK217" s="4">
        <v>1</v>
      </c>
      <c r="AL217" s="4">
        <v>1</v>
      </c>
      <c r="AM217" s="4">
        <v>1</v>
      </c>
      <c r="AN217" s="4" t="s">
        <v>140</v>
      </c>
      <c r="AO217" s="4">
        <v>1</v>
      </c>
      <c r="AP217" s="4">
        <v>1</v>
      </c>
      <c r="AQ217" s="4">
        <v>1</v>
      </c>
      <c r="AR217" s="4" t="s">
        <v>140</v>
      </c>
      <c r="AS217" s="4">
        <v>1</v>
      </c>
      <c r="AT217" s="4" t="s">
        <v>797</v>
      </c>
    </row>
    <row r="218" spans="1:46" x14ac:dyDescent="0.2">
      <c r="A218" s="4">
        <f t="shared" si="12"/>
        <v>12</v>
      </c>
      <c r="B218" s="4">
        <f t="shared" si="13"/>
        <v>3</v>
      </c>
      <c r="C218" s="13" t="str">
        <f>VLOOKUP(B218,Correspondance!$D$3:$E$14,2,FALSE)</f>
        <v>Mars</v>
      </c>
      <c r="D218" s="1" t="s">
        <v>796</v>
      </c>
      <c r="E218" s="2" t="s">
        <v>40</v>
      </c>
      <c r="F218" s="3" t="s">
        <v>41</v>
      </c>
      <c r="G218" s="4" t="s">
        <v>42</v>
      </c>
      <c r="H218" s="4" t="s">
        <v>43</v>
      </c>
      <c r="I218" s="5" t="s">
        <v>61</v>
      </c>
      <c r="J218" s="6">
        <v>96.25</v>
      </c>
      <c r="K218" s="4" t="s">
        <v>1016</v>
      </c>
      <c r="L218" s="4" t="s">
        <v>114</v>
      </c>
      <c r="M218" s="4" t="s">
        <v>175</v>
      </c>
      <c r="N218" s="4" t="s">
        <v>275</v>
      </c>
      <c r="O218" s="4" t="s">
        <v>49</v>
      </c>
      <c r="P218" s="4">
        <v>1</v>
      </c>
      <c r="Q218" s="4">
        <v>1</v>
      </c>
      <c r="R218" s="4">
        <v>1</v>
      </c>
      <c r="S218" s="4">
        <v>1</v>
      </c>
      <c r="T218" s="4">
        <v>1</v>
      </c>
      <c r="U218" s="4">
        <v>1</v>
      </c>
      <c r="V218" s="4">
        <v>1</v>
      </c>
      <c r="W218" s="4">
        <v>1</v>
      </c>
      <c r="X218" s="4">
        <v>1</v>
      </c>
      <c r="Y218" s="4">
        <v>1</v>
      </c>
      <c r="Z218" s="4">
        <v>1</v>
      </c>
      <c r="AA218" s="4">
        <v>1</v>
      </c>
      <c r="AB218" s="4">
        <v>1</v>
      </c>
      <c r="AC218" s="4">
        <v>1</v>
      </c>
      <c r="AD218" s="4" t="s">
        <v>140</v>
      </c>
      <c r="AE218" s="4">
        <v>1</v>
      </c>
      <c r="AF218" s="4">
        <v>1</v>
      </c>
      <c r="AG218" s="4">
        <v>1</v>
      </c>
      <c r="AH218" s="4">
        <v>1</v>
      </c>
      <c r="AI218" s="4">
        <v>1</v>
      </c>
      <c r="AJ218" s="4" t="s">
        <v>140</v>
      </c>
      <c r="AK218" s="4">
        <v>1</v>
      </c>
      <c r="AL218" s="4">
        <v>0</v>
      </c>
      <c r="AM218" s="4">
        <v>1</v>
      </c>
      <c r="AN218" s="4" t="s">
        <v>140</v>
      </c>
      <c r="AO218" s="4">
        <v>1</v>
      </c>
      <c r="AP218" s="4">
        <v>1</v>
      </c>
      <c r="AQ218" s="4">
        <v>1</v>
      </c>
      <c r="AR218" s="4" t="s">
        <v>140</v>
      </c>
      <c r="AS218" s="4">
        <v>1</v>
      </c>
      <c r="AT218" s="4" t="s">
        <v>797</v>
      </c>
    </row>
    <row r="219" spans="1:46" x14ac:dyDescent="0.2">
      <c r="A219" s="4">
        <f t="shared" si="12"/>
        <v>12</v>
      </c>
      <c r="B219" s="4">
        <f t="shared" si="13"/>
        <v>3</v>
      </c>
      <c r="C219" s="13" t="str">
        <f>VLOOKUP(B219,Correspondance!$D$3:$E$14,2,FALSE)</f>
        <v>Mars</v>
      </c>
      <c r="D219" s="1" t="s">
        <v>796</v>
      </c>
      <c r="E219" s="2" t="s">
        <v>40</v>
      </c>
      <c r="F219" s="3" t="s">
        <v>41</v>
      </c>
      <c r="G219" s="4" t="s">
        <v>42</v>
      </c>
      <c r="H219" s="4" t="s">
        <v>43</v>
      </c>
      <c r="I219" s="5" t="s">
        <v>57</v>
      </c>
      <c r="J219" s="6">
        <v>100</v>
      </c>
      <c r="K219" s="4" t="s">
        <v>1017</v>
      </c>
      <c r="L219" s="4" t="s">
        <v>114</v>
      </c>
      <c r="M219" s="4" t="s">
        <v>74</v>
      </c>
      <c r="N219" s="4" t="s">
        <v>1018</v>
      </c>
      <c r="O219" s="4" t="s">
        <v>49</v>
      </c>
      <c r="P219" s="4">
        <v>1</v>
      </c>
      <c r="Q219" s="4">
        <v>1</v>
      </c>
      <c r="R219" s="4">
        <v>1</v>
      </c>
      <c r="S219" s="4">
        <v>1</v>
      </c>
      <c r="T219" s="4">
        <v>1</v>
      </c>
      <c r="U219" s="4">
        <v>1</v>
      </c>
      <c r="V219" s="4">
        <v>1</v>
      </c>
      <c r="W219" s="4">
        <v>1</v>
      </c>
      <c r="X219" s="4">
        <v>1</v>
      </c>
      <c r="Y219" s="4">
        <v>1</v>
      </c>
      <c r="Z219" s="4">
        <v>1</v>
      </c>
      <c r="AA219" s="4">
        <v>1</v>
      </c>
      <c r="AB219" s="4">
        <v>1</v>
      </c>
      <c r="AC219" s="4">
        <v>1</v>
      </c>
      <c r="AD219" s="4" t="s">
        <v>140</v>
      </c>
      <c r="AE219" s="4">
        <v>1</v>
      </c>
      <c r="AF219" s="4">
        <v>1</v>
      </c>
      <c r="AG219" s="4">
        <v>1</v>
      </c>
      <c r="AH219" s="4">
        <v>1</v>
      </c>
      <c r="AI219" s="4">
        <v>1</v>
      </c>
      <c r="AJ219" s="4" t="s">
        <v>140</v>
      </c>
      <c r="AK219" s="4">
        <v>1</v>
      </c>
      <c r="AL219" s="4">
        <v>1</v>
      </c>
      <c r="AM219" s="4">
        <v>1</v>
      </c>
      <c r="AN219" s="4" t="s">
        <v>140</v>
      </c>
      <c r="AO219" s="4">
        <v>1</v>
      </c>
      <c r="AP219" s="4">
        <v>1</v>
      </c>
      <c r="AQ219" s="4">
        <v>1</v>
      </c>
      <c r="AR219" s="4" t="s">
        <v>140</v>
      </c>
      <c r="AS219" s="4">
        <v>1</v>
      </c>
      <c r="AT219" s="4" t="s">
        <v>797</v>
      </c>
    </row>
    <row r="220" spans="1:46" x14ac:dyDescent="0.2">
      <c r="A220" s="4">
        <f t="shared" si="12"/>
        <v>12</v>
      </c>
      <c r="B220" s="4">
        <f t="shared" si="13"/>
        <v>3</v>
      </c>
      <c r="C220" s="13" t="str">
        <f>VLOOKUP(B220,Correspondance!$D$3:$E$14,2,FALSE)</f>
        <v>Mars</v>
      </c>
      <c r="D220" s="1" t="s">
        <v>796</v>
      </c>
      <c r="E220" s="2" t="s">
        <v>40</v>
      </c>
      <c r="F220" s="3" t="s">
        <v>41</v>
      </c>
      <c r="G220" s="4" t="s">
        <v>42</v>
      </c>
      <c r="H220" s="4" t="s">
        <v>43</v>
      </c>
      <c r="I220" s="5" t="s">
        <v>61</v>
      </c>
      <c r="J220" s="6">
        <v>100</v>
      </c>
      <c r="K220" s="4" t="s">
        <v>1019</v>
      </c>
      <c r="L220" s="4" t="s">
        <v>114</v>
      </c>
      <c r="M220" s="4" t="s">
        <v>175</v>
      </c>
      <c r="N220" s="4" t="s">
        <v>275</v>
      </c>
      <c r="O220" s="4" t="s">
        <v>49</v>
      </c>
      <c r="P220" s="4">
        <v>1</v>
      </c>
      <c r="Q220" s="4" t="s">
        <v>140</v>
      </c>
      <c r="R220" s="4">
        <v>1</v>
      </c>
      <c r="S220" s="4">
        <v>1</v>
      </c>
      <c r="T220" s="4">
        <v>1</v>
      </c>
      <c r="U220" s="4">
        <v>1</v>
      </c>
      <c r="V220" s="4">
        <v>1</v>
      </c>
      <c r="W220" s="4">
        <v>1</v>
      </c>
      <c r="X220" s="4">
        <v>1</v>
      </c>
      <c r="Y220" s="4">
        <v>1</v>
      </c>
      <c r="Z220" s="4">
        <v>1</v>
      </c>
      <c r="AA220" s="4">
        <v>1</v>
      </c>
      <c r="AB220" s="4">
        <v>1</v>
      </c>
      <c r="AC220" s="4">
        <v>1</v>
      </c>
      <c r="AD220" s="4" t="s">
        <v>140</v>
      </c>
      <c r="AE220" s="4">
        <v>1</v>
      </c>
      <c r="AF220" s="4">
        <v>1</v>
      </c>
      <c r="AG220" s="4">
        <v>1</v>
      </c>
      <c r="AH220" s="4">
        <v>1</v>
      </c>
      <c r="AI220" s="4" t="s">
        <v>140</v>
      </c>
      <c r="AJ220" s="4" t="s">
        <v>140</v>
      </c>
      <c r="AK220" s="4" t="s">
        <v>140</v>
      </c>
      <c r="AL220" s="4">
        <v>1</v>
      </c>
      <c r="AM220" s="4">
        <v>1</v>
      </c>
      <c r="AN220" s="4" t="s">
        <v>140</v>
      </c>
      <c r="AO220" s="4">
        <v>1</v>
      </c>
      <c r="AP220" s="4">
        <v>1</v>
      </c>
      <c r="AQ220" s="4" t="s">
        <v>140</v>
      </c>
      <c r="AR220" s="4" t="s">
        <v>140</v>
      </c>
      <c r="AS220" s="4">
        <v>1</v>
      </c>
      <c r="AT220" s="4" t="s">
        <v>797</v>
      </c>
    </row>
    <row r="221" spans="1:46" x14ac:dyDescent="0.2">
      <c r="A221" s="4">
        <f t="shared" si="12"/>
        <v>12</v>
      </c>
      <c r="B221" s="4">
        <f t="shared" si="13"/>
        <v>3</v>
      </c>
      <c r="C221" s="13" t="str">
        <f>VLOOKUP(B221,Correspondance!$D$3:$E$14,2,FALSE)</f>
        <v>Mars</v>
      </c>
      <c r="D221" s="1" t="s">
        <v>796</v>
      </c>
      <c r="E221" s="2" t="s">
        <v>40</v>
      </c>
      <c r="F221" s="3" t="s">
        <v>41</v>
      </c>
      <c r="G221" s="4" t="s">
        <v>78</v>
      </c>
      <c r="H221" s="4" t="s">
        <v>79</v>
      </c>
      <c r="I221" s="5" t="s">
        <v>57</v>
      </c>
      <c r="J221" s="6">
        <v>93</v>
      </c>
      <c r="K221" s="4" t="s">
        <v>1020</v>
      </c>
      <c r="L221" s="4" t="s">
        <v>114</v>
      </c>
      <c r="M221" s="4" t="s">
        <v>175</v>
      </c>
      <c r="N221" s="4" t="s">
        <v>361</v>
      </c>
      <c r="O221" s="4" t="s">
        <v>49</v>
      </c>
      <c r="P221" s="4">
        <v>1</v>
      </c>
      <c r="Q221" s="4">
        <v>1</v>
      </c>
      <c r="R221" s="4">
        <v>1</v>
      </c>
      <c r="S221" s="4">
        <v>1</v>
      </c>
      <c r="T221" s="4">
        <v>1</v>
      </c>
      <c r="U221" s="4">
        <v>0</v>
      </c>
      <c r="V221" s="4">
        <v>1</v>
      </c>
      <c r="W221" s="4">
        <v>1</v>
      </c>
      <c r="X221" s="4">
        <v>1</v>
      </c>
      <c r="Y221" s="4">
        <v>1</v>
      </c>
      <c r="Z221" s="4">
        <v>1</v>
      </c>
      <c r="AA221" s="4">
        <v>1</v>
      </c>
      <c r="AB221" s="4">
        <v>1</v>
      </c>
      <c r="AC221" s="4">
        <v>1</v>
      </c>
      <c r="AD221" s="4">
        <v>1</v>
      </c>
      <c r="AE221" s="4">
        <v>1</v>
      </c>
      <c r="AF221" s="4">
        <v>1</v>
      </c>
      <c r="AG221" s="4">
        <v>1</v>
      </c>
      <c r="AH221" s="4">
        <v>1</v>
      </c>
      <c r="AI221" s="4">
        <v>1</v>
      </c>
      <c r="AJ221" s="4" t="s">
        <v>140</v>
      </c>
      <c r="AK221" s="4">
        <v>0</v>
      </c>
      <c r="AL221" s="4">
        <v>1</v>
      </c>
      <c r="AM221" s="4">
        <v>1</v>
      </c>
      <c r="AN221" s="4" t="s">
        <v>140</v>
      </c>
      <c r="AO221" s="4">
        <v>1</v>
      </c>
      <c r="AP221" s="4">
        <v>1</v>
      </c>
      <c r="AQ221" s="4">
        <v>0</v>
      </c>
      <c r="AR221" s="4" t="s">
        <v>140</v>
      </c>
      <c r="AS221" s="4">
        <v>1</v>
      </c>
      <c r="AT221" s="4" t="s">
        <v>797</v>
      </c>
    </row>
    <row r="222" spans="1:46" x14ac:dyDescent="0.2">
      <c r="A222" s="4">
        <f t="shared" si="12"/>
        <v>12</v>
      </c>
      <c r="B222" s="4">
        <f t="shared" si="13"/>
        <v>3</v>
      </c>
      <c r="C222" s="13" t="str">
        <f>VLOOKUP(B222,Correspondance!$D$3:$E$14,2,FALSE)</f>
        <v>Mars</v>
      </c>
      <c r="D222" s="1" t="s">
        <v>796</v>
      </c>
      <c r="E222" s="2" t="s">
        <v>40</v>
      </c>
      <c r="F222" s="3" t="s">
        <v>41</v>
      </c>
      <c r="G222" s="4" t="s">
        <v>82</v>
      </c>
      <c r="H222" s="4" t="s">
        <v>83</v>
      </c>
      <c r="I222" s="5" t="s">
        <v>57</v>
      </c>
      <c r="J222" s="6">
        <v>95</v>
      </c>
      <c r="K222" s="4" t="s">
        <v>1021</v>
      </c>
      <c r="L222" s="4" t="s">
        <v>114</v>
      </c>
      <c r="M222" s="4" t="s">
        <v>175</v>
      </c>
      <c r="N222" s="4" t="s">
        <v>1022</v>
      </c>
      <c r="O222" s="4" t="s">
        <v>49</v>
      </c>
      <c r="P222" s="4">
        <v>1</v>
      </c>
      <c r="Q222" s="4" t="s">
        <v>140</v>
      </c>
      <c r="R222" s="4">
        <v>1</v>
      </c>
      <c r="S222" s="4">
        <v>1</v>
      </c>
      <c r="T222" s="4">
        <v>1</v>
      </c>
      <c r="U222" s="4">
        <v>0</v>
      </c>
      <c r="V222" s="4">
        <v>1</v>
      </c>
      <c r="W222" s="4">
        <v>1</v>
      </c>
      <c r="X222" s="4">
        <v>1</v>
      </c>
      <c r="Y222" s="4">
        <v>1</v>
      </c>
      <c r="Z222" s="4">
        <v>1</v>
      </c>
      <c r="AA222" s="4">
        <v>1</v>
      </c>
      <c r="AB222" s="4">
        <v>1</v>
      </c>
      <c r="AC222" s="4">
        <v>1</v>
      </c>
      <c r="AD222" s="4" t="s">
        <v>140</v>
      </c>
      <c r="AE222" s="4">
        <v>1</v>
      </c>
      <c r="AF222" s="4">
        <v>1</v>
      </c>
      <c r="AG222" s="4">
        <v>1</v>
      </c>
      <c r="AH222" s="4">
        <v>1</v>
      </c>
      <c r="AI222" s="4">
        <v>1</v>
      </c>
      <c r="AJ222" s="4" t="s">
        <v>140</v>
      </c>
      <c r="AK222" s="4">
        <v>0</v>
      </c>
      <c r="AL222" s="4">
        <v>1</v>
      </c>
      <c r="AM222" s="4">
        <v>1</v>
      </c>
      <c r="AN222" s="4" t="s">
        <v>140</v>
      </c>
      <c r="AO222" s="4">
        <v>1</v>
      </c>
      <c r="AP222" s="4">
        <v>1</v>
      </c>
      <c r="AQ222" s="4">
        <v>1</v>
      </c>
      <c r="AR222" s="4" t="s">
        <v>140</v>
      </c>
      <c r="AS222" s="4">
        <v>1</v>
      </c>
      <c r="AT222" s="4" t="s">
        <v>872</v>
      </c>
    </row>
    <row r="223" spans="1:46" x14ac:dyDescent="0.2">
      <c r="A223" s="4">
        <f t="shared" si="12"/>
        <v>12</v>
      </c>
      <c r="B223" s="4">
        <f t="shared" si="13"/>
        <v>3</v>
      </c>
      <c r="C223" s="13" t="str">
        <f>VLOOKUP(B223,Correspondance!$D$3:$E$14,2,FALSE)</f>
        <v>Mars</v>
      </c>
      <c r="D223" s="1" t="s">
        <v>796</v>
      </c>
      <c r="E223" s="2" t="s">
        <v>40</v>
      </c>
      <c r="F223" s="3" t="s">
        <v>41</v>
      </c>
      <c r="G223" s="4" t="s">
        <v>82</v>
      </c>
      <c r="H223" s="4" t="s">
        <v>83</v>
      </c>
      <c r="I223" s="5" t="s">
        <v>57</v>
      </c>
      <c r="J223" s="6">
        <v>96.25</v>
      </c>
      <c r="K223" s="4" t="s">
        <v>1023</v>
      </c>
      <c r="L223" s="4" t="s">
        <v>114</v>
      </c>
      <c r="M223" s="4" t="s">
        <v>74</v>
      </c>
      <c r="N223" s="4" t="s">
        <v>1024</v>
      </c>
      <c r="O223" s="4" t="s">
        <v>49</v>
      </c>
      <c r="P223" s="4">
        <v>1</v>
      </c>
      <c r="Q223" s="4">
        <v>1</v>
      </c>
      <c r="R223" s="4">
        <v>1</v>
      </c>
      <c r="S223" s="4">
        <v>1</v>
      </c>
      <c r="T223" s="4">
        <v>1</v>
      </c>
      <c r="U223" s="4">
        <v>1</v>
      </c>
      <c r="V223" s="4">
        <v>1</v>
      </c>
      <c r="W223" s="4">
        <v>1</v>
      </c>
      <c r="X223" s="4">
        <v>1</v>
      </c>
      <c r="Y223" s="4">
        <v>1</v>
      </c>
      <c r="Z223" s="4">
        <v>1</v>
      </c>
      <c r="AA223" s="4">
        <v>1</v>
      </c>
      <c r="AB223" s="4">
        <v>1</v>
      </c>
      <c r="AC223" s="4">
        <v>1</v>
      </c>
      <c r="AD223" s="4" t="s">
        <v>140</v>
      </c>
      <c r="AE223" s="4">
        <v>0</v>
      </c>
      <c r="AF223" s="4">
        <v>1</v>
      </c>
      <c r="AG223" s="4">
        <v>1</v>
      </c>
      <c r="AH223" s="4">
        <v>1</v>
      </c>
      <c r="AI223" s="4">
        <v>1</v>
      </c>
      <c r="AJ223" s="4" t="s">
        <v>140</v>
      </c>
      <c r="AK223" s="4">
        <v>1</v>
      </c>
      <c r="AL223" s="4">
        <v>1</v>
      </c>
      <c r="AM223" s="4">
        <v>1</v>
      </c>
      <c r="AN223" s="4" t="s">
        <v>140</v>
      </c>
      <c r="AO223" s="4">
        <v>1</v>
      </c>
      <c r="AP223" s="4">
        <v>1</v>
      </c>
      <c r="AQ223" s="4">
        <v>1</v>
      </c>
      <c r="AR223" s="4" t="s">
        <v>140</v>
      </c>
      <c r="AS223" s="4">
        <v>1</v>
      </c>
      <c r="AT223" s="4" t="s">
        <v>872</v>
      </c>
    </row>
    <row r="224" spans="1:46" x14ac:dyDescent="0.2">
      <c r="A224" s="4">
        <f t="shared" si="12"/>
        <v>12</v>
      </c>
      <c r="B224" s="4">
        <f t="shared" si="13"/>
        <v>3</v>
      </c>
      <c r="C224" s="13" t="str">
        <f>VLOOKUP(B224,Correspondance!$D$3:$E$14,2,FALSE)</f>
        <v>Mars</v>
      </c>
      <c r="D224" s="1" t="s">
        <v>796</v>
      </c>
      <c r="E224" s="2" t="s">
        <v>40</v>
      </c>
      <c r="F224" s="3" t="s">
        <v>41</v>
      </c>
      <c r="G224" s="4" t="s">
        <v>82</v>
      </c>
      <c r="H224" s="4" t="s">
        <v>83</v>
      </c>
      <c r="I224" s="5" t="s">
        <v>57</v>
      </c>
      <c r="J224" s="6">
        <v>96.25</v>
      </c>
      <c r="K224" s="4" t="s">
        <v>1025</v>
      </c>
      <c r="L224" s="4" t="s">
        <v>114</v>
      </c>
      <c r="M224" s="4" t="s">
        <v>74</v>
      </c>
      <c r="N224" s="4" t="s">
        <v>507</v>
      </c>
      <c r="O224" s="4" t="s">
        <v>49</v>
      </c>
      <c r="P224" s="4">
        <v>1</v>
      </c>
      <c r="Q224" s="4">
        <v>1</v>
      </c>
      <c r="R224" s="4">
        <v>1</v>
      </c>
      <c r="S224" s="4">
        <v>1</v>
      </c>
      <c r="T224" s="4">
        <v>1</v>
      </c>
      <c r="U224" s="4">
        <v>1</v>
      </c>
      <c r="V224" s="4">
        <v>1</v>
      </c>
      <c r="W224" s="4">
        <v>1</v>
      </c>
      <c r="X224" s="4">
        <v>1</v>
      </c>
      <c r="Y224" s="4">
        <v>1</v>
      </c>
      <c r="Z224" s="4">
        <v>1</v>
      </c>
      <c r="AA224" s="4">
        <v>1</v>
      </c>
      <c r="AB224" s="4">
        <v>1</v>
      </c>
      <c r="AC224" s="4">
        <v>1</v>
      </c>
      <c r="AD224" s="4" t="s">
        <v>140</v>
      </c>
      <c r="AE224" s="4">
        <v>1</v>
      </c>
      <c r="AF224" s="4">
        <v>1</v>
      </c>
      <c r="AG224" s="4">
        <v>1</v>
      </c>
      <c r="AH224" s="4">
        <v>1</v>
      </c>
      <c r="AI224" s="4">
        <v>1</v>
      </c>
      <c r="AJ224" s="4" t="s">
        <v>140</v>
      </c>
      <c r="AK224" s="4">
        <v>1</v>
      </c>
      <c r="AL224" s="4">
        <v>0</v>
      </c>
      <c r="AM224" s="4">
        <v>1</v>
      </c>
      <c r="AN224" s="4" t="s">
        <v>140</v>
      </c>
      <c r="AO224" s="4">
        <v>1</v>
      </c>
      <c r="AP224" s="4">
        <v>1</v>
      </c>
      <c r="AQ224" s="4">
        <v>1</v>
      </c>
      <c r="AR224" s="4" t="s">
        <v>140</v>
      </c>
      <c r="AS224" s="4">
        <v>1</v>
      </c>
      <c r="AT224" s="4" t="s">
        <v>872</v>
      </c>
    </row>
    <row r="225" spans="1:46" x14ac:dyDescent="0.2">
      <c r="A225" s="4">
        <f t="shared" si="12"/>
        <v>12</v>
      </c>
      <c r="B225" s="4">
        <f t="shared" si="13"/>
        <v>3</v>
      </c>
      <c r="C225" s="13" t="str">
        <f>VLOOKUP(B225,Correspondance!$D$3:$E$14,2,FALSE)</f>
        <v>Mars</v>
      </c>
      <c r="D225" s="1" t="s">
        <v>796</v>
      </c>
      <c r="E225" s="2" t="s">
        <v>40</v>
      </c>
      <c r="F225" s="3" t="s">
        <v>41</v>
      </c>
      <c r="G225" s="4" t="s">
        <v>82</v>
      </c>
      <c r="H225" s="4" t="s">
        <v>83</v>
      </c>
      <c r="I225" s="5" t="s">
        <v>41</v>
      </c>
      <c r="J225" s="6">
        <v>100</v>
      </c>
      <c r="K225" s="4" t="s">
        <v>1026</v>
      </c>
      <c r="L225" s="4" t="s">
        <v>66</v>
      </c>
      <c r="M225" s="4" t="s">
        <v>74</v>
      </c>
      <c r="N225" s="4" t="s">
        <v>243</v>
      </c>
      <c r="O225" s="4" t="s">
        <v>49</v>
      </c>
      <c r="P225" s="4">
        <v>1</v>
      </c>
      <c r="Q225" s="4" t="s">
        <v>140</v>
      </c>
      <c r="R225" s="4">
        <v>1</v>
      </c>
      <c r="S225" s="4">
        <v>1</v>
      </c>
      <c r="T225" s="4">
        <v>1</v>
      </c>
      <c r="U225" s="4">
        <v>1</v>
      </c>
      <c r="V225" s="4">
        <v>1</v>
      </c>
      <c r="W225" s="4">
        <v>1</v>
      </c>
      <c r="X225" s="4">
        <v>1</v>
      </c>
      <c r="Y225" s="4">
        <v>1</v>
      </c>
      <c r="Z225" s="4">
        <v>1</v>
      </c>
      <c r="AA225" s="4">
        <v>1</v>
      </c>
      <c r="AB225" s="4">
        <v>1</v>
      </c>
      <c r="AC225" s="4">
        <v>1</v>
      </c>
      <c r="AD225" s="4" t="s">
        <v>140</v>
      </c>
      <c r="AE225" s="4">
        <v>1</v>
      </c>
      <c r="AF225" s="4">
        <v>1</v>
      </c>
      <c r="AG225" s="4">
        <v>1</v>
      </c>
      <c r="AH225" s="4">
        <v>1</v>
      </c>
      <c r="AI225" s="4" t="s">
        <v>140</v>
      </c>
      <c r="AJ225" s="4">
        <v>1</v>
      </c>
      <c r="AK225" s="4">
        <v>1</v>
      </c>
      <c r="AL225" s="4">
        <v>1</v>
      </c>
      <c r="AM225" s="4">
        <v>1</v>
      </c>
      <c r="AN225" s="4" t="s">
        <v>140</v>
      </c>
      <c r="AO225" s="4">
        <v>1</v>
      </c>
      <c r="AP225" s="4">
        <v>1</v>
      </c>
      <c r="AQ225" s="4">
        <v>1</v>
      </c>
      <c r="AR225" s="4" t="s">
        <v>140</v>
      </c>
      <c r="AS225" s="4">
        <v>1</v>
      </c>
      <c r="AT225" s="4" t="s">
        <v>948</v>
      </c>
    </row>
    <row r="226" spans="1:46" x14ac:dyDescent="0.2">
      <c r="A226" s="4">
        <f t="shared" si="12"/>
        <v>12</v>
      </c>
      <c r="B226" s="4">
        <f t="shared" si="13"/>
        <v>3</v>
      </c>
      <c r="C226" s="13" t="str">
        <f>VLOOKUP(B226,Correspondance!$D$3:$E$14,2,FALSE)</f>
        <v>Mars</v>
      </c>
      <c r="D226" s="1" t="s">
        <v>796</v>
      </c>
      <c r="E226" s="2" t="s">
        <v>40</v>
      </c>
      <c r="F226" s="3" t="s">
        <v>52</v>
      </c>
      <c r="G226" s="4" t="s">
        <v>93</v>
      </c>
      <c r="H226" s="4" t="s">
        <v>94</v>
      </c>
      <c r="I226" s="5" t="s">
        <v>61</v>
      </c>
      <c r="J226" s="6">
        <v>90.416666666666671</v>
      </c>
      <c r="K226" s="4" t="s">
        <v>1027</v>
      </c>
      <c r="L226" s="4" t="s">
        <v>114</v>
      </c>
      <c r="M226" s="4" t="s">
        <v>74</v>
      </c>
      <c r="N226" s="4" t="s">
        <v>1028</v>
      </c>
      <c r="O226" s="4" t="s">
        <v>49</v>
      </c>
      <c r="P226" s="4">
        <v>1</v>
      </c>
      <c r="Q226" s="4" t="s">
        <v>140</v>
      </c>
      <c r="R226" s="4">
        <v>1</v>
      </c>
      <c r="S226" s="4">
        <v>1</v>
      </c>
      <c r="T226" s="4">
        <v>1</v>
      </c>
      <c r="U226" s="4">
        <v>1</v>
      </c>
      <c r="V226" s="4">
        <v>1</v>
      </c>
      <c r="W226" s="4">
        <v>1</v>
      </c>
      <c r="X226" s="4">
        <v>1</v>
      </c>
      <c r="Y226" s="4">
        <v>1</v>
      </c>
      <c r="Z226" s="4">
        <v>1</v>
      </c>
      <c r="AA226" s="4">
        <v>0</v>
      </c>
      <c r="AB226" s="4">
        <v>1</v>
      </c>
      <c r="AC226" s="4">
        <v>1</v>
      </c>
      <c r="AD226" s="4">
        <v>1</v>
      </c>
      <c r="AE226" s="4">
        <v>1</v>
      </c>
      <c r="AF226" s="4">
        <v>1</v>
      </c>
      <c r="AG226" s="4">
        <v>1</v>
      </c>
      <c r="AH226" s="4">
        <v>1</v>
      </c>
      <c r="AI226" s="4">
        <v>1</v>
      </c>
      <c r="AJ226" s="4">
        <v>1</v>
      </c>
      <c r="AK226" s="4">
        <v>1</v>
      </c>
      <c r="AL226" s="4">
        <v>0</v>
      </c>
      <c r="AM226" s="4">
        <v>1</v>
      </c>
      <c r="AN226" s="4">
        <v>1</v>
      </c>
      <c r="AO226" s="4">
        <v>1</v>
      </c>
      <c r="AP226" s="4">
        <v>1</v>
      </c>
      <c r="AQ226" s="4">
        <v>1</v>
      </c>
      <c r="AR226" s="4" t="s">
        <v>140</v>
      </c>
      <c r="AS226" s="4">
        <v>1</v>
      </c>
      <c r="AT226" s="4" t="s">
        <v>797</v>
      </c>
    </row>
    <row r="227" spans="1:46" x14ac:dyDescent="0.2">
      <c r="A227" s="4">
        <f t="shared" si="12"/>
        <v>12</v>
      </c>
      <c r="B227" s="4">
        <f t="shared" si="13"/>
        <v>3</v>
      </c>
      <c r="C227" s="13" t="str">
        <f>VLOOKUP(B227,Correspondance!$D$3:$E$14,2,FALSE)</f>
        <v>Mars</v>
      </c>
      <c r="D227" s="1" t="s">
        <v>796</v>
      </c>
      <c r="E227" s="2" t="s">
        <v>40</v>
      </c>
      <c r="F227" s="3" t="s">
        <v>52</v>
      </c>
      <c r="G227" s="4" t="s">
        <v>53</v>
      </c>
      <c r="H227" s="4" t="s">
        <v>54</v>
      </c>
      <c r="I227" s="5" t="s">
        <v>57</v>
      </c>
      <c r="J227" s="6">
        <v>96</v>
      </c>
      <c r="K227" s="4" t="s">
        <v>1029</v>
      </c>
      <c r="L227" s="4" t="s">
        <v>114</v>
      </c>
      <c r="M227" s="4" t="s">
        <v>175</v>
      </c>
      <c r="N227" s="4" t="s">
        <v>1187</v>
      </c>
      <c r="O227" s="4" t="s">
        <v>49</v>
      </c>
      <c r="P227" s="4">
        <v>1</v>
      </c>
      <c r="Q227" s="4">
        <v>1</v>
      </c>
      <c r="R227" s="4">
        <v>1</v>
      </c>
      <c r="S227" s="4">
        <v>1</v>
      </c>
      <c r="T227" s="4">
        <v>1</v>
      </c>
      <c r="U227" s="4">
        <v>1</v>
      </c>
      <c r="V227" s="4">
        <v>1</v>
      </c>
      <c r="W227" s="4">
        <v>1</v>
      </c>
      <c r="X227" s="4">
        <v>1</v>
      </c>
      <c r="Y227" s="4">
        <v>1</v>
      </c>
      <c r="Z227" s="4">
        <v>1</v>
      </c>
      <c r="AA227" s="4">
        <v>1</v>
      </c>
      <c r="AB227" s="4">
        <v>1</v>
      </c>
      <c r="AC227" s="4">
        <v>1</v>
      </c>
      <c r="AD227" s="4" t="s">
        <v>140</v>
      </c>
      <c r="AE227" s="4">
        <v>1</v>
      </c>
      <c r="AF227" s="4">
        <v>1</v>
      </c>
      <c r="AG227" s="4">
        <v>1</v>
      </c>
      <c r="AH227" s="4">
        <v>1</v>
      </c>
      <c r="AI227" s="4">
        <v>1</v>
      </c>
      <c r="AJ227" s="4" t="s">
        <v>140</v>
      </c>
      <c r="AK227" s="4">
        <v>0</v>
      </c>
      <c r="AL227" s="4">
        <v>1</v>
      </c>
      <c r="AM227" s="4">
        <v>1</v>
      </c>
      <c r="AN227" s="4" t="s">
        <v>140</v>
      </c>
      <c r="AO227" s="4">
        <v>1</v>
      </c>
      <c r="AP227" s="4">
        <v>1</v>
      </c>
      <c r="AQ227" s="4">
        <v>0</v>
      </c>
      <c r="AR227" s="4" t="s">
        <v>140</v>
      </c>
      <c r="AS227" s="4">
        <v>1</v>
      </c>
      <c r="AT227" s="4" t="s">
        <v>872</v>
      </c>
    </row>
    <row r="228" spans="1:46" x14ac:dyDescent="0.2">
      <c r="A228" s="4">
        <f t="shared" si="12"/>
        <v>12</v>
      </c>
      <c r="B228" s="4">
        <f t="shared" si="13"/>
        <v>3</v>
      </c>
      <c r="C228" s="13" t="str">
        <f>VLOOKUP(B228,Correspondance!$D$3:$E$14,2,FALSE)</f>
        <v>Mars</v>
      </c>
      <c r="D228" s="1" t="s">
        <v>796</v>
      </c>
      <c r="E228" s="2" t="s">
        <v>40</v>
      </c>
      <c r="F228" s="3" t="s">
        <v>52</v>
      </c>
      <c r="G228" s="4" t="s">
        <v>53</v>
      </c>
      <c r="H228" s="4" t="s">
        <v>54</v>
      </c>
      <c r="I228" s="5" t="s">
        <v>57</v>
      </c>
      <c r="J228" s="6">
        <v>100</v>
      </c>
      <c r="K228" s="4" t="s">
        <v>1030</v>
      </c>
      <c r="L228" s="4" t="s">
        <v>114</v>
      </c>
      <c r="M228" s="4" t="s">
        <v>74</v>
      </c>
      <c r="N228" s="4" t="s">
        <v>275</v>
      </c>
      <c r="O228" s="4" t="s">
        <v>49</v>
      </c>
      <c r="P228" s="4">
        <v>1</v>
      </c>
      <c r="Q228" s="4">
        <v>1</v>
      </c>
      <c r="R228" s="4">
        <v>1</v>
      </c>
      <c r="S228" s="4">
        <v>1</v>
      </c>
      <c r="T228" s="4">
        <v>1</v>
      </c>
      <c r="U228" s="4">
        <v>1</v>
      </c>
      <c r="V228" s="4">
        <v>1</v>
      </c>
      <c r="W228" s="4">
        <v>1</v>
      </c>
      <c r="X228" s="4">
        <v>1</v>
      </c>
      <c r="Y228" s="4">
        <v>1</v>
      </c>
      <c r="Z228" s="4">
        <v>1</v>
      </c>
      <c r="AA228" s="4">
        <v>1</v>
      </c>
      <c r="AB228" s="4">
        <v>1</v>
      </c>
      <c r="AC228" s="4">
        <v>1</v>
      </c>
      <c r="AD228" s="4">
        <v>1</v>
      </c>
      <c r="AE228" s="4">
        <v>1</v>
      </c>
      <c r="AF228" s="4">
        <v>1</v>
      </c>
      <c r="AG228" s="4">
        <v>1</v>
      </c>
      <c r="AH228" s="4">
        <v>1</v>
      </c>
      <c r="AI228" s="4">
        <v>1</v>
      </c>
      <c r="AJ228" s="4" t="s">
        <v>140</v>
      </c>
      <c r="AK228" s="4">
        <v>1</v>
      </c>
      <c r="AL228" s="4">
        <v>1</v>
      </c>
      <c r="AM228" s="4">
        <v>1</v>
      </c>
      <c r="AN228" s="4" t="s">
        <v>140</v>
      </c>
      <c r="AO228" s="4">
        <v>1</v>
      </c>
      <c r="AP228" s="4">
        <v>1</v>
      </c>
      <c r="AQ228" s="4">
        <v>1</v>
      </c>
      <c r="AR228" s="4" t="s">
        <v>140</v>
      </c>
      <c r="AS228" s="4">
        <v>1</v>
      </c>
      <c r="AT228" s="4" t="s">
        <v>872</v>
      </c>
    </row>
    <row r="229" spans="1:46" x14ac:dyDescent="0.2">
      <c r="A229" s="4">
        <f t="shared" si="12"/>
        <v>12</v>
      </c>
      <c r="B229" s="4">
        <f t="shared" si="13"/>
        <v>3</v>
      </c>
      <c r="C229" s="13" t="str">
        <f>VLOOKUP(B229,Correspondance!$D$3:$E$14,2,FALSE)</f>
        <v>Mars</v>
      </c>
      <c r="D229" s="1" t="s">
        <v>796</v>
      </c>
      <c r="E229" s="2" t="s">
        <v>40</v>
      </c>
      <c r="F229" s="3" t="s">
        <v>61</v>
      </c>
      <c r="G229" s="4" t="s">
        <v>201</v>
      </c>
      <c r="H229" s="4" t="s">
        <v>202</v>
      </c>
      <c r="I229" s="5" t="s">
        <v>57</v>
      </c>
      <c r="J229" s="6">
        <v>100</v>
      </c>
      <c r="K229" s="4" t="s">
        <v>1031</v>
      </c>
      <c r="L229" s="4" t="s">
        <v>46</v>
      </c>
      <c r="M229" s="4" t="s">
        <v>47</v>
      </c>
      <c r="N229" s="4" t="s">
        <v>507</v>
      </c>
      <c r="O229" s="4" t="s">
        <v>49</v>
      </c>
      <c r="P229" s="4">
        <v>1</v>
      </c>
      <c r="Q229" s="4">
        <v>1</v>
      </c>
      <c r="R229" s="4">
        <v>1</v>
      </c>
      <c r="S229" s="4">
        <v>1</v>
      </c>
      <c r="T229" s="4">
        <v>1</v>
      </c>
      <c r="U229" s="4">
        <v>1</v>
      </c>
      <c r="V229" s="4">
        <v>1</v>
      </c>
      <c r="W229" s="4">
        <v>1</v>
      </c>
      <c r="X229" s="4">
        <v>1</v>
      </c>
      <c r="Y229" s="4">
        <v>1</v>
      </c>
      <c r="Z229" s="4">
        <v>1</v>
      </c>
      <c r="AA229" s="4">
        <v>1</v>
      </c>
      <c r="AB229" s="4">
        <v>1</v>
      </c>
      <c r="AC229" s="4">
        <v>1</v>
      </c>
      <c r="AD229" s="4" t="s">
        <v>140</v>
      </c>
      <c r="AE229" s="4">
        <v>1</v>
      </c>
      <c r="AF229" s="4">
        <v>1</v>
      </c>
      <c r="AG229" s="4">
        <v>1</v>
      </c>
      <c r="AH229" s="4">
        <v>1</v>
      </c>
      <c r="AI229" s="4">
        <v>1</v>
      </c>
      <c r="AJ229" s="4" t="s">
        <v>140</v>
      </c>
      <c r="AK229" s="4">
        <v>1</v>
      </c>
      <c r="AL229" s="4">
        <v>1</v>
      </c>
      <c r="AM229" s="4">
        <v>1</v>
      </c>
      <c r="AN229" s="4" t="s">
        <v>140</v>
      </c>
      <c r="AO229" s="4">
        <v>1</v>
      </c>
      <c r="AP229" s="4">
        <v>1</v>
      </c>
      <c r="AQ229" s="4">
        <v>1</v>
      </c>
      <c r="AR229" s="4" t="s">
        <v>140</v>
      </c>
      <c r="AS229" s="4">
        <v>1</v>
      </c>
      <c r="AT229" s="4" t="s">
        <v>872</v>
      </c>
    </row>
    <row r="230" spans="1:46" x14ac:dyDescent="0.2">
      <c r="A230" s="4">
        <f t="shared" si="12"/>
        <v>12</v>
      </c>
      <c r="B230" s="4">
        <f t="shared" si="13"/>
        <v>3</v>
      </c>
      <c r="C230" s="13" t="str">
        <f>VLOOKUP(B230,Correspondance!$D$3:$E$14,2,FALSE)</f>
        <v>Mars</v>
      </c>
      <c r="D230" s="1" t="s">
        <v>796</v>
      </c>
      <c r="E230" s="2" t="s">
        <v>40</v>
      </c>
      <c r="F230" s="3" t="s">
        <v>61</v>
      </c>
      <c r="G230" s="4" t="s">
        <v>62</v>
      </c>
      <c r="H230" s="4" t="s">
        <v>63</v>
      </c>
      <c r="I230" s="5" t="s">
        <v>61</v>
      </c>
      <c r="J230" s="6">
        <v>97</v>
      </c>
      <c r="K230" s="4" t="s">
        <v>1032</v>
      </c>
      <c r="L230" s="4" t="s">
        <v>66</v>
      </c>
      <c r="M230" s="4" t="s">
        <v>47</v>
      </c>
      <c r="N230" s="4"/>
      <c r="O230" s="4" t="s">
        <v>49</v>
      </c>
      <c r="P230" s="4">
        <v>1</v>
      </c>
      <c r="Q230" s="4">
        <v>1</v>
      </c>
      <c r="R230" s="4">
        <v>1</v>
      </c>
      <c r="S230" s="4">
        <v>1</v>
      </c>
      <c r="T230" s="4">
        <v>1</v>
      </c>
      <c r="U230" s="4">
        <v>0</v>
      </c>
      <c r="V230" s="4">
        <v>1</v>
      </c>
      <c r="W230" s="4">
        <v>1</v>
      </c>
      <c r="X230" s="4">
        <v>1</v>
      </c>
      <c r="Y230" s="4">
        <v>1</v>
      </c>
      <c r="Z230" s="4">
        <v>1</v>
      </c>
      <c r="AA230" s="4">
        <v>1</v>
      </c>
      <c r="AB230" s="4">
        <v>1</v>
      </c>
      <c r="AC230" s="4">
        <v>1</v>
      </c>
      <c r="AD230" s="4" t="s">
        <v>140</v>
      </c>
      <c r="AE230" s="4">
        <v>1</v>
      </c>
      <c r="AF230" s="4">
        <v>1</v>
      </c>
      <c r="AG230" s="4">
        <v>1</v>
      </c>
      <c r="AH230" s="4">
        <v>1</v>
      </c>
      <c r="AI230" s="4">
        <v>1</v>
      </c>
      <c r="AJ230" s="4" t="s">
        <v>140</v>
      </c>
      <c r="AK230" s="4">
        <v>1</v>
      </c>
      <c r="AL230" s="4">
        <v>1</v>
      </c>
      <c r="AM230" s="4">
        <v>1</v>
      </c>
      <c r="AN230" s="4" t="s">
        <v>140</v>
      </c>
      <c r="AO230" s="4">
        <v>1</v>
      </c>
      <c r="AP230" s="4">
        <v>1</v>
      </c>
      <c r="AQ230" s="4">
        <v>1</v>
      </c>
      <c r="AR230" s="4" t="s">
        <v>140</v>
      </c>
      <c r="AS230" s="4">
        <v>1</v>
      </c>
      <c r="AT230" s="4" t="s">
        <v>873</v>
      </c>
    </row>
    <row r="231" spans="1:46" x14ac:dyDescent="0.2">
      <c r="A231" s="4">
        <f t="shared" si="12"/>
        <v>12</v>
      </c>
      <c r="B231" s="4">
        <f t="shared" si="13"/>
        <v>3</v>
      </c>
      <c r="C231" s="13" t="str">
        <f>VLOOKUP(B231,Correspondance!$D$3:$E$14,2,FALSE)</f>
        <v>Mars</v>
      </c>
      <c r="D231" s="1" t="s">
        <v>796</v>
      </c>
      <c r="E231" s="2" t="s">
        <v>40</v>
      </c>
      <c r="F231" s="3" t="s">
        <v>61</v>
      </c>
      <c r="G231" s="4" t="s">
        <v>342</v>
      </c>
      <c r="H231" s="4" t="s">
        <v>343</v>
      </c>
      <c r="I231" s="5" t="s">
        <v>57</v>
      </c>
      <c r="J231" s="6">
        <v>93</v>
      </c>
      <c r="K231" s="4" t="s">
        <v>1033</v>
      </c>
      <c r="L231" s="4" t="s">
        <v>114</v>
      </c>
      <c r="M231" s="4" t="s">
        <v>74</v>
      </c>
      <c r="N231" s="4" t="s">
        <v>504</v>
      </c>
      <c r="O231" s="4" t="s">
        <v>49</v>
      </c>
      <c r="P231" s="4">
        <v>1</v>
      </c>
      <c r="Q231" s="4" t="s">
        <v>140</v>
      </c>
      <c r="R231" s="4">
        <v>1</v>
      </c>
      <c r="S231" s="4">
        <v>1</v>
      </c>
      <c r="T231" s="4">
        <v>1</v>
      </c>
      <c r="U231" s="4">
        <v>1</v>
      </c>
      <c r="V231" s="4">
        <v>1</v>
      </c>
      <c r="W231" s="4">
        <v>1</v>
      </c>
      <c r="X231" s="4">
        <v>1</v>
      </c>
      <c r="Y231" s="4">
        <v>1</v>
      </c>
      <c r="Z231" s="4">
        <v>1</v>
      </c>
      <c r="AA231" s="4">
        <v>1</v>
      </c>
      <c r="AB231" s="4">
        <v>1</v>
      </c>
      <c r="AC231" s="4">
        <v>1</v>
      </c>
      <c r="AD231" s="4" t="s">
        <v>140</v>
      </c>
      <c r="AE231" s="4">
        <v>0</v>
      </c>
      <c r="AF231" s="4">
        <v>1</v>
      </c>
      <c r="AG231" s="4">
        <v>1</v>
      </c>
      <c r="AH231" s="4">
        <v>1</v>
      </c>
      <c r="AI231" s="4">
        <v>1</v>
      </c>
      <c r="AJ231" s="4" t="s">
        <v>140</v>
      </c>
      <c r="AK231" s="4">
        <v>1</v>
      </c>
      <c r="AL231" s="4">
        <v>1</v>
      </c>
      <c r="AM231" s="4">
        <v>1</v>
      </c>
      <c r="AN231" s="4" t="s">
        <v>140</v>
      </c>
      <c r="AO231" s="4">
        <v>1</v>
      </c>
      <c r="AP231" s="4">
        <v>1</v>
      </c>
      <c r="AQ231" s="4">
        <v>0</v>
      </c>
      <c r="AR231" s="4" t="s">
        <v>140</v>
      </c>
      <c r="AS231" s="4">
        <v>1</v>
      </c>
      <c r="AT231" s="4" t="s">
        <v>797</v>
      </c>
    </row>
    <row r="232" spans="1:46" x14ac:dyDescent="0.2">
      <c r="A232" s="4">
        <f t="shared" si="12"/>
        <v>12</v>
      </c>
      <c r="B232" s="4">
        <f t="shared" si="13"/>
        <v>3</v>
      </c>
      <c r="C232" s="13" t="str">
        <f>VLOOKUP(B232,Correspondance!$D$3:$E$14,2,FALSE)</f>
        <v>Mars</v>
      </c>
      <c r="D232" s="1" t="s">
        <v>796</v>
      </c>
      <c r="E232" s="2" t="s">
        <v>40</v>
      </c>
      <c r="F232" s="3" t="s">
        <v>61</v>
      </c>
      <c r="G232" s="4" t="s">
        <v>342</v>
      </c>
      <c r="H232" s="4" t="s">
        <v>343</v>
      </c>
      <c r="I232" s="5" t="s">
        <v>57</v>
      </c>
      <c r="J232" s="6">
        <v>96.25</v>
      </c>
      <c r="K232" s="4" t="s">
        <v>1034</v>
      </c>
      <c r="L232" s="4" t="s">
        <v>114</v>
      </c>
      <c r="M232" s="4" t="s">
        <v>74</v>
      </c>
      <c r="N232" s="4" t="s">
        <v>998</v>
      </c>
      <c r="O232" s="4" t="s">
        <v>49</v>
      </c>
      <c r="P232" s="4">
        <v>1</v>
      </c>
      <c r="Q232" s="4">
        <v>1</v>
      </c>
      <c r="R232" s="4">
        <v>1</v>
      </c>
      <c r="S232" s="4">
        <v>1</v>
      </c>
      <c r="T232" s="4">
        <v>1</v>
      </c>
      <c r="U232" s="4">
        <v>1</v>
      </c>
      <c r="V232" s="4">
        <v>1</v>
      </c>
      <c r="W232" s="4">
        <v>1</v>
      </c>
      <c r="X232" s="4">
        <v>1</v>
      </c>
      <c r="Y232" s="4">
        <v>1</v>
      </c>
      <c r="Z232" s="4">
        <v>1</v>
      </c>
      <c r="AA232" s="4">
        <v>1</v>
      </c>
      <c r="AB232" s="4">
        <v>1</v>
      </c>
      <c r="AC232" s="4">
        <v>1</v>
      </c>
      <c r="AD232" s="4">
        <v>1</v>
      </c>
      <c r="AE232" s="4">
        <v>1</v>
      </c>
      <c r="AF232" s="4">
        <v>1</v>
      </c>
      <c r="AG232" s="4">
        <v>1</v>
      </c>
      <c r="AH232" s="4">
        <v>1</v>
      </c>
      <c r="AI232" s="4">
        <v>1</v>
      </c>
      <c r="AJ232" s="4" t="s">
        <v>140</v>
      </c>
      <c r="AK232" s="4">
        <v>1</v>
      </c>
      <c r="AL232" s="4">
        <v>0</v>
      </c>
      <c r="AM232" s="4">
        <v>1</v>
      </c>
      <c r="AN232" s="4" t="s">
        <v>140</v>
      </c>
      <c r="AO232" s="4">
        <v>1</v>
      </c>
      <c r="AP232" s="4">
        <v>1</v>
      </c>
      <c r="AQ232" s="4">
        <v>1</v>
      </c>
      <c r="AR232" s="4" t="s">
        <v>140</v>
      </c>
      <c r="AS232" s="4">
        <v>1</v>
      </c>
      <c r="AT232" s="4" t="s">
        <v>797</v>
      </c>
    </row>
    <row r="233" spans="1:46" x14ac:dyDescent="0.2">
      <c r="A233" s="4">
        <f t="shared" si="12"/>
        <v>12</v>
      </c>
      <c r="B233" s="4">
        <f t="shared" si="13"/>
        <v>3</v>
      </c>
      <c r="C233" s="13" t="str">
        <f>VLOOKUP(B233,Correspondance!$D$3:$E$14,2,FALSE)</f>
        <v>Mars</v>
      </c>
      <c r="D233" s="1" t="s">
        <v>796</v>
      </c>
      <c r="E233" s="2" t="s">
        <v>40</v>
      </c>
      <c r="F233" s="3" t="s">
        <v>61</v>
      </c>
      <c r="G233" s="4" t="s">
        <v>68</v>
      </c>
      <c r="H233" s="4" t="s">
        <v>69</v>
      </c>
      <c r="I233" s="5" t="s">
        <v>61</v>
      </c>
      <c r="J233" s="6">
        <v>100</v>
      </c>
      <c r="K233" s="4" t="s">
        <v>1035</v>
      </c>
      <c r="L233" s="4" t="s">
        <v>66</v>
      </c>
      <c r="M233" s="4" t="s">
        <v>47</v>
      </c>
      <c r="N233" s="4" t="s">
        <v>1036</v>
      </c>
      <c r="O233" s="4" t="s">
        <v>49</v>
      </c>
      <c r="P233" s="4">
        <v>1</v>
      </c>
      <c r="Q233" s="4">
        <v>1</v>
      </c>
      <c r="R233" s="4">
        <v>1</v>
      </c>
      <c r="S233" s="4">
        <v>1</v>
      </c>
      <c r="T233" s="4">
        <v>1</v>
      </c>
      <c r="U233" s="4">
        <v>1</v>
      </c>
      <c r="V233" s="4">
        <v>1</v>
      </c>
      <c r="W233" s="4">
        <v>1</v>
      </c>
      <c r="X233" s="4">
        <v>1</v>
      </c>
      <c r="Y233" s="4">
        <v>1</v>
      </c>
      <c r="Z233" s="4">
        <v>1</v>
      </c>
      <c r="AA233" s="4">
        <v>1</v>
      </c>
      <c r="AB233" s="4">
        <v>1</v>
      </c>
      <c r="AC233" s="4">
        <v>1</v>
      </c>
      <c r="AD233" s="4" t="s">
        <v>140</v>
      </c>
      <c r="AE233" s="4">
        <v>1</v>
      </c>
      <c r="AF233" s="4">
        <v>1</v>
      </c>
      <c r="AG233" s="4">
        <v>1</v>
      </c>
      <c r="AH233" s="4">
        <v>1</v>
      </c>
      <c r="AI233" s="4">
        <v>1</v>
      </c>
      <c r="AJ233" s="4" t="s">
        <v>140</v>
      </c>
      <c r="AK233" s="4">
        <v>1</v>
      </c>
      <c r="AL233" s="4">
        <v>1</v>
      </c>
      <c r="AM233" s="4">
        <v>1</v>
      </c>
      <c r="AN233" s="4" t="s">
        <v>140</v>
      </c>
      <c r="AO233" s="4">
        <v>1</v>
      </c>
      <c r="AP233" s="4">
        <v>1</v>
      </c>
      <c r="AQ233" s="4">
        <v>1</v>
      </c>
      <c r="AR233" s="4" t="s">
        <v>140</v>
      </c>
      <c r="AS233" s="4">
        <v>1</v>
      </c>
      <c r="AT233" s="4" t="s">
        <v>948</v>
      </c>
    </row>
    <row r="234" spans="1:46" x14ac:dyDescent="0.2">
      <c r="A234" s="4">
        <f t="shared" si="12"/>
        <v>12</v>
      </c>
      <c r="B234" s="4">
        <f t="shared" si="13"/>
        <v>3</v>
      </c>
      <c r="C234" s="13" t="str">
        <f>VLOOKUP(B234,Correspondance!$D$3:$E$14,2,FALSE)</f>
        <v>Mars</v>
      </c>
      <c r="D234" s="1" t="s">
        <v>797</v>
      </c>
      <c r="E234" s="2" t="s">
        <v>40</v>
      </c>
      <c r="F234" s="3" t="s">
        <v>41</v>
      </c>
      <c r="G234" s="4" t="s">
        <v>78</v>
      </c>
      <c r="H234" s="4" t="s">
        <v>79</v>
      </c>
      <c r="I234" s="5" t="s">
        <v>57</v>
      </c>
      <c r="J234" s="6">
        <v>86</v>
      </c>
      <c r="K234" s="4" t="s">
        <v>1037</v>
      </c>
      <c r="L234" s="4" t="s">
        <v>114</v>
      </c>
      <c r="M234" s="4" t="s">
        <v>74</v>
      </c>
      <c r="N234" s="4" t="s">
        <v>275</v>
      </c>
      <c r="O234" s="4" t="s">
        <v>49</v>
      </c>
      <c r="P234" s="4">
        <v>1</v>
      </c>
      <c r="Q234" s="4">
        <v>1</v>
      </c>
      <c r="R234" s="4">
        <v>1</v>
      </c>
      <c r="S234" s="4">
        <v>1</v>
      </c>
      <c r="T234" s="4">
        <v>1</v>
      </c>
      <c r="U234" s="4">
        <v>0</v>
      </c>
      <c r="V234" s="4">
        <v>1</v>
      </c>
      <c r="W234" s="4">
        <v>1</v>
      </c>
      <c r="X234" s="4">
        <v>1</v>
      </c>
      <c r="Y234" s="4">
        <v>1</v>
      </c>
      <c r="Z234" s="4">
        <v>1</v>
      </c>
      <c r="AA234" s="4">
        <v>0</v>
      </c>
      <c r="AB234" s="4">
        <v>1</v>
      </c>
      <c r="AC234" s="4">
        <v>1</v>
      </c>
      <c r="AD234" s="4" t="s">
        <v>140</v>
      </c>
      <c r="AE234" s="4">
        <v>1</v>
      </c>
      <c r="AF234" s="4">
        <v>1</v>
      </c>
      <c r="AG234" s="4">
        <v>1</v>
      </c>
      <c r="AH234" s="4">
        <v>1</v>
      </c>
      <c r="AI234" s="4">
        <v>1</v>
      </c>
      <c r="AJ234" s="4" t="s">
        <v>140</v>
      </c>
      <c r="AK234" s="4">
        <v>0</v>
      </c>
      <c r="AL234" s="4">
        <v>1</v>
      </c>
      <c r="AM234" s="4">
        <v>1</v>
      </c>
      <c r="AN234" s="4" t="s">
        <v>140</v>
      </c>
      <c r="AO234" s="4">
        <v>1</v>
      </c>
      <c r="AP234" s="4">
        <v>1</v>
      </c>
      <c r="AQ234" s="4">
        <v>0</v>
      </c>
      <c r="AR234" s="4" t="s">
        <v>140</v>
      </c>
      <c r="AS234" s="4">
        <v>1</v>
      </c>
      <c r="AT234" s="4" t="s">
        <v>797</v>
      </c>
    </row>
    <row r="235" spans="1:46" x14ac:dyDescent="0.2">
      <c r="A235" s="4">
        <f t="shared" si="12"/>
        <v>12</v>
      </c>
      <c r="B235" s="4">
        <f t="shared" si="13"/>
        <v>3</v>
      </c>
      <c r="C235" s="13" t="str">
        <f>VLOOKUP(B235,Correspondance!$D$3:$E$14,2,FALSE)</f>
        <v>Mars</v>
      </c>
      <c r="D235" s="1" t="s">
        <v>797</v>
      </c>
      <c r="E235" s="2" t="s">
        <v>40</v>
      </c>
      <c r="F235" s="3" t="s">
        <v>41</v>
      </c>
      <c r="G235" s="4" t="s">
        <v>78</v>
      </c>
      <c r="H235" s="4" t="s">
        <v>79</v>
      </c>
      <c r="I235" s="5" t="s">
        <v>57</v>
      </c>
      <c r="J235" s="6">
        <v>87</v>
      </c>
      <c r="K235" s="4" t="s">
        <v>1038</v>
      </c>
      <c r="L235" s="4" t="s">
        <v>114</v>
      </c>
      <c r="M235" s="4" t="s">
        <v>74</v>
      </c>
      <c r="N235" s="4" t="s">
        <v>1039</v>
      </c>
      <c r="O235" s="4" t="s">
        <v>49</v>
      </c>
      <c r="P235" s="4">
        <v>1</v>
      </c>
      <c r="Q235" s="4" t="s">
        <v>140</v>
      </c>
      <c r="R235" s="4">
        <v>1</v>
      </c>
      <c r="S235" s="4">
        <v>0</v>
      </c>
      <c r="T235" s="4">
        <v>1</v>
      </c>
      <c r="U235" s="4">
        <v>0</v>
      </c>
      <c r="V235" s="4">
        <v>1</v>
      </c>
      <c r="W235" s="4">
        <v>1</v>
      </c>
      <c r="X235" s="4">
        <v>1</v>
      </c>
      <c r="Y235" s="4">
        <v>1</v>
      </c>
      <c r="Z235" s="4">
        <v>1</v>
      </c>
      <c r="AA235" s="4">
        <v>1</v>
      </c>
      <c r="AB235" s="4">
        <v>1</v>
      </c>
      <c r="AC235" s="4">
        <v>1</v>
      </c>
      <c r="AD235" s="4" t="s">
        <v>140</v>
      </c>
      <c r="AE235" s="4">
        <v>1</v>
      </c>
      <c r="AF235" s="4">
        <v>1</v>
      </c>
      <c r="AG235" s="4">
        <v>1</v>
      </c>
      <c r="AH235" s="4">
        <v>1</v>
      </c>
      <c r="AI235" s="4">
        <v>1</v>
      </c>
      <c r="AJ235" s="4" t="s">
        <v>140</v>
      </c>
      <c r="AK235" s="4">
        <v>0</v>
      </c>
      <c r="AL235" s="4">
        <v>1</v>
      </c>
      <c r="AM235" s="4">
        <v>1</v>
      </c>
      <c r="AN235" s="4" t="s">
        <v>140</v>
      </c>
      <c r="AO235" s="4">
        <v>1</v>
      </c>
      <c r="AP235" s="4">
        <v>1</v>
      </c>
      <c r="AQ235" s="4">
        <v>0</v>
      </c>
      <c r="AR235" s="4" t="s">
        <v>140</v>
      </c>
      <c r="AS235" s="4">
        <v>1</v>
      </c>
      <c r="AT235" s="4" t="s">
        <v>797</v>
      </c>
    </row>
    <row r="236" spans="1:46" x14ac:dyDescent="0.2">
      <c r="A236" s="4">
        <f t="shared" si="12"/>
        <v>12</v>
      </c>
      <c r="B236" s="4">
        <f t="shared" si="13"/>
        <v>3</v>
      </c>
      <c r="C236" s="13" t="str">
        <f>VLOOKUP(B236,Correspondance!$D$3:$E$14,2,FALSE)</f>
        <v>Mars</v>
      </c>
      <c r="D236" s="1" t="s">
        <v>797</v>
      </c>
      <c r="E236" s="2" t="s">
        <v>40</v>
      </c>
      <c r="F236" s="3" t="s">
        <v>52</v>
      </c>
      <c r="G236" s="4" t="s">
        <v>484</v>
      </c>
      <c r="H236" s="4" t="s">
        <v>485</v>
      </c>
      <c r="I236" s="5" t="s">
        <v>57</v>
      </c>
      <c r="J236" s="6">
        <v>100</v>
      </c>
      <c r="K236" s="4" t="s">
        <v>1040</v>
      </c>
      <c r="L236" s="4" t="s">
        <v>46</v>
      </c>
      <c r="M236" s="4" t="s">
        <v>47</v>
      </c>
      <c r="N236" s="4" t="s">
        <v>77</v>
      </c>
      <c r="O236" s="4" t="s">
        <v>49</v>
      </c>
      <c r="P236" s="4">
        <v>1</v>
      </c>
      <c r="Q236" s="4">
        <v>1</v>
      </c>
      <c r="R236" s="4">
        <v>1</v>
      </c>
      <c r="S236" s="4">
        <v>1</v>
      </c>
      <c r="T236" s="4">
        <v>1</v>
      </c>
      <c r="U236" s="4">
        <v>1</v>
      </c>
      <c r="V236" s="4">
        <v>1</v>
      </c>
      <c r="W236" s="4">
        <v>1</v>
      </c>
      <c r="X236" s="4">
        <v>1</v>
      </c>
      <c r="Y236" s="4">
        <v>1</v>
      </c>
      <c r="Z236" s="4">
        <v>1</v>
      </c>
      <c r="AA236" s="4">
        <v>1</v>
      </c>
      <c r="AB236" s="4">
        <v>1</v>
      </c>
      <c r="AC236" s="4">
        <v>1</v>
      </c>
      <c r="AD236" s="4" t="s">
        <v>140</v>
      </c>
      <c r="AE236" s="4">
        <v>1</v>
      </c>
      <c r="AF236" s="4">
        <v>1</v>
      </c>
      <c r="AG236" s="4">
        <v>1</v>
      </c>
      <c r="AH236" s="4">
        <v>1</v>
      </c>
      <c r="AI236" s="4">
        <v>1</v>
      </c>
      <c r="AJ236" s="4" t="s">
        <v>140</v>
      </c>
      <c r="AK236" s="4">
        <v>1</v>
      </c>
      <c r="AL236" s="4">
        <v>1</v>
      </c>
      <c r="AM236" s="4">
        <v>1</v>
      </c>
      <c r="AN236" s="4" t="s">
        <v>140</v>
      </c>
      <c r="AO236" s="4">
        <v>1</v>
      </c>
      <c r="AP236" s="4">
        <v>1</v>
      </c>
      <c r="AQ236" s="4">
        <v>1</v>
      </c>
      <c r="AR236" s="4" t="s">
        <v>140</v>
      </c>
      <c r="AS236" s="4">
        <v>1</v>
      </c>
      <c r="AT236" s="4" t="s">
        <v>948</v>
      </c>
    </row>
    <row r="237" spans="1:46" x14ac:dyDescent="0.2">
      <c r="A237" s="4">
        <f t="shared" si="12"/>
        <v>12</v>
      </c>
      <c r="B237" s="4">
        <f t="shared" si="13"/>
        <v>3</v>
      </c>
      <c r="C237" s="13" t="str">
        <f>VLOOKUP(B237,Correspondance!$D$3:$E$14,2,FALSE)</f>
        <v>Mars</v>
      </c>
      <c r="D237" s="1" t="s">
        <v>797</v>
      </c>
      <c r="E237" s="2" t="s">
        <v>40</v>
      </c>
      <c r="F237" s="3" t="s">
        <v>52</v>
      </c>
      <c r="G237" s="4" t="s">
        <v>53</v>
      </c>
      <c r="H237" s="4" t="s">
        <v>54</v>
      </c>
      <c r="I237" s="5" t="s">
        <v>57</v>
      </c>
      <c r="J237" s="6">
        <v>96.2</v>
      </c>
      <c r="K237" s="4" t="s">
        <v>1041</v>
      </c>
      <c r="L237" s="4" t="s">
        <v>114</v>
      </c>
      <c r="M237" s="4" t="s">
        <v>74</v>
      </c>
      <c r="N237" s="4" t="s">
        <v>779</v>
      </c>
      <c r="O237" s="4" t="s">
        <v>49</v>
      </c>
      <c r="P237" s="4">
        <v>0</v>
      </c>
      <c r="Q237" s="4" t="s">
        <v>140</v>
      </c>
      <c r="R237" s="4">
        <v>1</v>
      </c>
      <c r="S237" s="4">
        <v>1</v>
      </c>
      <c r="T237" s="4">
        <v>1</v>
      </c>
      <c r="U237" s="4">
        <v>1</v>
      </c>
      <c r="V237" s="4">
        <v>1</v>
      </c>
      <c r="W237" s="4">
        <v>1</v>
      </c>
      <c r="X237" s="4">
        <v>1</v>
      </c>
      <c r="Y237" s="4">
        <v>1</v>
      </c>
      <c r="Z237" s="4">
        <v>1</v>
      </c>
      <c r="AA237" s="4">
        <v>1</v>
      </c>
      <c r="AB237" s="4">
        <v>1</v>
      </c>
      <c r="AC237" s="4">
        <v>1</v>
      </c>
      <c r="AD237" s="4" t="s">
        <v>140</v>
      </c>
      <c r="AE237" s="4">
        <v>1</v>
      </c>
      <c r="AF237" s="4">
        <v>1</v>
      </c>
      <c r="AG237" s="4">
        <v>1</v>
      </c>
      <c r="AH237" s="4">
        <v>1</v>
      </c>
      <c r="AI237" s="4">
        <v>1</v>
      </c>
      <c r="AJ237" s="4" t="s">
        <v>140</v>
      </c>
      <c r="AK237" s="4">
        <v>1</v>
      </c>
      <c r="AL237" s="4">
        <v>1</v>
      </c>
      <c r="AM237" s="4">
        <v>1</v>
      </c>
      <c r="AN237" s="4" t="s">
        <v>140</v>
      </c>
      <c r="AO237" s="4">
        <v>1</v>
      </c>
      <c r="AP237" s="4">
        <v>1</v>
      </c>
      <c r="AQ237" s="4">
        <v>1</v>
      </c>
      <c r="AR237" s="4" t="s">
        <v>140</v>
      </c>
      <c r="AS237" s="4">
        <v>1</v>
      </c>
      <c r="AT237" s="4" t="s">
        <v>872</v>
      </c>
    </row>
    <row r="238" spans="1:46" x14ac:dyDescent="0.2">
      <c r="A238" s="4">
        <f t="shared" si="12"/>
        <v>12</v>
      </c>
      <c r="B238" s="4">
        <f t="shared" si="13"/>
        <v>3</v>
      </c>
      <c r="C238" s="13" t="str">
        <f>VLOOKUP(B238,Correspondance!$D$3:$E$14,2,FALSE)</f>
        <v>Mars</v>
      </c>
      <c r="D238" s="1" t="s">
        <v>797</v>
      </c>
      <c r="E238" s="2" t="s">
        <v>40</v>
      </c>
      <c r="F238" s="3" t="s">
        <v>61</v>
      </c>
      <c r="G238" s="4" t="s">
        <v>130</v>
      </c>
      <c r="H238" s="4" t="s">
        <v>131</v>
      </c>
      <c r="I238" s="5" t="s">
        <v>61</v>
      </c>
      <c r="J238" s="6">
        <v>92.25</v>
      </c>
      <c r="K238" s="4" t="s">
        <v>1042</v>
      </c>
      <c r="L238" s="4" t="s">
        <v>66</v>
      </c>
      <c r="M238" s="4" t="s">
        <v>47</v>
      </c>
      <c r="N238" s="4" t="s">
        <v>499</v>
      </c>
      <c r="O238" s="4" t="s">
        <v>49</v>
      </c>
      <c r="P238" s="4">
        <v>1</v>
      </c>
      <c r="Q238" s="4">
        <v>1</v>
      </c>
      <c r="R238" s="4">
        <v>1</v>
      </c>
      <c r="S238" s="4">
        <v>1</v>
      </c>
      <c r="T238" s="4">
        <v>1</v>
      </c>
      <c r="U238" s="4">
        <v>1</v>
      </c>
      <c r="V238" s="4">
        <v>1</v>
      </c>
      <c r="W238" s="4">
        <v>1</v>
      </c>
      <c r="X238" s="4">
        <v>1</v>
      </c>
      <c r="Y238" s="4">
        <v>1</v>
      </c>
      <c r="Z238" s="4">
        <v>1</v>
      </c>
      <c r="AA238" s="4">
        <v>1</v>
      </c>
      <c r="AB238" s="4">
        <v>1</v>
      </c>
      <c r="AC238" s="4">
        <v>1</v>
      </c>
      <c r="AD238" s="4">
        <v>1</v>
      </c>
      <c r="AE238" s="4">
        <v>1</v>
      </c>
      <c r="AF238" s="4">
        <v>1</v>
      </c>
      <c r="AG238" s="4">
        <v>1</v>
      </c>
      <c r="AH238" s="4">
        <v>1</v>
      </c>
      <c r="AI238" s="4">
        <v>1</v>
      </c>
      <c r="AJ238" s="4" t="s">
        <v>140</v>
      </c>
      <c r="AK238" s="4">
        <v>0</v>
      </c>
      <c r="AL238" s="4">
        <v>0</v>
      </c>
      <c r="AM238" s="4">
        <v>1</v>
      </c>
      <c r="AN238" s="4" t="s">
        <v>140</v>
      </c>
      <c r="AO238" s="4">
        <v>1</v>
      </c>
      <c r="AP238" s="4">
        <v>1</v>
      </c>
      <c r="AQ238" s="4">
        <v>0</v>
      </c>
      <c r="AR238" s="4" t="s">
        <v>140</v>
      </c>
      <c r="AS238" s="4">
        <v>1</v>
      </c>
      <c r="AT238" s="4" t="s">
        <v>873</v>
      </c>
    </row>
    <row r="239" spans="1:46" x14ac:dyDescent="0.2">
      <c r="A239" s="4">
        <f t="shared" si="12"/>
        <v>12</v>
      </c>
      <c r="B239" s="4">
        <f t="shared" si="13"/>
        <v>3</v>
      </c>
      <c r="C239" s="13" t="str">
        <f>VLOOKUP(B239,Correspondance!$D$3:$E$14,2,FALSE)</f>
        <v>Mars</v>
      </c>
      <c r="D239" s="1" t="s">
        <v>797</v>
      </c>
      <c r="E239" s="2" t="s">
        <v>40</v>
      </c>
      <c r="F239" s="3" t="s">
        <v>61</v>
      </c>
      <c r="G239" s="4" t="s">
        <v>130</v>
      </c>
      <c r="H239" s="4" t="s">
        <v>131</v>
      </c>
      <c r="I239" s="5" t="s">
        <v>57</v>
      </c>
      <c r="J239" s="6">
        <v>93</v>
      </c>
      <c r="K239" s="4" t="s">
        <v>1043</v>
      </c>
      <c r="L239" s="4" t="s">
        <v>46</v>
      </c>
      <c r="M239" s="4" t="s">
        <v>47</v>
      </c>
      <c r="N239" s="4" t="s">
        <v>575</v>
      </c>
      <c r="O239" s="4" t="s">
        <v>49</v>
      </c>
      <c r="P239" s="4">
        <v>1</v>
      </c>
      <c r="Q239" s="4" t="s">
        <v>140</v>
      </c>
      <c r="R239" s="4">
        <v>1</v>
      </c>
      <c r="S239" s="4">
        <v>1</v>
      </c>
      <c r="T239" s="4">
        <v>0</v>
      </c>
      <c r="U239" s="4">
        <v>1</v>
      </c>
      <c r="V239" s="4">
        <v>1</v>
      </c>
      <c r="W239" s="4">
        <v>1</v>
      </c>
      <c r="X239" s="4">
        <v>1</v>
      </c>
      <c r="Y239" s="4">
        <v>1</v>
      </c>
      <c r="Z239" s="4">
        <v>1</v>
      </c>
      <c r="AA239" s="4">
        <v>1</v>
      </c>
      <c r="AB239" s="4">
        <v>1</v>
      </c>
      <c r="AC239" s="4">
        <v>1</v>
      </c>
      <c r="AD239" s="4">
        <v>1</v>
      </c>
      <c r="AE239" s="4">
        <v>1</v>
      </c>
      <c r="AF239" s="4">
        <v>1</v>
      </c>
      <c r="AG239" s="4">
        <v>1</v>
      </c>
      <c r="AH239" s="4">
        <v>1</v>
      </c>
      <c r="AI239" s="4">
        <v>1</v>
      </c>
      <c r="AJ239" s="4" t="s">
        <v>140</v>
      </c>
      <c r="AK239" s="4">
        <v>1</v>
      </c>
      <c r="AL239" s="4">
        <v>1</v>
      </c>
      <c r="AM239" s="4">
        <v>1</v>
      </c>
      <c r="AN239" s="4" t="s">
        <v>140</v>
      </c>
      <c r="AO239" s="4">
        <v>1</v>
      </c>
      <c r="AP239" s="4">
        <v>1</v>
      </c>
      <c r="AQ239" s="4">
        <v>1</v>
      </c>
      <c r="AR239" s="4" t="s">
        <v>140</v>
      </c>
      <c r="AS239" s="4">
        <v>1</v>
      </c>
      <c r="AT239" s="4" t="s">
        <v>873</v>
      </c>
    </row>
    <row r="240" spans="1:46" x14ac:dyDescent="0.2">
      <c r="A240" s="4">
        <f t="shared" si="12"/>
        <v>12</v>
      </c>
      <c r="B240" s="4">
        <f t="shared" si="13"/>
        <v>3</v>
      </c>
      <c r="C240" s="13" t="str">
        <f>VLOOKUP(B240,Correspondance!$D$3:$E$14,2,FALSE)</f>
        <v>Mars</v>
      </c>
      <c r="D240" s="1" t="s">
        <v>798</v>
      </c>
      <c r="E240" s="2" t="s">
        <v>40</v>
      </c>
      <c r="F240" s="3" t="s">
        <v>41</v>
      </c>
      <c r="G240" s="4" t="s">
        <v>89</v>
      </c>
      <c r="H240" s="4" t="s">
        <v>90</v>
      </c>
      <c r="I240" s="5" t="s">
        <v>57</v>
      </c>
      <c r="J240" s="6">
        <v>89.25</v>
      </c>
      <c r="K240" s="4" t="s">
        <v>1044</v>
      </c>
      <c r="L240" s="4" t="s">
        <v>46</v>
      </c>
      <c r="M240" s="4" t="s">
        <v>99</v>
      </c>
      <c r="N240" s="4" t="s">
        <v>328</v>
      </c>
      <c r="O240" s="4" t="s">
        <v>49</v>
      </c>
      <c r="P240" s="4">
        <v>1</v>
      </c>
      <c r="Q240" s="4">
        <v>0</v>
      </c>
      <c r="R240" s="4">
        <v>1</v>
      </c>
      <c r="S240" s="4">
        <v>1</v>
      </c>
      <c r="T240" s="4">
        <v>1</v>
      </c>
      <c r="U240" s="4">
        <v>1</v>
      </c>
      <c r="V240" s="4">
        <v>1</v>
      </c>
      <c r="W240" s="4">
        <v>1</v>
      </c>
      <c r="X240" s="4">
        <v>1</v>
      </c>
      <c r="Y240" s="4">
        <v>1</v>
      </c>
      <c r="Z240" s="4">
        <v>1</v>
      </c>
      <c r="AA240" s="4">
        <v>1</v>
      </c>
      <c r="AB240" s="4">
        <v>1</v>
      </c>
      <c r="AC240" s="4">
        <v>1</v>
      </c>
      <c r="AD240" s="4">
        <v>1</v>
      </c>
      <c r="AE240" s="4">
        <v>1</v>
      </c>
      <c r="AF240" s="4">
        <v>1</v>
      </c>
      <c r="AG240" s="4">
        <v>1</v>
      </c>
      <c r="AH240" s="4">
        <v>1</v>
      </c>
      <c r="AI240" s="4">
        <v>1</v>
      </c>
      <c r="AJ240" s="4" t="s">
        <v>140</v>
      </c>
      <c r="AK240" s="4">
        <v>1</v>
      </c>
      <c r="AL240" s="4">
        <v>1</v>
      </c>
      <c r="AM240" s="4">
        <v>1</v>
      </c>
      <c r="AN240" s="4" t="s">
        <v>140</v>
      </c>
      <c r="AO240" s="4">
        <v>1</v>
      </c>
      <c r="AP240" s="4">
        <v>1</v>
      </c>
      <c r="AQ240" s="4">
        <v>1</v>
      </c>
      <c r="AR240" s="4" t="s">
        <v>140</v>
      </c>
      <c r="AS240" s="4">
        <v>0</v>
      </c>
      <c r="AT240" s="4" t="s">
        <v>1053</v>
      </c>
    </row>
    <row r="241" spans="1:46" x14ac:dyDescent="0.2">
      <c r="A241" s="4">
        <f t="shared" si="12"/>
        <v>12</v>
      </c>
      <c r="B241" s="4">
        <f t="shared" si="13"/>
        <v>3</v>
      </c>
      <c r="C241" s="13" t="str">
        <f>VLOOKUP(B241,Correspondance!$D$3:$E$14,2,FALSE)</f>
        <v>Mars</v>
      </c>
      <c r="D241" s="1" t="s">
        <v>798</v>
      </c>
      <c r="E241" s="2" t="s">
        <v>40</v>
      </c>
      <c r="F241" s="3" t="s">
        <v>52</v>
      </c>
      <c r="G241" s="4" t="s">
        <v>135</v>
      </c>
      <c r="H241" s="4" t="s">
        <v>136</v>
      </c>
      <c r="I241" s="5" t="s">
        <v>57</v>
      </c>
      <c r="J241" s="6">
        <v>86.25</v>
      </c>
      <c r="K241" s="4" t="s">
        <v>1045</v>
      </c>
      <c r="L241" s="4" t="s">
        <v>46</v>
      </c>
      <c r="M241" s="4" t="s">
        <v>47</v>
      </c>
      <c r="N241" s="4" t="s">
        <v>77</v>
      </c>
      <c r="O241" s="4" t="s">
        <v>49</v>
      </c>
      <c r="P241" s="4">
        <v>1</v>
      </c>
      <c r="Q241" s="4">
        <v>0</v>
      </c>
      <c r="R241" s="4">
        <v>1</v>
      </c>
      <c r="S241" s="4">
        <v>1</v>
      </c>
      <c r="T241" s="4">
        <v>1</v>
      </c>
      <c r="U241" s="4">
        <v>0</v>
      </c>
      <c r="V241" s="4">
        <v>1</v>
      </c>
      <c r="W241" s="4">
        <v>1</v>
      </c>
      <c r="X241" s="4">
        <v>1</v>
      </c>
      <c r="Y241" s="4">
        <v>1</v>
      </c>
      <c r="Z241" s="4">
        <v>1</v>
      </c>
      <c r="AA241" s="4">
        <v>1</v>
      </c>
      <c r="AB241" s="4">
        <v>1</v>
      </c>
      <c r="AC241" s="4">
        <v>1</v>
      </c>
      <c r="AD241" s="4" t="s">
        <v>140</v>
      </c>
      <c r="AE241" s="4">
        <v>1</v>
      </c>
      <c r="AF241" s="4">
        <v>1</v>
      </c>
      <c r="AG241" s="4">
        <v>1</v>
      </c>
      <c r="AH241" s="4">
        <v>1</v>
      </c>
      <c r="AI241" s="4">
        <v>1</v>
      </c>
      <c r="AJ241" s="4" t="s">
        <v>140</v>
      </c>
      <c r="AK241" s="4">
        <v>1</v>
      </c>
      <c r="AL241" s="4">
        <v>1</v>
      </c>
      <c r="AM241" s="4">
        <v>1</v>
      </c>
      <c r="AN241" s="4" t="s">
        <v>140</v>
      </c>
      <c r="AO241" s="4">
        <v>1</v>
      </c>
      <c r="AP241" s="4">
        <v>1</v>
      </c>
      <c r="AQ241" s="4">
        <v>1</v>
      </c>
      <c r="AR241" s="4" t="s">
        <v>140</v>
      </c>
      <c r="AS241" s="4">
        <v>0</v>
      </c>
      <c r="AT241" s="4" t="s">
        <v>948</v>
      </c>
    </row>
    <row r="242" spans="1:46" x14ac:dyDescent="0.2">
      <c r="A242" s="4">
        <f t="shared" si="12"/>
        <v>12</v>
      </c>
      <c r="B242" s="4">
        <f t="shared" si="13"/>
        <v>3</v>
      </c>
      <c r="C242" s="13" t="str">
        <f>VLOOKUP(B242,Correspondance!$D$3:$E$14,2,FALSE)</f>
        <v>Mars</v>
      </c>
      <c r="D242" s="1" t="s">
        <v>798</v>
      </c>
      <c r="E242" s="2" t="s">
        <v>40</v>
      </c>
      <c r="F242" s="3" t="s">
        <v>52</v>
      </c>
      <c r="G242" s="4" t="s">
        <v>120</v>
      </c>
      <c r="H242" s="4" t="s">
        <v>121</v>
      </c>
      <c r="I242" s="5" t="s">
        <v>57</v>
      </c>
      <c r="J242" s="6">
        <v>96.25</v>
      </c>
      <c r="K242" s="4" t="s">
        <v>1046</v>
      </c>
      <c r="L242" s="4" t="s">
        <v>46</v>
      </c>
      <c r="M242" s="4" t="s">
        <v>47</v>
      </c>
      <c r="N242" s="4" t="s">
        <v>328</v>
      </c>
      <c r="O242" s="4" t="s">
        <v>49</v>
      </c>
      <c r="P242" s="4">
        <v>1</v>
      </c>
      <c r="Q242" s="4">
        <v>0</v>
      </c>
      <c r="R242" s="4">
        <v>1</v>
      </c>
      <c r="S242" s="4">
        <v>1</v>
      </c>
      <c r="T242" s="4">
        <v>1</v>
      </c>
      <c r="U242" s="4">
        <v>1</v>
      </c>
      <c r="V242" s="4">
        <v>1</v>
      </c>
      <c r="W242" s="4">
        <v>1</v>
      </c>
      <c r="X242" s="4">
        <v>1</v>
      </c>
      <c r="Y242" s="4">
        <v>1</v>
      </c>
      <c r="Z242" s="4">
        <v>1</v>
      </c>
      <c r="AA242" s="4">
        <v>1</v>
      </c>
      <c r="AB242" s="4">
        <v>1</v>
      </c>
      <c r="AC242" s="4">
        <v>1</v>
      </c>
      <c r="AD242" s="4">
        <v>1</v>
      </c>
      <c r="AE242" s="4">
        <v>1</v>
      </c>
      <c r="AF242" s="4">
        <v>1</v>
      </c>
      <c r="AG242" s="4">
        <v>1</v>
      </c>
      <c r="AH242" s="4">
        <v>1</v>
      </c>
      <c r="AI242" s="4">
        <v>1</v>
      </c>
      <c r="AJ242" s="4" t="s">
        <v>140</v>
      </c>
      <c r="AK242" s="4">
        <v>1</v>
      </c>
      <c r="AL242" s="4">
        <v>1</v>
      </c>
      <c r="AM242" s="4">
        <v>1</v>
      </c>
      <c r="AN242" s="4" t="s">
        <v>140</v>
      </c>
      <c r="AO242" s="4">
        <v>1</v>
      </c>
      <c r="AP242" s="4">
        <v>1</v>
      </c>
      <c r="AQ242" s="4">
        <v>1</v>
      </c>
      <c r="AR242" s="4" t="s">
        <v>140</v>
      </c>
      <c r="AS242" s="4">
        <v>1</v>
      </c>
      <c r="AT242" s="4" t="s">
        <v>872</v>
      </c>
    </row>
    <row r="243" spans="1:46" x14ac:dyDescent="0.2">
      <c r="A243" s="4">
        <f t="shared" si="12"/>
        <v>12</v>
      </c>
      <c r="B243" s="4">
        <f t="shared" si="13"/>
        <v>3</v>
      </c>
      <c r="C243" s="13" t="str">
        <f>VLOOKUP(B243,Correspondance!$D$3:$E$14,2,FALSE)</f>
        <v>Mars</v>
      </c>
      <c r="D243" s="1" t="s">
        <v>798</v>
      </c>
      <c r="E243" s="2" t="s">
        <v>40</v>
      </c>
      <c r="F243" s="3" t="s">
        <v>61</v>
      </c>
      <c r="G243" s="4" t="s">
        <v>96</v>
      </c>
      <c r="H243" s="4" t="s">
        <v>97</v>
      </c>
      <c r="I243" s="5" t="s">
        <v>57</v>
      </c>
      <c r="J243" s="6">
        <v>96.25</v>
      </c>
      <c r="K243" s="4" t="s">
        <v>1047</v>
      </c>
      <c r="L243" s="4" t="s">
        <v>46</v>
      </c>
      <c r="M243" s="4" t="s">
        <v>47</v>
      </c>
      <c r="N243" s="4" t="s">
        <v>77</v>
      </c>
      <c r="O243" s="4" t="s">
        <v>49</v>
      </c>
      <c r="P243" s="4">
        <v>1</v>
      </c>
      <c r="Q243" s="4">
        <v>1</v>
      </c>
      <c r="R243" s="4">
        <v>1</v>
      </c>
      <c r="S243" s="4">
        <v>1</v>
      </c>
      <c r="T243" s="4">
        <v>1</v>
      </c>
      <c r="U243" s="4">
        <v>1</v>
      </c>
      <c r="V243" s="4">
        <v>1</v>
      </c>
      <c r="W243" s="4">
        <v>1</v>
      </c>
      <c r="X243" s="4">
        <v>1</v>
      </c>
      <c r="Y243" s="4">
        <v>1</v>
      </c>
      <c r="Z243" s="4">
        <v>1</v>
      </c>
      <c r="AA243" s="4">
        <v>1</v>
      </c>
      <c r="AB243" s="4">
        <v>1</v>
      </c>
      <c r="AC243" s="4">
        <v>1</v>
      </c>
      <c r="AD243" s="4" t="s">
        <v>140</v>
      </c>
      <c r="AE243" s="4">
        <v>1</v>
      </c>
      <c r="AF243" s="4">
        <v>1</v>
      </c>
      <c r="AG243" s="4">
        <v>1</v>
      </c>
      <c r="AH243" s="4">
        <v>1</v>
      </c>
      <c r="AI243" s="4">
        <v>1</v>
      </c>
      <c r="AJ243" s="4" t="s">
        <v>140</v>
      </c>
      <c r="AK243" s="4">
        <v>1</v>
      </c>
      <c r="AL243" s="4">
        <v>0</v>
      </c>
      <c r="AM243" s="4">
        <v>1</v>
      </c>
      <c r="AN243" s="4" t="s">
        <v>140</v>
      </c>
      <c r="AO243" s="4">
        <v>1</v>
      </c>
      <c r="AP243" s="4">
        <v>1</v>
      </c>
      <c r="AQ243" s="4">
        <v>1</v>
      </c>
      <c r="AR243" s="4" t="s">
        <v>140</v>
      </c>
      <c r="AS243" s="4">
        <v>1</v>
      </c>
      <c r="AT243" s="4" t="s">
        <v>948</v>
      </c>
    </row>
    <row r="244" spans="1:46" x14ac:dyDescent="0.2">
      <c r="A244" s="4">
        <f t="shared" si="12"/>
        <v>12</v>
      </c>
      <c r="B244" s="4">
        <f t="shared" si="13"/>
        <v>3</v>
      </c>
      <c r="C244" s="13" t="str">
        <f>VLOOKUP(B244,Correspondance!$D$3:$E$14,2,FALSE)</f>
        <v>Mars</v>
      </c>
      <c r="D244" s="1" t="s">
        <v>798</v>
      </c>
      <c r="E244" s="2" t="s">
        <v>40</v>
      </c>
      <c r="F244" s="3" t="s">
        <v>61</v>
      </c>
      <c r="G244" s="4" t="s">
        <v>68</v>
      </c>
      <c r="H244" s="4" t="s">
        <v>69</v>
      </c>
      <c r="I244" s="5" t="s">
        <v>57</v>
      </c>
      <c r="J244" s="6">
        <v>100</v>
      </c>
      <c r="K244" s="4" t="s">
        <v>1048</v>
      </c>
      <c r="L244" s="4" t="s">
        <v>46</v>
      </c>
      <c r="M244" s="4" t="s">
        <v>47</v>
      </c>
      <c r="N244" s="4" t="s">
        <v>1049</v>
      </c>
      <c r="O244" s="4" t="s">
        <v>49</v>
      </c>
      <c r="P244" s="4">
        <v>1</v>
      </c>
      <c r="Q244" s="4" t="s">
        <v>140</v>
      </c>
      <c r="R244" s="4">
        <v>1</v>
      </c>
      <c r="S244" s="4">
        <v>1</v>
      </c>
      <c r="T244" s="4">
        <v>1</v>
      </c>
      <c r="U244" s="4">
        <v>1</v>
      </c>
      <c r="V244" s="4">
        <v>1</v>
      </c>
      <c r="W244" s="4">
        <v>1</v>
      </c>
      <c r="X244" s="4">
        <v>1</v>
      </c>
      <c r="Y244" s="4">
        <v>1</v>
      </c>
      <c r="Z244" s="4">
        <v>1</v>
      </c>
      <c r="AA244" s="4">
        <v>1</v>
      </c>
      <c r="AB244" s="4">
        <v>1</v>
      </c>
      <c r="AC244" s="4">
        <v>1</v>
      </c>
      <c r="AD244" s="4" t="s">
        <v>140</v>
      </c>
      <c r="AE244" s="4">
        <v>1</v>
      </c>
      <c r="AF244" s="4">
        <v>1</v>
      </c>
      <c r="AG244" s="4">
        <v>1</v>
      </c>
      <c r="AH244" s="4">
        <v>1</v>
      </c>
      <c r="AI244" s="4">
        <v>1</v>
      </c>
      <c r="AJ244" s="4" t="s">
        <v>140</v>
      </c>
      <c r="AK244" s="4">
        <v>1</v>
      </c>
      <c r="AL244" s="4">
        <v>1</v>
      </c>
      <c r="AM244" s="4">
        <v>1</v>
      </c>
      <c r="AN244" s="4" t="s">
        <v>140</v>
      </c>
      <c r="AO244" s="4">
        <v>1</v>
      </c>
      <c r="AP244" s="4">
        <v>1</v>
      </c>
      <c r="AQ244" s="4">
        <v>1</v>
      </c>
      <c r="AR244" s="4" t="s">
        <v>140</v>
      </c>
      <c r="AS244" s="4">
        <v>1</v>
      </c>
      <c r="AT244" s="4" t="s">
        <v>948</v>
      </c>
    </row>
    <row r="245" spans="1:46" x14ac:dyDescent="0.2">
      <c r="A245" s="4">
        <f t="shared" si="12"/>
        <v>12</v>
      </c>
      <c r="B245" s="4">
        <f t="shared" si="13"/>
        <v>3</v>
      </c>
      <c r="C245" s="13" t="str">
        <f>VLOOKUP(B245,Correspondance!$D$3:$E$14,2,FALSE)</f>
        <v>Mars</v>
      </c>
      <c r="D245" s="1" t="s">
        <v>937</v>
      </c>
      <c r="E245" s="2" t="s">
        <v>40</v>
      </c>
      <c r="F245" s="3" t="s">
        <v>61</v>
      </c>
      <c r="G245" s="4" t="s">
        <v>96</v>
      </c>
      <c r="H245" s="4" t="s">
        <v>97</v>
      </c>
      <c r="I245" s="5" t="s">
        <v>44</v>
      </c>
      <c r="J245" s="6">
        <v>100</v>
      </c>
      <c r="K245" s="4" t="s">
        <v>1050</v>
      </c>
      <c r="L245" s="4" t="s">
        <v>46</v>
      </c>
      <c r="M245" s="4" t="s">
        <v>47</v>
      </c>
      <c r="N245" s="4" t="s">
        <v>488</v>
      </c>
      <c r="O245" s="4" t="s">
        <v>49</v>
      </c>
      <c r="P245" s="4">
        <v>1</v>
      </c>
      <c r="Q245" s="4" t="s">
        <v>140</v>
      </c>
      <c r="R245" s="4">
        <v>1</v>
      </c>
      <c r="S245" s="4">
        <v>1</v>
      </c>
      <c r="T245" s="4">
        <v>1</v>
      </c>
      <c r="U245" s="4">
        <v>1</v>
      </c>
      <c r="V245" s="4">
        <v>1</v>
      </c>
      <c r="W245" s="4">
        <v>1</v>
      </c>
      <c r="X245" s="4">
        <v>1</v>
      </c>
      <c r="Y245" s="4">
        <v>1</v>
      </c>
      <c r="Z245" s="4">
        <v>1</v>
      </c>
      <c r="AA245" s="4">
        <v>1</v>
      </c>
      <c r="AB245" s="4">
        <v>1</v>
      </c>
      <c r="AC245" s="4">
        <v>1</v>
      </c>
      <c r="AD245" s="4" t="s">
        <v>140</v>
      </c>
      <c r="AE245" s="4">
        <v>1</v>
      </c>
      <c r="AF245" s="4">
        <v>1</v>
      </c>
      <c r="AG245" s="4">
        <v>1</v>
      </c>
      <c r="AH245" s="4">
        <v>1</v>
      </c>
      <c r="AI245" s="4">
        <v>1</v>
      </c>
      <c r="AJ245" s="4" t="s">
        <v>140</v>
      </c>
      <c r="AK245" s="4">
        <v>1</v>
      </c>
      <c r="AL245" s="4">
        <v>1</v>
      </c>
      <c r="AM245" s="4">
        <v>1</v>
      </c>
      <c r="AN245" s="4" t="s">
        <v>140</v>
      </c>
      <c r="AO245" s="4">
        <v>1</v>
      </c>
      <c r="AP245" s="4">
        <v>1</v>
      </c>
      <c r="AQ245" s="4">
        <v>1</v>
      </c>
      <c r="AR245" s="4" t="s">
        <v>140</v>
      </c>
      <c r="AS245" s="4">
        <v>1</v>
      </c>
      <c r="AT245" s="4" t="s">
        <v>941</v>
      </c>
    </row>
    <row r="246" spans="1:46" x14ac:dyDescent="0.2">
      <c r="A246" s="4">
        <f t="shared" si="12"/>
        <v>12</v>
      </c>
      <c r="B246" s="4">
        <f t="shared" si="13"/>
        <v>3</v>
      </c>
      <c r="C246" s="13" t="str">
        <f>VLOOKUP(B246,Correspondance!$D$3:$E$14,2,FALSE)</f>
        <v>Mars</v>
      </c>
      <c r="D246" s="1" t="s">
        <v>937</v>
      </c>
      <c r="E246" s="2" t="s">
        <v>40</v>
      </c>
      <c r="F246" s="3" t="s">
        <v>61</v>
      </c>
      <c r="G246" s="4" t="s">
        <v>68</v>
      </c>
      <c r="H246" s="4" t="s">
        <v>69</v>
      </c>
      <c r="I246" s="5" t="s">
        <v>44</v>
      </c>
      <c r="J246" s="6">
        <v>86.666666666666671</v>
      </c>
      <c r="K246" s="4" t="s">
        <v>1051</v>
      </c>
      <c r="L246" s="4" t="s">
        <v>46</v>
      </c>
      <c r="M246" s="4" t="s">
        <v>47</v>
      </c>
      <c r="N246" s="4" t="s">
        <v>112</v>
      </c>
      <c r="O246" s="4" t="s">
        <v>49</v>
      </c>
      <c r="P246" s="4">
        <v>1</v>
      </c>
      <c r="Q246" s="4">
        <v>1</v>
      </c>
      <c r="R246" s="4">
        <v>1</v>
      </c>
      <c r="S246" s="4">
        <v>1</v>
      </c>
      <c r="T246" s="4">
        <v>1</v>
      </c>
      <c r="U246" s="4">
        <v>1</v>
      </c>
      <c r="V246" s="4">
        <v>1</v>
      </c>
      <c r="W246" s="4">
        <v>0</v>
      </c>
      <c r="X246" s="4">
        <v>1</v>
      </c>
      <c r="Y246" s="4">
        <v>1</v>
      </c>
      <c r="Z246" s="4">
        <v>1</v>
      </c>
      <c r="AA246" s="4">
        <v>1</v>
      </c>
      <c r="AB246" s="4">
        <v>1</v>
      </c>
      <c r="AC246" s="4">
        <v>1</v>
      </c>
      <c r="AD246" s="4">
        <v>1</v>
      </c>
      <c r="AE246" s="4">
        <v>1</v>
      </c>
      <c r="AF246" s="4">
        <v>1</v>
      </c>
      <c r="AG246" s="4">
        <v>1</v>
      </c>
      <c r="AH246" s="4">
        <v>1</v>
      </c>
      <c r="AI246" s="4">
        <v>1</v>
      </c>
      <c r="AJ246" s="4">
        <v>0</v>
      </c>
      <c r="AK246" s="4">
        <v>1</v>
      </c>
      <c r="AL246" s="4">
        <v>0</v>
      </c>
      <c r="AM246" s="4">
        <v>1</v>
      </c>
      <c r="AN246" s="4" t="s">
        <v>140</v>
      </c>
      <c r="AO246" s="4">
        <v>1</v>
      </c>
      <c r="AP246" s="4">
        <v>1</v>
      </c>
      <c r="AQ246" s="4">
        <v>1</v>
      </c>
      <c r="AR246" s="4" t="s">
        <v>140</v>
      </c>
      <c r="AS246" s="4">
        <v>1</v>
      </c>
      <c r="AT246" s="4" t="s">
        <v>948</v>
      </c>
    </row>
    <row r="247" spans="1:46" x14ac:dyDescent="0.2">
      <c r="A247" s="4">
        <f t="shared" si="12"/>
        <v>12</v>
      </c>
      <c r="B247" s="4">
        <f t="shared" si="13"/>
        <v>3</v>
      </c>
      <c r="C247" s="13" t="str">
        <f>VLOOKUP(B247,Correspondance!$D$3:$E$14,2,FALSE)</f>
        <v>Mars</v>
      </c>
      <c r="D247" s="1" t="s">
        <v>941</v>
      </c>
      <c r="E247" s="2" t="s">
        <v>40</v>
      </c>
      <c r="F247" s="3" t="s">
        <v>61</v>
      </c>
      <c r="G247" s="4" t="s">
        <v>201</v>
      </c>
      <c r="H247" s="4" t="s">
        <v>202</v>
      </c>
      <c r="I247" s="5" t="s">
        <v>61</v>
      </c>
      <c r="J247" s="6">
        <v>100</v>
      </c>
      <c r="K247" s="4" t="s">
        <v>1052</v>
      </c>
      <c r="L247" s="4" t="s">
        <v>66</v>
      </c>
      <c r="M247" s="4" t="s">
        <v>74</v>
      </c>
      <c r="N247" s="4" t="s">
        <v>551</v>
      </c>
      <c r="O247" s="4" t="s">
        <v>49</v>
      </c>
      <c r="P247" s="4">
        <v>1</v>
      </c>
      <c r="Q247" s="4">
        <v>1</v>
      </c>
      <c r="R247" s="4">
        <v>1</v>
      </c>
      <c r="S247" s="4">
        <v>1</v>
      </c>
      <c r="T247" s="4">
        <v>1</v>
      </c>
      <c r="U247" s="4">
        <v>1</v>
      </c>
      <c r="V247" s="4">
        <v>1</v>
      </c>
      <c r="W247" s="4">
        <v>1</v>
      </c>
      <c r="X247" s="4">
        <v>1</v>
      </c>
      <c r="Y247" s="4">
        <v>1</v>
      </c>
      <c r="Z247" s="4">
        <v>1</v>
      </c>
      <c r="AA247" s="4">
        <v>1</v>
      </c>
      <c r="AB247" s="4">
        <v>1</v>
      </c>
      <c r="AC247" s="4">
        <v>1</v>
      </c>
      <c r="AD247" s="4">
        <v>1</v>
      </c>
      <c r="AE247" s="4">
        <v>1</v>
      </c>
      <c r="AF247" s="4">
        <v>1</v>
      </c>
      <c r="AG247" s="4">
        <v>1</v>
      </c>
      <c r="AH247" s="4">
        <v>1</v>
      </c>
      <c r="AI247" s="4">
        <v>1</v>
      </c>
      <c r="AJ247" s="4" t="s">
        <v>140</v>
      </c>
      <c r="AK247" s="4">
        <v>1</v>
      </c>
      <c r="AL247" s="4">
        <v>1</v>
      </c>
      <c r="AM247" s="4">
        <v>1</v>
      </c>
      <c r="AN247" s="4" t="s">
        <v>140</v>
      </c>
      <c r="AO247" s="4">
        <v>1</v>
      </c>
      <c r="AP247" s="4">
        <v>1</v>
      </c>
      <c r="AQ247" s="4">
        <v>1</v>
      </c>
      <c r="AR247" s="4" t="s">
        <v>140</v>
      </c>
      <c r="AS247" s="4">
        <v>1</v>
      </c>
      <c r="AT247" s="4" t="s">
        <v>872</v>
      </c>
    </row>
    <row r="248" spans="1:46" x14ac:dyDescent="0.2">
      <c r="A248" s="4">
        <f t="shared" si="12"/>
        <v>13</v>
      </c>
      <c r="B248" s="4">
        <f t="shared" si="13"/>
        <v>3</v>
      </c>
      <c r="C248" s="13" t="str">
        <f>VLOOKUP(B248,Correspondance!$D$3:$E$14,2,FALSE)</f>
        <v>Mars</v>
      </c>
      <c r="D248" s="1" t="s">
        <v>1053</v>
      </c>
      <c r="E248" s="2" t="s">
        <v>40</v>
      </c>
      <c r="F248" s="3" t="s">
        <v>41</v>
      </c>
      <c r="G248" s="4" t="s">
        <v>42</v>
      </c>
      <c r="H248" s="4" t="s">
        <v>43</v>
      </c>
      <c r="I248" s="5" t="s">
        <v>44</v>
      </c>
      <c r="J248" s="6">
        <v>98</v>
      </c>
      <c r="K248" s="4" t="s">
        <v>1054</v>
      </c>
      <c r="L248" s="4" t="s">
        <v>46</v>
      </c>
      <c r="M248" s="4" t="s">
        <v>175</v>
      </c>
      <c r="N248" s="4" t="s">
        <v>498</v>
      </c>
      <c r="O248" s="4" t="s">
        <v>49</v>
      </c>
      <c r="P248" s="4">
        <v>1</v>
      </c>
      <c r="Q248" s="4">
        <v>1</v>
      </c>
      <c r="R248" s="4">
        <v>1</v>
      </c>
      <c r="S248" s="4">
        <v>1</v>
      </c>
      <c r="T248" s="4">
        <v>1</v>
      </c>
      <c r="U248" s="4">
        <v>1</v>
      </c>
      <c r="V248" s="4">
        <v>1</v>
      </c>
      <c r="W248" s="4">
        <v>1</v>
      </c>
      <c r="X248" s="4">
        <v>1</v>
      </c>
      <c r="Y248" s="4">
        <v>1</v>
      </c>
      <c r="Z248" s="4">
        <v>1</v>
      </c>
      <c r="AA248" s="4">
        <v>1</v>
      </c>
      <c r="AB248" s="4">
        <v>1</v>
      </c>
      <c r="AC248" s="4">
        <v>1</v>
      </c>
      <c r="AD248" s="4">
        <v>1</v>
      </c>
      <c r="AE248" s="4">
        <v>1</v>
      </c>
      <c r="AF248" s="4">
        <v>1</v>
      </c>
      <c r="AG248" s="4">
        <v>1</v>
      </c>
      <c r="AH248" s="4">
        <v>1</v>
      </c>
      <c r="AI248" s="4">
        <v>0</v>
      </c>
      <c r="AJ248" s="4" t="s">
        <v>140</v>
      </c>
      <c r="AK248" s="4">
        <v>1</v>
      </c>
      <c r="AL248" s="4">
        <v>1</v>
      </c>
      <c r="AM248" s="4">
        <v>1</v>
      </c>
      <c r="AN248" s="4" t="s">
        <v>140</v>
      </c>
      <c r="AO248" s="4">
        <v>1</v>
      </c>
      <c r="AP248" s="4">
        <v>1</v>
      </c>
      <c r="AQ248" s="4">
        <v>1</v>
      </c>
      <c r="AR248" s="4" t="s">
        <v>140</v>
      </c>
      <c r="AS248" s="4">
        <v>1</v>
      </c>
      <c r="AT248" s="4" t="s">
        <v>873</v>
      </c>
    </row>
    <row r="249" spans="1:46" x14ac:dyDescent="0.2">
      <c r="A249" s="4">
        <f t="shared" si="12"/>
        <v>13</v>
      </c>
      <c r="B249" s="4">
        <f t="shared" si="13"/>
        <v>3</v>
      </c>
      <c r="C249" s="13" t="str">
        <f>VLOOKUP(B249,Correspondance!$D$3:$E$14,2,FALSE)</f>
        <v>Mars</v>
      </c>
      <c r="D249" s="1" t="s">
        <v>1053</v>
      </c>
      <c r="E249" s="2" t="s">
        <v>40</v>
      </c>
      <c r="F249" s="3" t="s">
        <v>41</v>
      </c>
      <c r="G249" s="4" t="s">
        <v>82</v>
      </c>
      <c r="H249" s="4" t="s">
        <v>83</v>
      </c>
      <c r="I249" s="5" t="s">
        <v>44</v>
      </c>
      <c r="J249" s="6">
        <v>96</v>
      </c>
      <c r="K249" s="4" t="s">
        <v>1055</v>
      </c>
      <c r="L249" s="4" t="s">
        <v>46</v>
      </c>
      <c r="M249" s="4" t="s">
        <v>175</v>
      </c>
      <c r="N249" s="4" t="s">
        <v>1056</v>
      </c>
      <c r="O249" s="4" t="s">
        <v>49</v>
      </c>
      <c r="P249" s="4">
        <v>1</v>
      </c>
      <c r="Q249" s="4">
        <v>1</v>
      </c>
      <c r="R249" s="4">
        <v>1</v>
      </c>
      <c r="S249" s="4">
        <v>1</v>
      </c>
      <c r="T249" s="4">
        <v>1</v>
      </c>
      <c r="U249" s="4">
        <v>1</v>
      </c>
      <c r="V249" s="4">
        <v>1</v>
      </c>
      <c r="W249" s="4">
        <v>1</v>
      </c>
      <c r="X249" s="4">
        <v>1</v>
      </c>
      <c r="Y249" s="4">
        <v>1</v>
      </c>
      <c r="Z249" s="4">
        <v>1</v>
      </c>
      <c r="AA249" s="4">
        <v>1</v>
      </c>
      <c r="AB249" s="4">
        <v>1</v>
      </c>
      <c r="AC249" s="4">
        <v>1</v>
      </c>
      <c r="AD249" s="4" t="s">
        <v>140</v>
      </c>
      <c r="AE249" s="4">
        <v>1</v>
      </c>
      <c r="AF249" s="4">
        <v>1</v>
      </c>
      <c r="AG249" s="4">
        <v>1</v>
      </c>
      <c r="AH249" s="4">
        <v>1</v>
      </c>
      <c r="AI249" s="4">
        <v>1</v>
      </c>
      <c r="AJ249" s="4" t="s">
        <v>140</v>
      </c>
      <c r="AK249" s="4">
        <v>0</v>
      </c>
      <c r="AL249" s="4">
        <v>1</v>
      </c>
      <c r="AM249" s="4">
        <v>1</v>
      </c>
      <c r="AN249" s="4" t="s">
        <v>140</v>
      </c>
      <c r="AO249" s="4">
        <v>1</v>
      </c>
      <c r="AP249" s="4">
        <v>1</v>
      </c>
      <c r="AQ249" s="4">
        <v>0</v>
      </c>
      <c r="AR249" s="4" t="s">
        <v>140</v>
      </c>
      <c r="AS249" s="4">
        <v>1</v>
      </c>
      <c r="AT249" s="4" t="s">
        <v>873</v>
      </c>
    </row>
    <row r="250" spans="1:46" x14ac:dyDescent="0.2">
      <c r="A250" s="4">
        <f t="shared" si="12"/>
        <v>13</v>
      </c>
      <c r="B250" s="4">
        <f t="shared" si="13"/>
        <v>3</v>
      </c>
      <c r="C250" s="13" t="str">
        <f>VLOOKUP(B250,Correspondance!$D$3:$E$14,2,FALSE)</f>
        <v>Mars</v>
      </c>
      <c r="D250" s="1" t="s">
        <v>1053</v>
      </c>
      <c r="E250" s="2" t="s">
        <v>40</v>
      </c>
      <c r="F250" s="3" t="s">
        <v>52</v>
      </c>
      <c r="G250" s="4" t="s">
        <v>93</v>
      </c>
      <c r="H250" s="4" t="s">
        <v>94</v>
      </c>
      <c r="I250" s="5" t="s">
        <v>44</v>
      </c>
      <c r="J250" s="6">
        <v>92.5</v>
      </c>
      <c r="K250" s="4" t="s">
        <v>1057</v>
      </c>
      <c r="L250" s="4" t="s">
        <v>46</v>
      </c>
      <c r="M250" s="4" t="s">
        <v>175</v>
      </c>
      <c r="N250" s="4" t="s">
        <v>665</v>
      </c>
      <c r="O250" s="4" t="s">
        <v>49</v>
      </c>
      <c r="P250" s="4">
        <v>1</v>
      </c>
      <c r="Q250" s="4">
        <v>1</v>
      </c>
      <c r="R250" s="4">
        <v>1</v>
      </c>
      <c r="S250" s="4">
        <v>1</v>
      </c>
      <c r="T250" s="4">
        <v>1</v>
      </c>
      <c r="U250" s="4">
        <v>1</v>
      </c>
      <c r="V250" s="4">
        <v>1</v>
      </c>
      <c r="W250" s="4">
        <v>1</v>
      </c>
      <c r="X250" s="4">
        <v>1</v>
      </c>
      <c r="Y250" s="4">
        <v>1</v>
      </c>
      <c r="Z250" s="4">
        <v>1</v>
      </c>
      <c r="AA250" s="4">
        <v>1</v>
      </c>
      <c r="AB250" s="4">
        <v>1</v>
      </c>
      <c r="AC250" s="4">
        <v>1</v>
      </c>
      <c r="AD250" s="4">
        <v>1</v>
      </c>
      <c r="AE250" s="4">
        <v>0</v>
      </c>
      <c r="AF250" s="4">
        <v>1</v>
      </c>
      <c r="AG250" s="4">
        <v>1</v>
      </c>
      <c r="AH250" s="4">
        <v>1</v>
      </c>
      <c r="AI250" s="4">
        <v>1</v>
      </c>
      <c r="AJ250" s="4" t="s">
        <v>140</v>
      </c>
      <c r="AK250" s="4" t="s">
        <v>140</v>
      </c>
      <c r="AL250" s="4">
        <v>0</v>
      </c>
      <c r="AM250" s="4">
        <v>1</v>
      </c>
      <c r="AN250" s="4" t="s">
        <v>140</v>
      </c>
      <c r="AO250" s="4">
        <v>1</v>
      </c>
      <c r="AP250" s="4">
        <v>1</v>
      </c>
      <c r="AQ250" s="4">
        <v>1</v>
      </c>
      <c r="AR250" s="4" t="s">
        <v>140</v>
      </c>
      <c r="AS250" s="4">
        <v>1</v>
      </c>
      <c r="AT250" s="4" t="s">
        <v>873</v>
      </c>
    </row>
    <row r="251" spans="1:46" x14ac:dyDescent="0.2">
      <c r="A251" s="4">
        <f t="shared" si="12"/>
        <v>13</v>
      </c>
      <c r="B251" s="4">
        <f t="shared" si="13"/>
        <v>3</v>
      </c>
      <c r="C251" s="13" t="str">
        <f>VLOOKUP(B251,Correspondance!$D$3:$E$14,2,FALSE)</f>
        <v>Mars</v>
      </c>
      <c r="D251" s="1" t="s">
        <v>1053</v>
      </c>
      <c r="E251" s="2" t="s">
        <v>40</v>
      </c>
      <c r="F251" s="3" t="s">
        <v>52</v>
      </c>
      <c r="G251" s="4" t="s">
        <v>53</v>
      </c>
      <c r="H251" s="4" t="s">
        <v>54</v>
      </c>
      <c r="I251" s="5" t="s">
        <v>44</v>
      </c>
      <c r="J251" s="6">
        <v>100</v>
      </c>
      <c r="K251" s="4" t="s">
        <v>1058</v>
      </c>
      <c r="L251" s="4" t="s">
        <v>46</v>
      </c>
      <c r="M251" s="4" t="s">
        <v>175</v>
      </c>
      <c r="N251" s="4" t="s">
        <v>501</v>
      </c>
      <c r="O251" s="4" t="s">
        <v>49</v>
      </c>
      <c r="P251" s="4">
        <v>1</v>
      </c>
      <c r="Q251" s="4">
        <v>1</v>
      </c>
      <c r="R251" s="4">
        <v>1</v>
      </c>
      <c r="S251" s="4">
        <v>1</v>
      </c>
      <c r="T251" s="4">
        <v>1</v>
      </c>
      <c r="U251" s="4">
        <v>1</v>
      </c>
      <c r="V251" s="4">
        <v>1</v>
      </c>
      <c r="W251" s="4">
        <v>1</v>
      </c>
      <c r="X251" s="4">
        <v>1</v>
      </c>
      <c r="Y251" s="4">
        <v>1</v>
      </c>
      <c r="Z251" s="4">
        <v>1</v>
      </c>
      <c r="AA251" s="4">
        <v>1</v>
      </c>
      <c r="AB251" s="4">
        <v>1</v>
      </c>
      <c r="AC251" s="4">
        <v>1</v>
      </c>
      <c r="AD251" s="4">
        <v>1</v>
      </c>
      <c r="AE251" s="4">
        <v>1</v>
      </c>
      <c r="AF251" s="4">
        <v>1</v>
      </c>
      <c r="AG251" s="4">
        <v>1</v>
      </c>
      <c r="AH251" s="4">
        <v>1</v>
      </c>
      <c r="AI251" s="4">
        <v>1</v>
      </c>
      <c r="AJ251" s="4" t="s">
        <v>140</v>
      </c>
      <c r="AK251" s="4">
        <v>1</v>
      </c>
      <c r="AL251" s="4">
        <v>1</v>
      </c>
      <c r="AM251" s="4">
        <v>1</v>
      </c>
      <c r="AN251" s="4" t="s">
        <v>140</v>
      </c>
      <c r="AO251" s="4">
        <v>1</v>
      </c>
      <c r="AP251" s="4">
        <v>1</v>
      </c>
      <c r="AQ251" s="4">
        <v>1</v>
      </c>
      <c r="AR251" s="4" t="s">
        <v>140</v>
      </c>
      <c r="AS251" s="4">
        <v>1</v>
      </c>
      <c r="AT251" s="4" t="s">
        <v>873</v>
      </c>
    </row>
    <row r="252" spans="1:46" x14ac:dyDescent="0.2">
      <c r="A252" s="4">
        <f t="shared" ref="A252:A265" si="14">WEEKNUM(D252)</f>
        <v>13</v>
      </c>
      <c r="B252" s="4">
        <f t="shared" ref="B252:B265" si="15">MONTH(D252)</f>
        <v>3</v>
      </c>
      <c r="C252" s="13" t="str">
        <f>VLOOKUP(B252,Correspondance!$D$3:$E$14,2,FALSE)</f>
        <v>Mars</v>
      </c>
      <c r="D252" s="1" t="s">
        <v>872</v>
      </c>
      <c r="E252" s="2" t="s">
        <v>40</v>
      </c>
      <c r="F252" s="3" t="s">
        <v>41</v>
      </c>
      <c r="G252" s="4" t="s">
        <v>82</v>
      </c>
      <c r="H252" s="4" t="s">
        <v>83</v>
      </c>
      <c r="I252" s="5" t="s">
        <v>44</v>
      </c>
      <c r="J252" s="6">
        <v>98</v>
      </c>
      <c r="K252" s="4" t="s">
        <v>1059</v>
      </c>
      <c r="L252" s="4" t="s">
        <v>46</v>
      </c>
      <c r="M252" s="4" t="s">
        <v>175</v>
      </c>
      <c r="N252" s="4" t="s">
        <v>1060</v>
      </c>
      <c r="O252" s="4" t="s">
        <v>49</v>
      </c>
      <c r="P252" s="4">
        <v>1</v>
      </c>
      <c r="Q252" s="4">
        <v>1</v>
      </c>
      <c r="R252" s="4">
        <v>1</v>
      </c>
      <c r="S252" s="4">
        <v>1</v>
      </c>
      <c r="T252" s="4">
        <v>1</v>
      </c>
      <c r="U252" s="4">
        <v>1</v>
      </c>
      <c r="V252" s="4">
        <v>1</v>
      </c>
      <c r="W252" s="4">
        <v>1</v>
      </c>
      <c r="X252" s="4">
        <v>1</v>
      </c>
      <c r="Y252" s="4">
        <v>1</v>
      </c>
      <c r="Z252" s="4">
        <v>1</v>
      </c>
      <c r="AA252" s="4">
        <v>1</v>
      </c>
      <c r="AB252" s="4">
        <v>1</v>
      </c>
      <c r="AC252" s="4">
        <v>1</v>
      </c>
      <c r="AD252" s="4">
        <v>1</v>
      </c>
      <c r="AE252" s="4">
        <v>1</v>
      </c>
      <c r="AF252" s="4">
        <v>1</v>
      </c>
      <c r="AG252" s="4">
        <v>1</v>
      </c>
      <c r="AH252" s="4">
        <v>1</v>
      </c>
      <c r="AI252" s="4">
        <v>1</v>
      </c>
      <c r="AJ252" s="4" t="s">
        <v>140</v>
      </c>
      <c r="AK252" s="4">
        <v>0</v>
      </c>
      <c r="AL252" s="4">
        <v>1</v>
      </c>
      <c r="AM252" s="4">
        <v>1</v>
      </c>
      <c r="AN252" s="4" t="s">
        <v>140</v>
      </c>
      <c r="AO252" s="4">
        <v>1</v>
      </c>
      <c r="AP252" s="4">
        <v>1</v>
      </c>
      <c r="AQ252" s="4">
        <v>1</v>
      </c>
      <c r="AR252" s="4" t="s">
        <v>140</v>
      </c>
      <c r="AS252" s="4">
        <v>1</v>
      </c>
      <c r="AT252" s="4" t="s">
        <v>873</v>
      </c>
    </row>
    <row r="253" spans="1:46" x14ac:dyDescent="0.2">
      <c r="A253" s="4">
        <f t="shared" si="14"/>
        <v>13</v>
      </c>
      <c r="B253" s="4">
        <f t="shared" si="15"/>
        <v>3</v>
      </c>
      <c r="C253" s="13" t="str">
        <f>VLOOKUP(B253,Correspondance!$D$3:$E$14,2,FALSE)</f>
        <v>Mars</v>
      </c>
      <c r="D253" s="1" t="s">
        <v>872</v>
      </c>
      <c r="E253" s="2" t="s">
        <v>40</v>
      </c>
      <c r="F253" s="3" t="s">
        <v>61</v>
      </c>
      <c r="G253" s="4" t="s">
        <v>342</v>
      </c>
      <c r="H253" s="4" t="s">
        <v>343</v>
      </c>
      <c r="I253" s="5" t="s">
        <v>44</v>
      </c>
      <c r="J253" s="6">
        <v>98</v>
      </c>
      <c r="K253" s="4" t="s">
        <v>1061</v>
      </c>
      <c r="L253" s="4" t="s">
        <v>46</v>
      </c>
      <c r="M253" s="4" t="s">
        <v>175</v>
      </c>
      <c r="N253" s="4" t="s">
        <v>1062</v>
      </c>
      <c r="O253" s="4" t="s">
        <v>49</v>
      </c>
      <c r="P253" s="4">
        <v>1</v>
      </c>
      <c r="Q253" s="4">
        <v>1</v>
      </c>
      <c r="R253" s="4">
        <v>1</v>
      </c>
      <c r="S253" s="4">
        <v>1</v>
      </c>
      <c r="T253" s="4">
        <v>1</v>
      </c>
      <c r="U253" s="4">
        <v>1</v>
      </c>
      <c r="V253" s="4">
        <v>1</v>
      </c>
      <c r="W253" s="4">
        <v>1</v>
      </c>
      <c r="X253" s="4">
        <v>1</v>
      </c>
      <c r="Y253" s="4">
        <v>1</v>
      </c>
      <c r="Z253" s="4">
        <v>1</v>
      </c>
      <c r="AA253" s="4">
        <v>1</v>
      </c>
      <c r="AB253" s="4">
        <v>1</v>
      </c>
      <c r="AC253" s="4">
        <v>1</v>
      </c>
      <c r="AD253" s="4">
        <v>1</v>
      </c>
      <c r="AE253" s="4">
        <v>1</v>
      </c>
      <c r="AF253" s="4">
        <v>1</v>
      </c>
      <c r="AG253" s="4">
        <v>1</v>
      </c>
      <c r="AH253" s="4">
        <v>1</v>
      </c>
      <c r="AI253" s="4">
        <v>0</v>
      </c>
      <c r="AJ253" s="4" t="s">
        <v>140</v>
      </c>
      <c r="AK253" s="4">
        <v>1</v>
      </c>
      <c r="AL253" s="4">
        <v>1</v>
      </c>
      <c r="AM253" s="4">
        <v>1</v>
      </c>
      <c r="AN253" s="4" t="s">
        <v>140</v>
      </c>
      <c r="AO253" s="4">
        <v>1</v>
      </c>
      <c r="AP253" s="4">
        <v>1</v>
      </c>
      <c r="AQ253" s="4">
        <v>1</v>
      </c>
      <c r="AR253" s="4" t="s">
        <v>140</v>
      </c>
      <c r="AS253" s="4">
        <v>1</v>
      </c>
      <c r="AT253" s="4" t="s">
        <v>873</v>
      </c>
    </row>
    <row r="254" spans="1:46" x14ac:dyDescent="0.2">
      <c r="A254" s="4">
        <f t="shared" si="14"/>
        <v>13</v>
      </c>
      <c r="B254" s="4">
        <f t="shared" si="15"/>
        <v>3</v>
      </c>
      <c r="C254" s="13" t="str">
        <f>VLOOKUP(B254,Correspondance!$D$3:$E$14,2,FALSE)</f>
        <v>Mars</v>
      </c>
      <c r="D254" s="1" t="s">
        <v>872</v>
      </c>
      <c r="E254" s="2" t="s">
        <v>40</v>
      </c>
      <c r="F254" s="3" t="s">
        <v>61</v>
      </c>
      <c r="G254" s="4" t="s">
        <v>342</v>
      </c>
      <c r="H254" s="4" t="s">
        <v>343</v>
      </c>
      <c r="I254" s="5" t="s">
        <v>44</v>
      </c>
      <c r="J254" s="6">
        <v>100</v>
      </c>
      <c r="K254" s="4" t="s">
        <v>1063</v>
      </c>
      <c r="L254" s="4" t="s">
        <v>46</v>
      </c>
      <c r="M254" s="4" t="s">
        <v>175</v>
      </c>
      <c r="N254" s="4" t="s">
        <v>665</v>
      </c>
      <c r="O254" s="4" t="s">
        <v>49</v>
      </c>
      <c r="P254" s="4">
        <v>1</v>
      </c>
      <c r="Q254" s="4">
        <v>1</v>
      </c>
      <c r="R254" s="4">
        <v>1</v>
      </c>
      <c r="S254" s="4">
        <v>1</v>
      </c>
      <c r="T254" s="4">
        <v>1</v>
      </c>
      <c r="U254" s="4">
        <v>1</v>
      </c>
      <c r="V254" s="4">
        <v>1</v>
      </c>
      <c r="W254" s="4">
        <v>1</v>
      </c>
      <c r="X254" s="4">
        <v>1</v>
      </c>
      <c r="Y254" s="4">
        <v>1</v>
      </c>
      <c r="Z254" s="4">
        <v>1</v>
      </c>
      <c r="AA254" s="4">
        <v>1</v>
      </c>
      <c r="AB254" s="4">
        <v>1</v>
      </c>
      <c r="AC254" s="4">
        <v>1</v>
      </c>
      <c r="AD254" s="4">
        <v>1</v>
      </c>
      <c r="AE254" s="4">
        <v>1</v>
      </c>
      <c r="AF254" s="4">
        <v>1</v>
      </c>
      <c r="AG254" s="4">
        <v>1</v>
      </c>
      <c r="AH254" s="4">
        <v>1</v>
      </c>
      <c r="AI254" s="4">
        <v>1</v>
      </c>
      <c r="AJ254" s="4">
        <v>1</v>
      </c>
      <c r="AK254" s="4">
        <v>1</v>
      </c>
      <c r="AL254" s="4">
        <v>1</v>
      </c>
      <c r="AM254" s="4">
        <v>1</v>
      </c>
      <c r="AN254" s="4" t="s">
        <v>140</v>
      </c>
      <c r="AO254" s="4">
        <v>1</v>
      </c>
      <c r="AP254" s="4">
        <v>1</v>
      </c>
      <c r="AQ254" s="4">
        <v>1</v>
      </c>
      <c r="AR254" s="4" t="s">
        <v>140</v>
      </c>
      <c r="AS254" s="4">
        <v>1</v>
      </c>
      <c r="AT254" s="4" t="s">
        <v>873</v>
      </c>
    </row>
    <row r="255" spans="1:46" x14ac:dyDescent="0.2">
      <c r="A255" s="4">
        <f t="shared" si="14"/>
        <v>14</v>
      </c>
      <c r="B255" s="4">
        <f t="shared" si="15"/>
        <v>4</v>
      </c>
      <c r="C255" s="13" t="str">
        <f>VLOOKUP(B255,Correspondance!$D$3:$E$14,2,FALSE)</f>
        <v>Avril</v>
      </c>
      <c r="D255" s="1" t="s">
        <v>1188</v>
      </c>
      <c r="E255" s="2" t="s">
        <v>40</v>
      </c>
      <c r="F255" s="3" t="s">
        <v>41</v>
      </c>
      <c r="G255" s="4" t="s">
        <v>109</v>
      </c>
      <c r="H255" s="4" t="s">
        <v>110</v>
      </c>
      <c r="I255" s="5" t="s">
        <v>44</v>
      </c>
      <c r="J255" s="6">
        <v>92.4</v>
      </c>
      <c r="K255" s="4" t="s">
        <v>1189</v>
      </c>
      <c r="L255" s="4" t="s">
        <v>320</v>
      </c>
      <c r="M255" s="4" t="s">
        <v>47</v>
      </c>
      <c r="N255" s="4" t="s">
        <v>497</v>
      </c>
      <c r="O255" s="4" t="s">
        <v>49</v>
      </c>
      <c r="P255" s="4">
        <v>1</v>
      </c>
      <c r="Q255" s="4">
        <v>1</v>
      </c>
      <c r="R255" s="4">
        <v>1</v>
      </c>
      <c r="S255" s="4">
        <v>1</v>
      </c>
      <c r="T255" s="4">
        <v>1</v>
      </c>
      <c r="U255" s="4">
        <v>1</v>
      </c>
      <c r="V255" s="4">
        <v>1</v>
      </c>
      <c r="W255" s="4">
        <v>1</v>
      </c>
      <c r="X255" s="4">
        <v>1</v>
      </c>
      <c r="Y255" s="4">
        <v>1</v>
      </c>
      <c r="Z255" s="4">
        <v>1</v>
      </c>
      <c r="AA255" s="4">
        <v>1</v>
      </c>
      <c r="AB255" s="4">
        <v>1</v>
      </c>
      <c r="AC255" s="4">
        <v>1</v>
      </c>
      <c r="AD255" s="4" t="s">
        <v>140</v>
      </c>
      <c r="AE255" s="4">
        <v>1</v>
      </c>
      <c r="AF255" s="4">
        <v>1</v>
      </c>
      <c r="AG255" s="4">
        <v>1</v>
      </c>
      <c r="AH255" s="4">
        <v>0</v>
      </c>
      <c r="AI255" s="4">
        <v>1</v>
      </c>
      <c r="AJ255" s="4" t="s">
        <v>140</v>
      </c>
      <c r="AK255" s="4">
        <v>1</v>
      </c>
      <c r="AL255" s="4">
        <v>1</v>
      </c>
      <c r="AM255" s="4">
        <v>0</v>
      </c>
      <c r="AN255" s="4" t="s">
        <v>140</v>
      </c>
      <c r="AO255" s="4">
        <v>1</v>
      </c>
      <c r="AP255" s="4">
        <v>1</v>
      </c>
      <c r="AQ255" s="4">
        <v>1</v>
      </c>
      <c r="AR255" s="4">
        <v>1</v>
      </c>
      <c r="AS255" s="4">
        <v>1</v>
      </c>
      <c r="AT255" s="4"/>
    </row>
    <row r="256" spans="1:46" x14ac:dyDescent="0.2">
      <c r="A256" s="4">
        <f t="shared" si="14"/>
        <v>14</v>
      </c>
      <c r="B256" s="4">
        <f t="shared" si="15"/>
        <v>4</v>
      </c>
      <c r="C256" s="13" t="str">
        <f>VLOOKUP(B256,Correspondance!$D$3:$E$14,2,FALSE)</f>
        <v>Avril</v>
      </c>
      <c r="D256" s="1" t="s">
        <v>1188</v>
      </c>
      <c r="E256" s="2" t="s">
        <v>40</v>
      </c>
      <c r="F256" s="3" t="s">
        <v>41</v>
      </c>
      <c r="G256" s="4" t="s">
        <v>89</v>
      </c>
      <c r="H256" s="4" t="s">
        <v>90</v>
      </c>
      <c r="I256" s="5" t="s">
        <v>44</v>
      </c>
      <c r="J256" s="6">
        <v>94</v>
      </c>
      <c r="K256" s="4" t="s">
        <v>1190</v>
      </c>
      <c r="L256" s="4" t="s">
        <v>320</v>
      </c>
      <c r="M256" s="4" t="s">
        <v>47</v>
      </c>
      <c r="N256" s="4" t="s">
        <v>1191</v>
      </c>
      <c r="O256" s="4" t="s">
        <v>49</v>
      </c>
      <c r="P256" s="4">
        <v>1</v>
      </c>
      <c r="Q256" s="4">
        <v>1</v>
      </c>
      <c r="R256" s="4">
        <v>1</v>
      </c>
      <c r="S256" s="4">
        <v>1</v>
      </c>
      <c r="T256" s="4">
        <v>1</v>
      </c>
      <c r="U256" s="4">
        <v>1</v>
      </c>
      <c r="V256" s="4">
        <v>1</v>
      </c>
      <c r="W256" s="4">
        <v>1</v>
      </c>
      <c r="X256" s="4">
        <v>0</v>
      </c>
      <c r="Y256" s="4">
        <v>1</v>
      </c>
      <c r="Z256" s="4">
        <v>1</v>
      </c>
      <c r="AA256" s="4">
        <v>1</v>
      </c>
      <c r="AB256" s="4">
        <v>1</v>
      </c>
      <c r="AC256" s="4">
        <v>1</v>
      </c>
      <c r="AD256" s="4" t="s">
        <v>140</v>
      </c>
      <c r="AE256" s="4">
        <v>1</v>
      </c>
      <c r="AF256" s="4">
        <v>1</v>
      </c>
      <c r="AG256" s="4">
        <v>1</v>
      </c>
      <c r="AH256" s="4">
        <v>1</v>
      </c>
      <c r="AI256" s="4">
        <v>1</v>
      </c>
      <c r="AJ256" s="4" t="s">
        <v>140</v>
      </c>
      <c r="AK256" s="4">
        <v>1</v>
      </c>
      <c r="AL256" s="4">
        <v>1</v>
      </c>
      <c r="AM256" s="4">
        <v>1</v>
      </c>
      <c r="AN256" s="4" t="s">
        <v>140</v>
      </c>
      <c r="AO256" s="4">
        <v>1</v>
      </c>
      <c r="AP256" s="4">
        <v>1</v>
      </c>
      <c r="AQ256" s="4">
        <v>1</v>
      </c>
      <c r="AR256" s="4" t="s">
        <v>140</v>
      </c>
      <c r="AS256" s="4">
        <v>1</v>
      </c>
      <c r="AT256" s="4"/>
    </row>
    <row r="257" spans="1:46" x14ac:dyDescent="0.2">
      <c r="A257" s="4">
        <f t="shared" si="14"/>
        <v>14</v>
      </c>
      <c r="B257" s="4">
        <f t="shared" si="15"/>
        <v>4</v>
      </c>
      <c r="C257" s="13" t="str">
        <f>VLOOKUP(B257,Correspondance!$D$3:$E$14,2,FALSE)</f>
        <v>Avril</v>
      </c>
      <c r="D257" s="1" t="s">
        <v>1188</v>
      </c>
      <c r="E257" s="2" t="s">
        <v>40</v>
      </c>
      <c r="F257" s="3" t="s">
        <v>52</v>
      </c>
      <c r="G257" s="4" t="s">
        <v>484</v>
      </c>
      <c r="H257" s="4" t="s">
        <v>485</v>
      </c>
      <c r="I257" s="5" t="s">
        <v>44</v>
      </c>
      <c r="J257" s="6">
        <v>96.25</v>
      </c>
      <c r="K257" s="4" t="s">
        <v>1192</v>
      </c>
      <c r="L257" s="4" t="s">
        <v>320</v>
      </c>
      <c r="M257" s="4" t="s">
        <v>47</v>
      </c>
      <c r="N257" s="4" t="s">
        <v>488</v>
      </c>
      <c r="O257" s="4" t="s">
        <v>49</v>
      </c>
      <c r="P257" s="4">
        <v>1</v>
      </c>
      <c r="Q257" s="4">
        <v>1</v>
      </c>
      <c r="R257" s="4">
        <v>1</v>
      </c>
      <c r="S257" s="4">
        <v>1</v>
      </c>
      <c r="T257" s="4">
        <v>1</v>
      </c>
      <c r="U257" s="4">
        <v>1</v>
      </c>
      <c r="V257" s="4">
        <v>1</v>
      </c>
      <c r="W257" s="4">
        <v>1</v>
      </c>
      <c r="X257" s="4">
        <v>1</v>
      </c>
      <c r="Y257" s="4">
        <v>1</v>
      </c>
      <c r="Z257" s="4">
        <v>1</v>
      </c>
      <c r="AA257" s="4">
        <v>1</v>
      </c>
      <c r="AB257" s="4">
        <v>1</v>
      </c>
      <c r="AC257" s="4">
        <v>1</v>
      </c>
      <c r="AD257" s="4" t="s">
        <v>140</v>
      </c>
      <c r="AE257" s="4">
        <v>1</v>
      </c>
      <c r="AF257" s="4">
        <v>1</v>
      </c>
      <c r="AG257" s="4">
        <v>1</v>
      </c>
      <c r="AH257" s="4">
        <v>1</v>
      </c>
      <c r="AI257" s="4">
        <v>1</v>
      </c>
      <c r="AJ257" s="4">
        <v>1</v>
      </c>
      <c r="AK257" s="4">
        <v>1</v>
      </c>
      <c r="AL257" s="4">
        <v>0</v>
      </c>
      <c r="AM257" s="4">
        <v>1</v>
      </c>
      <c r="AN257" s="4" t="s">
        <v>140</v>
      </c>
      <c r="AO257" s="4">
        <v>1</v>
      </c>
      <c r="AP257" s="4">
        <v>1</v>
      </c>
      <c r="AQ257" s="4">
        <v>1</v>
      </c>
      <c r="AR257" s="4" t="s">
        <v>140</v>
      </c>
      <c r="AS257" s="4">
        <v>1</v>
      </c>
      <c r="AT257" s="4"/>
    </row>
    <row r="258" spans="1:46" x14ac:dyDescent="0.2">
      <c r="A258" s="4">
        <f t="shared" si="14"/>
        <v>14</v>
      </c>
      <c r="B258" s="4">
        <f t="shared" si="15"/>
        <v>4</v>
      </c>
      <c r="C258" s="13" t="str">
        <f>VLOOKUP(B258,Correspondance!$D$3:$E$14,2,FALSE)</f>
        <v>Avril</v>
      </c>
      <c r="D258" s="1" t="s">
        <v>1188</v>
      </c>
      <c r="E258" s="2" t="s">
        <v>40</v>
      </c>
      <c r="F258" s="3" t="s">
        <v>52</v>
      </c>
      <c r="G258" s="4" t="s">
        <v>93</v>
      </c>
      <c r="H258" s="4" t="s">
        <v>94</v>
      </c>
      <c r="I258" s="5" t="s">
        <v>44</v>
      </c>
      <c r="J258" s="6">
        <v>100</v>
      </c>
      <c r="K258" s="4" t="s">
        <v>1193</v>
      </c>
      <c r="L258" s="4" t="s">
        <v>320</v>
      </c>
      <c r="M258" s="4" t="s">
        <v>47</v>
      </c>
      <c r="N258" s="4" t="s">
        <v>489</v>
      </c>
      <c r="O258" s="4" t="s">
        <v>49</v>
      </c>
      <c r="P258" s="4">
        <v>1</v>
      </c>
      <c r="Q258" s="4">
        <v>1</v>
      </c>
      <c r="R258" s="4">
        <v>1</v>
      </c>
      <c r="S258" s="4">
        <v>1</v>
      </c>
      <c r="T258" s="4">
        <v>1</v>
      </c>
      <c r="U258" s="4">
        <v>1</v>
      </c>
      <c r="V258" s="4">
        <v>1</v>
      </c>
      <c r="W258" s="4" t="s">
        <v>140</v>
      </c>
      <c r="X258" s="4">
        <v>1</v>
      </c>
      <c r="Y258" s="4">
        <v>1</v>
      </c>
      <c r="Z258" s="4">
        <v>1</v>
      </c>
      <c r="AA258" s="4">
        <v>1</v>
      </c>
      <c r="AB258" s="4">
        <v>1</v>
      </c>
      <c r="AC258" s="4">
        <v>1</v>
      </c>
      <c r="AD258" s="4" t="s">
        <v>140</v>
      </c>
      <c r="AE258" s="4">
        <v>1</v>
      </c>
      <c r="AF258" s="4">
        <v>1</v>
      </c>
      <c r="AG258" s="4">
        <v>1</v>
      </c>
      <c r="AH258" s="4">
        <v>1</v>
      </c>
      <c r="AI258" s="4">
        <v>1</v>
      </c>
      <c r="AJ258" s="4" t="s">
        <v>140</v>
      </c>
      <c r="AK258" s="4">
        <v>1</v>
      </c>
      <c r="AL258" s="4">
        <v>1</v>
      </c>
      <c r="AM258" s="4">
        <v>1</v>
      </c>
      <c r="AN258" s="4">
        <v>1</v>
      </c>
      <c r="AO258" s="4">
        <v>1</v>
      </c>
      <c r="AP258" s="4">
        <v>1</v>
      </c>
      <c r="AQ258" s="4">
        <v>1</v>
      </c>
      <c r="AR258" s="4" t="s">
        <v>140</v>
      </c>
      <c r="AS258" s="4">
        <v>1</v>
      </c>
      <c r="AT258" s="4"/>
    </row>
    <row r="259" spans="1:46" x14ac:dyDescent="0.2">
      <c r="A259" s="4">
        <f t="shared" si="14"/>
        <v>14</v>
      </c>
      <c r="B259" s="4">
        <f t="shared" si="15"/>
        <v>4</v>
      </c>
      <c r="C259" s="13" t="str">
        <f>VLOOKUP(B259,Correspondance!$D$3:$E$14,2,FALSE)</f>
        <v>Avril</v>
      </c>
      <c r="D259" s="1" t="s">
        <v>1188</v>
      </c>
      <c r="E259" s="2" t="s">
        <v>40</v>
      </c>
      <c r="F259" s="3" t="s">
        <v>52</v>
      </c>
      <c r="G259" s="4" t="s">
        <v>120</v>
      </c>
      <c r="H259" s="4" t="s">
        <v>121</v>
      </c>
      <c r="I259" s="5" t="s">
        <v>44</v>
      </c>
      <c r="J259" s="6">
        <v>96.25</v>
      </c>
      <c r="K259" s="4" t="s">
        <v>1194</v>
      </c>
      <c r="L259" s="4" t="s">
        <v>320</v>
      </c>
      <c r="M259" s="4" t="s">
        <v>47</v>
      </c>
      <c r="N259" s="4" t="s">
        <v>868</v>
      </c>
      <c r="O259" s="4" t="s">
        <v>49</v>
      </c>
      <c r="P259" s="4">
        <v>1</v>
      </c>
      <c r="Q259" s="4">
        <v>1</v>
      </c>
      <c r="R259" s="4">
        <v>1</v>
      </c>
      <c r="S259" s="4">
        <v>1</v>
      </c>
      <c r="T259" s="4">
        <v>1</v>
      </c>
      <c r="U259" s="4">
        <v>1</v>
      </c>
      <c r="V259" s="4">
        <v>1</v>
      </c>
      <c r="W259" s="4">
        <v>1</v>
      </c>
      <c r="X259" s="4">
        <v>1</v>
      </c>
      <c r="Y259" s="4">
        <v>1</v>
      </c>
      <c r="Z259" s="4">
        <v>1</v>
      </c>
      <c r="AA259" s="4">
        <v>1</v>
      </c>
      <c r="AB259" s="4">
        <v>1</v>
      </c>
      <c r="AC259" s="4">
        <v>1</v>
      </c>
      <c r="AD259" s="4">
        <v>1</v>
      </c>
      <c r="AE259" s="4">
        <v>0</v>
      </c>
      <c r="AF259" s="4">
        <v>1</v>
      </c>
      <c r="AG259" s="4">
        <v>1</v>
      </c>
      <c r="AH259" s="4">
        <v>1</v>
      </c>
      <c r="AI259" s="4">
        <v>1</v>
      </c>
      <c r="AJ259" s="4">
        <v>1</v>
      </c>
      <c r="AK259" s="4">
        <v>1</v>
      </c>
      <c r="AL259" s="4">
        <v>1</v>
      </c>
      <c r="AM259" s="4">
        <v>1</v>
      </c>
      <c r="AN259" s="4" t="s">
        <v>140</v>
      </c>
      <c r="AO259" s="4">
        <v>1</v>
      </c>
      <c r="AP259" s="4">
        <v>1</v>
      </c>
      <c r="AQ259" s="4">
        <v>1</v>
      </c>
      <c r="AR259" s="4" t="s">
        <v>140</v>
      </c>
      <c r="AS259" s="4">
        <v>1</v>
      </c>
      <c r="AT259" s="4"/>
    </row>
    <row r="260" spans="1:46" x14ac:dyDescent="0.2">
      <c r="A260" s="4">
        <f t="shared" si="14"/>
        <v>14</v>
      </c>
      <c r="B260" s="4">
        <f t="shared" si="15"/>
        <v>4</v>
      </c>
      <c r="C260" s="13" t="str">
        <f>VLOOKUP(B260,Correspondance!$D$3:$E$14,2,FALSE)</f>
        <v>Avril</v>
      </c>
      <c r="D260" s="1" t="s">
        <v>1188</v>
      </c>
      <c r="E260" s="2" t="s">
        <v>40</v>
      </c>
      <c r="F260" s="3" t="s">
        <v>61</v>
      </c>
      <c r="G260" s="4" t="s">
        <v>96</v>
      </c>
      <c r="H260" s="4" t="s">
        <v>97</v>
      </c>
      <c r="I260" s="5" t="s">
        <v>44</v>
      </c>
      <c r="J260" s="6">
        <v>84.416666666666671</v>
      </c>
      <c r="K260" s="4" t="s">
        <v>1195</v>
      </c>
      <c r="L260" s="4" t="s">
        <v>320</v>
      </c>
      <c r="M260" s="4" t="s">
        <v>99</v>
      </c>
      <c r="N260" s="4" t="s">
        <v>112</v>
      </c>
      <c r="O260" s="4" t="s">
        <v>49</v>
      </c>
      <c r="P260" s="4">
        <v>1</v>
      </c>
      <c r="Q260" s="4">
        <v>1</v>
      </c>
      <c r="R260" s="4">
        <v>1</v>
      </c>
      <c r="S260" s="4">
        <v>0</v>
      </c>
      <c r="T260" s="4">
        <v>1</v>
      </c>
      <c r="U260" s="4">
        <v>1</v>
      </c>
      <c r="V260" s="4">
        <v>1</v>
      </c>
      <c r="W260" s="4">
        <v>1</v>
      </c>
      <c r="X260" s="4">
        <v>1</v>
      </c>
      <c r="Y260" s="4">
        <v>1</v>
      </c>
      <c r="Z260" s="4">
        <v>1</v>
      </c>
      <c r="AA260" s="4">
        <v>1</v>
      </c>
      <c r="AB260" s="4">
        <v>1</v>
      </c>
      <c r="AC260" s="4">
        <v>1</v>
      </c>
      <c r="AD260" s="4" t="s">
        <v>140</v>
      </c>
      <c r="AE260" s="4">
        <v>1</v>
      </c>
      <c r="AF260" s="4">
        <v>1</v>
      </c>
      <c r="AG260" s="4">
        <v>1</v>
      </c>
      <c r="AH260" s="4">
        <v>1</v>
      </c>
      <c r="AI260" s="4">
        <v>1</v>
      </c>
      <c r="AJ260" s="4">
        <v>1</v>
      </c>
      <c r="AK260" s="4">
        <v>1</v>
      </c>
      <c r="AL260" s="4">
        <v>0</v>
      </c>
      <c r="AM260" s="4">
        <v>1</v>
      </c>
      <c r="AN260" s="4" t="s">
        <v>140</v>
      </c>
      <c r="AO260" s="4">
        <v>1</v>
      </c>
      <c r="AP260" s="4">
        <v>0</v>
      </c>
      <c r="AQ260" s="4">
        <v>1</v>
      </c>
      <c r="AR260" s="4" t="s">
        <v>140</v>
      </c>
      <c r="AS260" s="4">
        <v>1</v>
      </c>
      <c r="AT260" s="4"/>
    </row>
    <row r="261" spans="1:46" x14ac:dyDescent="0.2">
      <c r="A261" s="4">
        <f t="shared" si="14"/>
        <v>14</v>
      </c>
      <c r="B261" s="4">
        <f t="shared" si="15"/>
        <v>4</v>
      </c>
      <c r="C261" s="13" t="str">
        <f>VLOOKUP(B261,Correspondance!$D$3:$E$14,2,FALSE)</f>
        <v>Avril</v>
      </c>
      <c r="D261" s="1" t="s">
        <v>1188</v>
      </c>
      <c r="E261" s="2" t="s">
        <v>40</v>
      </c>
      <c r="F261" s="3" t="s">
        <v>61</v>
      </c>
      <c r="G261" s="4" t="s">
        <v>96</v>
      </c>
      <c r="H261" s="4" t="s">
        <v>97</v>
      </c>
      <c r="I261" s="5" t="s">
        <v>44</v>
      </c>
      <c r="J261" s="6">
        <v>93</v>
      </c>
      <c r="K261" s="4" t="s">
        <v>1196</v>
      </c>
      <c r="L261" s="4" t="s">
        <v>320</v>
      </c>
      <c r="M261" s="4" t="s">
        <v>47</v>
      </c>
      <c r="N261" s="4" t="s">
        <v>487</v>
      </c>
      <c r="O261" s="4" t="s">
        <v>49</v>
      </c>
      <c r="P261" s="4">
        <v>1</v>
      </c>
      <c r="Q261" s="4">
        <v>1</v>
      </c>
      <c r="R261" s="4">
        <v>1</v>
      </c>
      <c r="S261" s="4">
        <v>1</v>
      </c>
      <c r="T261" s="4">
        <v>1</v>
      </c>
      <c r="U261" s="4">
        <v>1</v>
      </c>
      <c r="V261" s="4">
        <v>1</v>
      </c>
      <c r="W261" s="4">
        <v>1</v>
      </c>
      <c r="X261" s="4">
        <v>1</v>
      </c>
      <c r="Y261" s="4">
        <v>1</v>
      </c>
      <c r="Z261" s="4">
        <v>1</v>
      </c>
      <c r="AA261" s="4">
        <v>1</v>
      </c>
      <c r="AB261" s="4">
        <v>1</v>
      </c>
      <c r="AC261" s="4">
        <v>1</v>
      </c>
      <c r="AD261" s="4" t="s">
        <v>140</v>
      </c>
      <c r="AE261" s="4">
        <v>1</v>
      </c>
      <c r="AF261" s="4">
        <v>0</v>
      </c>
      <c r="AG261" s="4">
        <v>1</v>
      </c>
      <c r="AH261" s="4">
        <v>1</v>
      </c>
      <c r="AI261" s="4">
        <v>1</v>
      </c>
      <c r="AJ261" s="4" t="s">
        <v>140</v>
      </c>
      <c r="AK261" s="4">
        <v>1</v>
      </c>
      <c r="AL261" s="4">
        <v>1</v>
      </c>
      <c r="AM261" s="4">
        <v>1</v>
      </c>
      <c r="AN261" s="4" t="s">
        <v>140</v>
      </c>
      <c r="AO261" s="4">
        <v>1</v>
      </c>
      <c r="AP261" s="4">
        <v>1</v>
      </c>
      <c r="AQ261" s="4">
        <v>1</v>
      </c>
      <c r="AR261" s="4" t="s">
        <v>140</v>
      </c>
      <c r="AS261" s="4">
        <v>1</v>
      </c>
      <c r="AT261" s="4"/>
    </row>
    <row r="262" spans="1:46" x14ac:dyDescent="0.2">
      <c r="A262" s="4">
        <f t="shared" si="14"/>
        <v>14</v>
      </c>
      <c r="B262" s="4">
        <f t="shared" si="15"/>
        <v>4</v>
      </c>
      <c r="C262" s="13" t="str">
        <f>VLOOKUP(B262,Correspondance!$D$3:$E$14,2,FALSE)</f>
        <v>Avril</v>
      </c>
      <c r="D262" s="1" t="s">
        <v>1188</v>
      </c>
      <c r="E262" s="2" t="s">
        <v>40</v>
      </c>
      <c r="F262" s="3" t="s">
        <v>61</v>
      </c>
      <c r="G262" s="4" t="s">
        <v>101</v>
      </c>
      <c r="H262" s="4" t="s">
        <v>102</v>
      </c>
      <c r="I262" s="5" t="s">
        <v>44</v>
      </c>
      <c r="J262" s="6">
        <v>95</v>
      </c>
      <c r="K262" s="4" t="s">
        <v>1197</v>
      </c>
      <c r="L262" s="4" t="s">
        <v>320</v>
      </c>
      <c r="M262" s="4" t="s">
        <v>47</v>
      </c>
      <c r="N262" s="4" t="s">
        <v>1198</v>
      </c>
      <c r="O262" s="4" t="s">
        <v>49</v>
      </c>
      <c r="P262" s="4">
        <v>1</v>
      </c>
      <c r="Q262" s="4">
        <v>1</v>
      </c>
      <c r="R262" s="4">
        <v>1</v>
      </c>
      <c r="S262" s="4">
        <v>1</v>
      </c>
      <c r="T262" s="4">
        <v>1</v>
      </c>
      <c r="U262" s="4">
        <v>1</v>
      </c>
      <c r="V262" s="4">
        <v>1</v>
      </c>
      <c r="W262" s="4" t="s">
        <v>140</v>
      </c>
      <c r="X262" s="4">
        <v>1</v>
      </c>
      <c r="Y262" s="4">
        <v>1</v>
      </c>
      <c r="Z262" s="4">
        <v>1</v>
      </c>
      <c r="AA262" s="4">
        <v>1</v>
      </c>
      <c r="AB262" s="4">
        <v>1</v>
      </c>
      <c r="AC262" s="4">
        <v>1</v>
      </c>
      <c r="AD262" s="4">
        <v>1</v>
      </c>
      <c r="AE262" s="4">
        <v>1</v>
      </c>
      <c r="AF262" s="4">
        <v>1</v>
      </c>
      <c r="AG262" s="4">
        <v>1</v>
      </c>
      <c r="AH262" s="4">
        <v>1</v>
      </c>
      <c r="AI262" s="4">
        <v>1</v>
      </c>
      <c r="AJ262" s="4">
        <v>1</v>
      </c>
      <c r="AK262" s="4">
        <v>1</v>
      </c>
      <c r="AL262" s="4">
        <v>0</v>
      </c>
      <c r="AM262" s="4">
        <v>1</v>
      </c>
      <c r="AN262" s="4" t="s">
        <v>140</v>
      </c>
      <c r="AO262" s="4">
        <v>1</v>
      </c>
      <c r="AP262" s="4">
        <v>1</v>
      </c>
      <c r="AQ262" s="4">
        <v>1</v>
      </c>
      <c r="AR262" s="4" t="s">
        <v>140</v>
      </c>
      <c r="AS262" s="4">
        <v>1</v>
      </c>
      <c r="AT262" s="4"/>
    </row>
    <row r="263" spans="1:46" x14ac:dyDescent="0.2">
      <c r="A263" s="4">
        <f t="shared" si="14"/>
        <v>14</v>
      </c>
      <c r="B263" s="4">
        <f t="shared" si="15"/>
        <v>4</v>
      </c>
      <c r="C263" s="13" t="str">
        <f>VLOOKUP(B263,Correspondance!$D$3:$E$14,2,FALSE)</f>
        <v>Avril</v>
      </c>
      <c r="D263" s="1" t="s">
        <v>1188</v>
      </c>
      <c r="E263" s="2" t="s">
        <v>40</v>
      </c>
      <c r="F263" s="3" t="s">
        <v>61</v>
      </c>
      <c r="G263" s="4" t="s">
        <v>101</v>
      </c>
      <c r="H263" s="4" t="s">
        <v>102</v>
      </c>
      <c r="I263" s="5" t="s">
        <v>44</v>
      </c>
      <c r="J263" s="6">
        <v>100</v>
      </c>
      <c r="K263" s="4" t="s">
        <v>1199</v>
      </c>
      <c r="L263" s="4" t="s">
        <v>320</v>
      </c>
      <c r="M263" s="4" t="s">
        <v>47</v>
      </c>
      <c r="N263" s="4" t="s">
        <v>488</v>
      </c>
      <c r="O263" s="4" t="s">
        <v>49</v>
      </c>
      <c r="P263" s="4">
        <v>1</v>
      </c>
      <c r="Q263" s="4">
        <v>1</v>
      </c>
      <c r="R263" s="4">
        <v>1</v>
      </c>
      <c r="S263" s="4">
        <v>1</v>
      </c>
      <c r="T263" s="4">
        <v>1</v>
      </c>
      <c r="U263" s="4">
        <v>1</v>
      </c>
      <c r="V263" s="4">
        <v>1</v>
      </c>
      <c r="W263" s="4">
        <v>1</v>
      </c>
      <c r="X263" s="4">
        <v>1</v>
      </c>
      <c r="Y263" s="4">
        <v>1</v>
      </c>
      <c r="Z263" s="4">
        <v>1</v>
      </c>
      <c r="AA263" s="4">
        <v>1</v>
      </c>
      <c r="AB263" s="4">
        <v>1</v>
      </c>
      <c r="AC263" s="4">
        <v>1</v>
      </c>
      <c r="AD263" s="4" t="s">
        <v>140</v>
      </c>
      <c r="AE263" s="4">
        <v>1</v>
      </c>
      <c r="AF263" s="4">
        <v>1</v>
      </c>
      <c r="AG263" s="4">
        <v>1</v>
      </c>
      <c r="AH263" s="4">
        <v>1</v>
      </c>
      <c r="AI263" s="4">
        <v>1</v>
      </c>
      <c r="AJ263" s="4" t="s">
        <v>140</v>
      </c>
      <c r="AK263" s="4">
        <v>1</v>
      </c>
      <c r="AL263" s="4">
        <v>1</v>
      </c>
      <c r="AM263" s="4">
        <v>1</v>
      </c>
      <c r="AN263" s="4" t="s">
        <v>140</v>
      </c>
      <c r="AO263" s="4">
        <v>1</v>
      </c>
      <c r="AP263" s="4">
        <v>1</v>
      </c>
      <c r="AQ263" s="4">
        <v>1</v>
      </c>
      <c r="AR263" s="4" t="s">
        <v>140</v>
      </c>
      <c r="AS263" s="4">
        <v>1</v>
      </c>
      <c r="AT263" s="4"/>
    </row>
    <row r="264" spans="1:46" x14ac:dyDescent="0.2">
      <c r="A264" s="4">
        <f t="shared" si="14"/>
        <v>14</v>
      </c>
      <c r="B264" s="4">
        <f t="shared" si="15"/>
        <v>4</v>
      </c>
      <c r="C264" s="13" t="str">
        <f>VLOOKUP(B264,Correspondance!$D$3:$E$14,2,FALSE)</f>
        <v>Avril</v>
      </c>
      <c r="D264" s="1" t="s">
        <v>1188</v>
      </c>
      <c r="E264" s="2" t="s">
        <v>40</v>
      </c>
      <c r="F264" s="3" t="s">
        <v>61</v>
      </c>
      <c r="G264" s="4" t="s">
        <v>62</v>
      </c>
      <c r="H264" s="4" t="s">
        <v>63</v>
      </c>
      <c r="I264" s="5" t="s">
        <v>44</v>
      </c>
      <c r="J264" s="6">
        <v>93.25</v>
      </c>
      <c r="K264" s="4" t="s">
        <v>1200</v>
      </c>
      <c r="L264" s="4" t="s">
        <v>320</v>
      </c>
      <c r="M264" s="4" t="s">
        <v>47</v>
      </c>
      <c r="N264" s="4" t="s">
        <v>488</v>
      </c>
      <c r="O264" s="4" t="s">
        <v>49</v>
      </c>
      <c r="P264" s="4">
        <v>1</v>
      </c>
      <c r="Q264" s="4">
        <v>1</v>
      </c>
      <c r="R264" s="4">
        <v>1</v>
      </c>
      <c r="S264" s="4">
        <v>1</v>
      </c>
      <c r="T264" s="4">
        <v>1</v>
      </c>
      <c r="U264" s="4">
        <v>1</v>
      </c>
      <c r="V264" s="4">
        <v>1</v>
      </c>
      <c r="W264" s="4">
        <v>1</v>
      </c>
      <c r="X264" s="4">
        <v>1</v>
      </c>
      <c r="Y264" s="4">
        <v>1</v>
      </c>
      <c r="Z264" s="4">
        <v>1</v>
      </c>
      <c r="AA264" s="4">
        <v>1</v>
      </c>
      <c r="AB264" s="4">
        <v>0</v>
      </c>
      <c r="AC264" s="4">
        <v>1</v>
      </c>
      <c r="AD264" s="4">
        <v>1</v>
      </c>
      <c r="AE264" s="4">
        <v>1</v>
      </c>
      <c r="AF264" s="4">
        <v>1</v>
      </c>
      <c r="AG264" s="4">
        <v>1</v>
      </c>
      <c r="AH264" s="4">
        <v>1</v>
      </c>
      <c r="AI264" s="4">
        <v>1</v>
      </c>
      <c r="AJ264" s="4" t="s">
        <v>140</v>
      </c>
      <c r="AK264" s="4">
        <v>1</v>
      </c>
      <c r="AL264" s="4">
        <v>0</v>
      </c>
      <c r="AM264" s="4">
        <v>1</v>
      </c>
      <c r="AN264" s="4" t="s">
        <v>140</v>
      </c>
      <c r="AO264" s="4">
        <v>1</v>
      </c>
      <c r="AP264" s="4">
        <v>1</v>
      </c>
      <c r="AQ264" s="4">
        <v>1</v>
      </c>
      <c r="AR264" s="4" t="s">
        <v>140</v>
      </c>
      <c r="AS264" s="4">
        <v>1</v>
      </c>
      <c r="AT264" s="4"/>
    </row>
    <row r="265" spans="1:46" x14ac:dyDescent="0.2">
      <c r="A265" s="4">
        <f t="shared" si="14"/>
        <v>14</v>
      </c>
      <c r="B265" s="4">
        <f t="shared" si="15"/>
        <v>4</v>
      </c>
      <c r="C265" s="13" t="str">
        <f>VLOOKUP(B265,Correspondance!$D$3:$E$14,2,FALSE)</f>
        <v>Avril</v>
      </c>
      <c r="D265" s="1" t="s">
        <v>1188</v>
      </c>
      <c r="E265" s="2" t="s">
        <v>40</v>
      </c>
      <c r="F265" s="3" t="s">
        <v>61</v>
      </c>
      <c r="G265" s="4" t="s">
        <v>68</v>
      </c>
      <c r="H265" s="4" t="s">
        <v>69</v>
      </c>
      <c r="I265" s="5" t="s">
        <v>44</v>
      </c>
      <c r="J265" s="6">
        <v>96.25</v>
      </c>
      <c r="K265" s="4" t="s">
        <v>1201</v>
      </c>
      <c r="L265" s="4" t="s">
        <v>320</v>
      </c>
      <c r="M265" s="4" t="s">
        <v>47</v>
      </c>
      <c r="N265" s="4" t="s">
        <v>1202</v>
      </c>
      <c r="O265" s="4" t="s">
        <v>49</v>
      </c>
      <c r="P265" s="4">
        <v>1</v>
      </c>
      <c r="Q265" s="4">
        <v>1</v>
      </c>
      <c r="R265" s="4">
        <v>1</v>
      </c>
      <c r="S265" s="4">
        <v>1</v>
      </c>
      <c r="T265" s="4">
        <v>1</v>
      </c>
      <c r="U265" s="4">
        <v>1</v>
      </c>
      <c r="V265" s="4">
        <v>1</v>
      </c>
      <c r="W265" s="4">
        <v>1</v>
      </c>
      <c r="X265" s="4">
        <v>1</v>
      </c>
      <c r="Y265" s="4">
        <v>1</v>
      </c>
      <c r="Z265" s="4">
        <v>1</v>
      </c>
      <c r="AA265" s="4">
        <v>1</v>
      </c>
      <c r="AB265" s="4">
        <v>1</v>
      </c>
      <c r="AC265" s="4">
        <v>1</v>
      </c>
      <c r="AD265" s="4" t="s">
        <v>140</v>
      </c>
      <c r="AE265" s="4">
        <v>1</v>
      </c>
      <c r="AF265" s="4">
        <v>1</v>
      </c>
      <c r="AG265" s="4">
        <v>1</v>
      </c>
      <c r="AH265" s="4">
        <v>1</v>
      </c>
      <c r="AI265" s="4">
        <v>1</v>
      </c>
      <c r="AJ265" s="4">
        <v>1</v>
      </c>
      <c r="AK265" s="4">
        <v>1</v>
      </c>
      <c r="AL265" s="4">
        <v>0</v>
      </c>
      <c r="AM265" s="4">
        <v>1</v>
      </c>
      <c r="AN265" s="4" t="s">
        <v>140</v>
      </c>
      <c r="AO265" s="4">
        <v>1</v>
      </c>
      <c r="AP265" s="4">
        <v>1</v>
      </c>
      <c r="AQ265" s="4">
        <v>1</v>
      </c>
      <c r="AR265" s="4" t="s">
        <v>140</v>
      </c>
      <c r="AS265" s="4">
        <v>1</v>
      </c>
      <c r="AT265" s="4"/>
    </row>
  </sheetData>
  <phoneticPr fontId="0" type="noConversion"/>
  <pageMargins left="0.78740157480314965" right="0.78740157480314965" top="0.78740157480314965" bottom="0.79781811023622051" header="0.78740157480314965" footer="0.78740157480314965"/>
  <pageSetup paperSize="9" orientation="portrait" verticalDpi="0" r:id="rId1"/>
  <headerFooter alignWithMargins="0">
    <oddFooter>&amp;L&amp;C&amp;R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152400</xdr:colOff>
                    <xdr:row>0</xdr:row>
                    <xdr:rowOff>180975</xdr:rowOff>
                  </from>
                  <to>
                    <xdr:col>4</xdr:col>
                    <xdr:colOff>123825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8"/>
  <sheetViews>
    <sheetView topLeftCell="A3" zoomScale="160" zoomScaleNormal="160" workbookViewId="0">
      <selection activeCell="A7" sqref="A7"/>
    </sheetView>
  </sheetViews>
  <sheetFormatPr baseColWidth="10" defaultRowHeight="12.75" x14ac:dyDescent="0.2"/>
  <cols>
    <col min="1" max="1" width="21.140625" bestFit="1" customWidth="1"/>
    <col min="2" max="2" width="8.140625" bestFit="1" customWidth="1"/>
    <col min="3" max="3" width="3" bestFit="1" customWidth="1"/>
    <col min="4" max="4" width="8.140625" bestFit="1" customWidth="1"/>
    <col min="5" max="5" width="3" bestFit="1" customWidth="1"/>
    <col min="6" max="6" width="8.140625" bestFit="1" customWidth="1"/>
    <col min="7" max="7" width="4.140625" bestFit="1" customWidth="1"/>
    <col min="8" max="8" width="8.140625" bestFit="1" customWidth="1"/>
    <col min="9" max="9" width="3" bestFit="1" customWidth="1"/>
    <col min="10" max="10" width="13.28515625" customWidth="1"/>
    <col min="11" max="11" width="7.5703125" customWidth="1"/>
    <col min="12" max="12" width="13.28515625" customWidth="1"/>
    <col min="13" max="13" width="7.5703125" customWidth="1"/>
    <col min="14" max="14" width="21.85546875" customWidth="1"/>
    <col min="15" max="15" width="20.85546875" customWidth="1"/>
    <col min="16" max="16" width="23.140625" customWidth="1"/>
    <col min="17" max="24" width="24" bestFit="1" customWidth="1"/>
    <col min="25" max="25" width="21.85546875" customWidth="1"/>
    <col min="26" max="26" width="20.85546875" customWidth="1"/>
    <col min="27" max="27" width="23.140625" customWidth="1"/>
    <col min="28" max="46" width="24" bestFit="1" customWidth="1"/>
    <col min="47" max="47" width="13.140625" bestFit="1" customWidth="1"/>
  </cols>
  <sheetData>
    <row r="3" spans="1:13" s="12" customFormat="1" ht="114" x14ac:dyDescent="0.2">
      <c r="B3" s="121" t="s">
        <v>1395</v>
      </c>
      <c r="L3"/>
      <c r="M3"/>
    </row>
    <row r="4" spans="1:13" x14ac:dyDescent="0.2">
      <c r="A4" s="12"/>
      <c r="B4" t="s">
        <v>74</v>
      </c>
      <c r="D4" t="s">
        <v>99</v>
      </c>
      <c r="F4" t="s">
        <v>175</v>
      </c>
      <c r="H4" t="s">
        <v>47</v>
      </c>
      <c r="J4" s="14" t="s">
        <v>1396</v>
      </c>
      <c r="K4" s="14" t="s">
        <v>1398</v>
      </c>
    </row>
    <row r="5" spans="1:13" s="14" customFormat="1" x14ac:dyDescent="0.2">
      <c r="A5" s="122" t="s">
        <v>424</v>
      </c>
      <c r="B5" s="14" t="s">
        <v>1397</v>
      </c>
      <c r="C5" s="14" t="s">
        <v>1399</v>
      </c>
      <c r="D5" s="14" t="s">
        <v>1397</v>
      </c>
      <c r="E5" s="14" t="s">
        <v>1399</v>
      </c>
      <c r="F5" s="14" t="s">
        <v>1397</v>
      </c>
      <c r="G5" s="14" t="s">
        <v>1399</v>
      </c>
      <c r="H5" s="14" t="s">
        <v>1397</v>
      </c>
      <c r="I5" s="14" t="s">
        <v>1399</v>
      </c>
      <c r="L5"/>
      <c r="M5"/>
    </row>
    <row r="6" spans="1:13" x14ac:dyDescent="0.2">
      <c r="A6" s="10" t="s">
        <v>411</v>
      </c>
      <c r="B6" s="107">
        <v>17</v>
      </c>
      <c r="C6" s="109">
        <v>97.098039215686285</v>
      </c>
      <c r="D6" s="107">
        <v>9</v>
      </c>
      <c r="E6" s="109">
        <v>97.537037037037024</v>
      </c>
      <c r="F6" s="107">
        <v>9</v>
      </c>
      <c r="G6" s="109">
        <v>99.555555555555557</v>
      </c>
      <c r="H6" s="107">
        <v>44</v>
      </c>
      <c r="I6" s="109">
        <v>91.49725274725273</v>
      </c>
      <c r="J6" s="107">
        <v>79</v>
      </c>
      <c r="K6" s="109">
        <v>94.308596466824341</v>
      </c>
    </row>
    <row r="7" spans="1:13" x14ac:dyDescent="0.2">
      <c r="A7" s="10" t="s">
        <v>412</v>
      </c>
      <c r="B7" s="107">
        <v>17</v>
      </c>
      <c r="C7" s="109">
        <v>95.856862745098056</v>
      </c>
      <c r="D7" s="107">
        <v>4</v>
      </c>
      <c r="E7" s="109">
        <v>97.3125</v>
      </c>
      <c r="F7" s="107">
        <v>17</v>
      </c>
      <c r="G7" s="109">
        <v>96.436274509803923</v>
      </c>
      <c r="H7" s="107">
        <v>50</v>
      </c>
      <c r="I7" s="109">
        <v>93.708333333333314</v>
      </c>
      <c r="J7" s="107">
        <v>88</v>
      </c>
      <c r="K7" s="109">
        <v>94.814204545454544</v>
      </c>
    </row>
    <row r="8" spans="1:13" x14ac:dyDescent="0.2">
      <c r="A8" s="10" t="s">
        <v>141</v>
      </c>
      <c r="B8" s="107">
        <v>34</v>
      </c>
      <c r="C8" s="109">
        <v>96.477450980392149</v>
      </c>
      <c r="D8" s="107">
        <v>13</v>
      </c>
      <c r="E8" s="109">
        <v>97.467948717948715</v>
      </c>
      <c r="F8" s="107">
        <v>26</v>
      </c>
      <c r="G8" s="109">
        <v>97.516025641025635</v>
      </c>
      <c r="H8" s="107">
        <v>94</v>
      </c>
      <c r="I8" s="109">
        <v>92.673359441976459</v>
      </c>
      <c r="J8" s="107">
        <v>167</v>
      </c>
      <c r="K8" s="109">
        <v>94.57502467592289</v>
      </c>
    </row>
  </sheetData>
  <pageMargins left="0.7" right="0.7" top="0.75" bottom="0.75" header="0.3" footer="0.3"/>
  <pageSetup paperSize="9" orientation="portrait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3:AF74"/>
  <sheetViews>
    <sheetView topLeftCell="A28" workbookViewId="0">
      <selection activeCell="C8" sqref="C8"/>
    </sheetView>
  </sheetViews>
  <sheetFormatPr baseColWidth="10" defaultRowHeight="12.75" x14ac:dyDescent="0.2"/>
  <cols>
    <col min="1" max="1" width="30.42578125" customWidth="1"/>
    <col min="2" max="2" width="25.28515625" customWidth="1"/>
    <col min="3" max="3" width="52.42578125" customWidth="1"/>
    <col min="4" max="28" width="8.28515625" bestFit="1" customWidth="1"/>
    <col min="29" max="30" width="8.28515625" customWidth="1"/>
    <col min="31" max="32" width="6.5703125" bestFit="1" customWidth="1"/>
  </cols>
  <sheetData>
    <row r="3" spans="1:32" s="52" customFormat="1" x14ac:dyDescent="0.2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</row>
    <row r="4" spans="1:32" ht="309.75" x14ac:dyDescent="0.2">
      <c r="A4" s="51" t="s">
        <v>424</v>
      </c>
      <c r="B4" t="s">
        <v>1393</v>
      </c>
      <c r="C4" t="s">
        <v>1394</v>
      </c>
      <c r="D4" s="52" t="s">
        <v>460</v>
      </c>
      <c r="E4" s="52" t="s">
        <v>455</v>
      </c>
      <c r="F4" s="52" t="s">
        <v>447</v>
      </c>
      <c r="G4" s="52" t="s">
        <v>465</v>
      </c>
      <c r="H4" s="52" t="s">
        <v>475</v>
      </c>
      <c r="I4" s="52" t="s">
        <v>450</v>
      </c>
      <c r="J4" s="52" t="s">
        <v>472</v>
      </c>
      <c r="K4" s="52" t="s">
        <v>478</v>
      </c>
      <c r="L4" s="52" t="s">
        <v>461</v>
      </c>
      <c r="M4" s="52" t="s">
        <v>456</v>
      </c>
      <c r="N4" s="52" t="s">
        <v>466</v>
      </c>
      <c r="O4" s="52" t="s">
        <v>476</v>
      </c>
      <c r="P4" s="52" t="s">
        <v>479</v>
      </c>
      <c r="Q4" s="52" t="s">
        <v>473</v>
      </c>
      <c r="R4" s="52" t="s">
        <v>438</v>
      </c>
      <c r="S4" s="52" t="s">
        <v>477</v>
      </c>
      <c r="T4" s="52" t="s">
        <v>462</v>
      </c>
      <c r="U4" s="52" t="s">
        <v>459</v>
      </c>
      <c r="V4" s="52" t="s">
        <v>467</v>
      </c>
      <c r="W4" s="52" t="s">
        <v>458</v>
      </c>
      <c r="X4" s="52" t="s">
        <v>474</v>
      </c>
      <c r="Y4" s="52" t="s">
        <v>463</v>
      </c>
      <c r="Z4" s="52" t="s">
        <v>464</v>
      </c>
      <c r="AA4" s="52" t="s">
        <v>468</v>
      </c>
      <c r="AB4" s="52" t="s">
        <v>480</v>
      </c>
      <c r="AC4" s="52" t="s">
        <v>469</v>
      </c>
      <c r="AD4" s="52" t="s">
        <v>470</v>
      </c>
      <c r="AE4" s="52" t="s">
        <v>453</v>
      </c>
    </row>
    <row r="5" spans="1:32" x14ac:dyDescent="0.2">
      <c r="A5" s="10" t="s">
        <v>410</v>
      </c>
      <c r="B5" s="11">
        <v>0.90909090909090906</v>
      </c>
      <c r="C5" s="11">
        <v>1</v>
      </c>
      <c r="D5" s="53">
        <v>0.95348837209302328</v>
      </c>
      <c r="E5" s="53">
        <v>1</v>
      </c>
      <c r="F5" s="53">
        <v>1</v>
      </c>
      <c r="G5" s="53">
        <v>0.62790697674418605</v>
      </c>
      <c r="H5" s="53">
        <v>0.81927710843373491</v>
      </c>
      <c r="I5" s="53">
        <v>0.98837209302325579</v>
      </c>
      <c r="J5" s="53">
        <v>0.93827160493827155</v>
      </c>
      <c r="K5" s="53">
        <v>0.95294117647058818</v>
      </c>
      <c r="L5" s="53">
        <v>0.95348837209302328</v>
      </c>
      <c r="M5" s="53">
        <v>1</v>
      </c>
      <c r="N5" s="53">
        <v>0.91860465116279066</v>
      </c>
      <c r="O5" s="53">
        <v>0.97619047619047616</v>
      </c>
      <c r="P5" s="53">
        <v>0.81818181818181823</v>
      </c>
      <c r="Q5" s="53">
        <v>0.92682926829268297</v>
      </c>
      <c r="R5" s="53">
        <v>0.90697674418604646</v>
      </c>
      <c r="S5" s="53">
        <v>0.98809523809523814</v>
      </c>
      <c r="T5" s="53">
        <v>0.94186046511627908</v>
      </c>
      <c r="U5" s="53">
        <v>0.9642857142857143</v>
      </c>
      <c r="V5" s="53">
        <v>0.88372093023255816</v>
      </c>
      <c r="W5" s="53">
        <v>0.82926829268292679</v>
      </c>
      <c r="X5" s="53">
        <v>0.80246913580246915</v>
      </c>
      <c r="Y5" s="53">
        <v>0.97674418604651159</v>
      </c>
      <c r="Z5" s="53">
        <v>0.97674418604651159</v>
      </c>
      <c r="AA5" s="53">
        <v>0.98780487804878048</v>
      </c>
      <c r="AB5" s="53">
        <v>0.83132530120481929</v>
      </c>
      <c r="AC5" s="53">
        <v>0.90909090909090906</v>
      </c>
      <c r="AD5" s="53">
        <v>0.92771084337349397</v>
      </c>
      <c r="AE5" s="48">
        <v>91.362386063548868</v>
      </c>
    </row>
    <row r="6" spans="1:32" x14ac:dyDescent="0.2">
      <c r="A6" s="35" t="s">
        <v>96</v>
      </c>
      <c r="B6" s="107">
        <v>1</v>
      </c>
      <c r="C6" s="107" t="e">
        <v>#DIV/0!</v>
      </c>
      <c r="D6" s="53">
        <v>1</v>
      </c>
      <c r="E6" s="53">
        <v>1</v>
      </c>
      <c r="F6" s="53">
        <v>1</v>
      </c>
      <c r="G6" s="53">
        <v>0.66666666666666663</v>
      </c>
      <c r="H6" s="53">
        <v>0.66666666666666663</v>
      </c>
      <c r="I6" s="53">
        <v>1</v>
      </c>
      <c r="J6" s="53">
        <v>1</v>
      </c>
      <c r="K6" s="53">
        <v>1</v>
      </c>
      <c r="L6" s="53">
        <v>1</v>
      </c>
      <c r="M6" s="53">
        <v>1</v>
      </c>
      <c r="N6" s="53">
        <v>1</v>
      </c>
      <c r="O6" s="53">
        <v>1</v>
      </c>
      <c r="P6" s="53" t="e">
        <v>#DIV/0!</v>
      </c>
      <c r="Q6" s="53">
        <v>1</v>
      </c>
      <c r="R6" s="53">
        <v>1</v>
      </c>
      <c r="S6" s="53">
        <v>1</v>
      </c>
      <c r="T6" s="53">
        <v>1</v>
      </c>
      <c r="U6" s="53">
        <v>1</v>
      </c>
      <c r="V6" s="53">
        <v>1</v>
      </c>
      <c r="W6" s="53">
        <v>0.66666666666666663</v>
      </c>
      <c r="X6" s="53">
        <v>1</v>
      </c>
      <c r="Y6" s="53">
        <v>1</v>
      </c>
      <c r="Z6" s="53">
        <v>1</v>
      </c>
      <c r="AA6" s="53">
        <v>1</v>
      </c>
      <c r="AB6" s="53">
        <v>1</v>
      </c>
      <c r="AC6" s="53">
        <v>1</v>
      </c>
      <c r="AD6" s="53">
        <v>1</v>
      </c>
      <c r="AE6" s="48">
        <v>96.3888888888889</v>
      </c>
    </row>
    <row r="7" spans="1:32" x14ac:dyDescent="0.2">
      <c r="A7" s="35" t="s">
        <v>109</v>
      </c>
      <c r="B7" s="107">
        <v>0.6</v>
      </c>
      <c r="C7" s="107">
        <v>1</v>
      </c>
      <c r="D7" s="53">
        <v>1</v>
      </c>
      <c r="E7" s="53">
        <v>1</v>
      </c>
      <c r="F7" s="53">
        <v>1</v>
      </c>
      <c r="G7" s="53">
        <v>0.4</v>
      </c>
      <c r="H7" s="53">
        <v>0.4</v>
      </c>
      <c r="I7" s="53">
        <v>1</v>
      </c>
      <c r="J7" s="53">
        <v>1</v>
      </c>
      <c r="K7" s="53">
        <v>0.8</v>
      </c>
      <c r="L7" s="53">
        <v>1</v>
      </c>
      <c r="M7" s="53">
        <v>1</v>
      </c>
      <c r="N7" s="53">
        <v>0.8</v>
      </c>
      <c r="O7" s="53">
        <v>1</v>
      </c>
      <c r="P7" s="53" t="e">
        <v>#DIV/0!</v>
      </c>
      <c r="Q7" s="53">
        <v>1</v>
      </c>
      <c r="R7" s="53">
        <v>0.8</v>
      </c>
      <c r="S7" s="53">
        <v>1</v>
      </c>
      <c r="T7" s="53">
        <v>1</v>
      </c>
      <c r="U7" s="53">
        <v>1</v>
      </c>
      <c r="V7" s="53">
        <v>1</v>
      </c>
      <c r="W7" s="53">
        <v>0.6</v>
      </c>
      <c r="X7" s="53">
        <v>1</v>
      </c>
      <c r="Y7" s="53">
        <v>0.8</v>
      </c>
      <c r="Z7" s="53">
        <v>1</v>
      </c>
      <c r="AA7" s="53">
        <v>1</v>
      </c>
      <c r="AB7" s="53">
        <v>0.4</v>
      </c>
      <c r="AC7" s="53">
        <v>1</v>
      </c>
      <c r="AD7" s="53">
        <v>0.8</v>
      </c>
      <c r="AE7" s="48">
        <v>85.74</v>
      </c>
    </row>
    <row r="8" spans="1:32" x14ac:dyDescent="0.2">
      <c r="A8" s="35" t="s">
        <v>101</v>
      </c>
      <c r="B8" s="107">
        <v>0.83333333333333337</v>
      </c>
      <c r="C8" s="107" t="e">
        <v>#DIV/0!</v>
      </c>
      <c r="D8" s="53">
        <v>0.875</v>
      </c>
      <c r="E8" s="53">
        <v>1</v>
      </c>
      <c r="F8" s="53">
        <v>1</v>
      </c>
      <c r="G8" s="53">
        <v>0.625</v>
      </c>
      <c r="H8" s="53">
        <v>0.625</v>
      </c>
      <c r="I8" s="53">
        <v>1</v>
      </c>
      <c r="J8" s="53">
        <v>0.75</v>
      </c>
      <c r="K8" s="53">
        <v>1</v>
      </c>
      <c r="L8" s="53">
        <v>1</v>
      </c>
      <c r="M8" s="53">
        <v>1</v>
      </c>
      <c r="N8" s="53">
        <v>0.875</v>
      </c>
      <c r="O8" s="53">
        <v>1</v>
      </c>
      <c r="P8" s="53">
        <v>1</v>
      </c>
      <c r="Q8" s="53">
        <v>1</v>
      </c>
      <c r="R8" s="53">
        <v>0.875</v>
      </c>
      <c r="S8" s="53">
        <v>1</v>
      </c>
      <c r="T8" s="53">
        <v>0.875</v>
      </c>
      <c r="U8" s="53">
        <v>1</v>
      </c>
      <c r="V8" s="53">
        <v>0.66666666666666663</v>
      </c>
      <c r="W8" s="53">
        <v>0.8571428571428571</v>
      </c>
      <c r="X8" s="53">
        <v>0.5</v>
      </c>
      <c r="Y8" s="53">
        <v>1</v>
      </c>
      <c r="Z8" s="53">
        <v>1</v>
      </c>
      <c r="AA8" s="53">
        <v>1</v>
      </c>
      <c r="AB8" s="53">
        <v>0.8571428571428571</v>
      </c>
      <c r="AC8" s="53">
        <v>1</v>
      </c>
      <c r="AD8" s="53">
        <v>1</v>
      </c>
      <c r="AE8" s="48">
        <v>89.018749999999997</v>
      </c>
    </row>
    <row r="9" spans="1:32" x14ac:dyDescent="0.2">
      <c r="A9" s="35" t="s">
        <v>135</v>
      </c>
      <c r="B9" s="107">
        <v>0.6</v>
      </c>
      <c r="C9" s="107" t="e">
        <v>#DIV/0!</v>
      </c>
      <c r="D9" s="53">
        <v>1</v>
      </c>
      <c r="E9" s="53">
        <v>1</v>
      </c>
      <c r="F9" s="53">
        <v>1</v>
      </c>
      <c r="G9" s="53">
        <v>0</v>
      </c>
      <c r="H9" s="53">
        <v>0.6</v>
      </c>
      <c r="I9" s="53">
        <v>1</v>
      </c>
      <c r="J9" s="53">
        <v>1</v>
      </c>
      <c r="K9" s="53">
        <v>0.66666666666666663</v>
      </c>
      <c r="L9" s="53">
        <v>1</v>
      </c>
      <c r="M9" s="53">
        <v>1</v>
      </c>
      <c r="N9" s="53">
        <v>0.5</v>
      </c>
      <c r="O9" s="53">
        <v>0.83333333333333337</v>
      </c>
      <c r="P9" s="53">
        <v>1</v>
      </c>
      <c r="Q9" s="53">
        <v>0.8</v>
      </c>
      <c r="R9" s="53">
        <v>1</v>
      </c>
      <c r="S9" s="53">
        <v>1</v>
      </c>
      <c r="T9" s="53">
        <v>0.83333333333333337</v>
      </c>
      <c r="U9" s="53">
        <v>1</v>
      </c>
      <c r="V9" s="53">
        <v>0.66666666666666663</v>
      </c>
      <c r="W9" s="53">
        <v>0.75</v>
      </c>
      <c r="X9" s="53">
        <v>0.8</v>
      </c>
      <c r="Y9" s="53">
        <v>1</v>
      </c>
      <c r="Z9" s="53">
        <v>1</v>
      </c>
      <c r="AA9" s="53">
        <v>0.8</v>
      </c>
      <c r="AB9" s="53">
        <v>0.75</v>
      </c>
      <c r="AC9" s="53">
        <v>1</v>
      </c>
      <c r="AD9" s="53">
        <v>0.8</v>
      </c>
      <c r="AE9" s="48">
        <v>78.547222222222231</v>
      </c>
    </row>
    <row r="10" spans="1:32" x14ac:dyDescent="0.2">
      <c r="A10" s="35" t="s">
        <v>130</v>
      </c>
      <c r="B10" s="107">
        <v>1</v>
      </c>
      <c r="C10" s="107" t="e">
        <v>#DIV/0!</v>
      </c>
      <c r="D10" s="53">
        <v>1</v>
      </c>
      <c r="E10" s="53">
        <v>1</v>
      </c>
      <c r="F10" s="53">
        <v>1</v>
      </c>
      <c r="G10" s="53">
        <v>1</v>
      </c>
      <c r="H10" s="53">
        <v>1</v>
      </c>
      <c r="I10" s="53">
        <v>1</v>
      </c>
      <c r="J10" s="53">
        <v>1</v>
      </c>
      <c r="K10" s="53">
        <v>1</v>
      </c>
      <c r="L10" s="53">
        <v>1</v>
      </c>
      <c r="M10" s="53">
        <v>1</v>
      </c>
      <c r="N10" s="53">
        <v>1</v>
      </c>
      <c r="O10" s="53">
        <v>1</v>
      </c>
      <c r="P10" s="53">
        <v>1</v>
      </c>
      <c r="Q10" s="53">
        <v>0.75</v>
      </c>
      <c r="R10" s="53">
        <v>0.5</v>
      </c>
      <c r="S10" s="53">
        <v>1</v>
      </c>
      <c r="T10" s="53">
        <v>0.75</v>
      </c>
      <c r="U10" s="53">
        <v>1</v>
      </c>
      <c r="V10" s="53">
        <v>1</v>
      </c>
      <c r="W10" s="53">
        <v>0.5</v>
      </c>
      <c r="X10" s="53">
        <v>1</v>
      </c>
      <c r="Y10" s="53">
        <v>1</v>
      </c>
      <c r="Z10" s="53">
        <v>1</v>
      </c>
      <c r="AA10" s="53">
        <v>1</v>
      </c>
      <c r="AB10" s="53">
        <v>0.25</v>
      </c>
      <c r="AC10" s="53">
        <v>1</v>
      </c>
      <c r="AD10" s="53">
        <v>1</v>
      </c>
      <c r="AE10" s="48">
        <v>92.404166666666669</v>
      </c>
    </row>
    <row r="11" spans="1:32" x14ac:dyDescent="0.2">
      <c r="A11" s="35" t="s">
        <v>42</v>
      </c>
      <c r="B11" s="107">
        <v>1</v>
      </c>
      <c r="C11" s="107" t="e">
        <v>#DIV/0!</v>
      </c>
      <c r="D11" s="53">
        <v>1</v>
      </c>
      <c r="E11" s="53">
        <v>1</v>
      </c>
      <c r="F11" s="53">
        <v>1</v>
      </c>
      <c r="G11" s="53">
        <v>0.875</v>
      </c>
      <c r="H11" s="53">
        <v>1</v>
      </c>
      <c r="I11" s="53">
        <v>1</v>
      </c>
      <c r="J11" s="53">
        <v>1</v>
      </c>
      <c r="K11" s="53">
        <v>0.875</v>
      </c>
      <c r="L11" s="53">
        <v>1</v>
      </c>
      <c r="M11" s="53">
        <v>1</v>
      </c>
      <c r="N11" s="53">
        <v>0.875</v>
      </c>
      <c r="O11" s="53">
        <v>1</v>
      </c>
      <c r="P11" s="53" t="e">
        <v>#DIV/0!</v>
      </c>
      <c r="Q11" s="53">
        <v>0.875</v>
      </c>
      <c r="R11" s="53">
        <v>1</v>
      </c>
      <c r="S11" s="53">
        <v>1</v>
      </c>
      <c r="T11" s="53">
        <v>1</v>
      </c>
      <c r="U11" s="53">
        <v>1</v>
      </c>
      <c r="V11" s="53">
        <v>1</v>
      </c>
      <c r="W11" s="53">
        <v>1</v>
      </c>
      <c r="X11" s="53">
        <v>0.75</v>
      </c>
      <c r="Y11" s="53">
        <v>1</v>
      </c>
      <c r="Z11" s="53">
        <v>1</v>
      </c>
      <c r="AA11" s="53">
        <v>1</v>
      </c>
      <c r="AB11" s="53">
        <v>1</v>
      </c>
      <c r="AC11" s="53">
        <v>1</v>
      </c>
      <c r="AD11" s="53">
        <v>1</v>
      </c>
      <c r="AE11" s="48">
        <v>96.09375</v>
      </c>
    </row>
    <row r="12" spans="1:32" x14ac:dyDescent="0.2">
      <c r="A12" s="35" t="s">
        <v>93</v>
      </c>
      <c r="B12" s="107">
        <v>1</v>
      </c>
      <c r="C12" s="107" t="e">
        <v>#DIV/0!</v>
      </c>
      <c r="D12" s="53">
        <v>0.75</v>
      </c>
      <c r="E12" s="53">
        <v>1</v>
      </c>
      <c r="F12" s="53">
        <v>1</v>
      </c>
      <c r="G12" s="53">
        <v>0.5</v>
      </c>
      <c r="H12" s="53">
        <v>1</v>
      </c>
      <c r="I12" s="53">
        <v>1</v>
      </c>
      <c r="J12" s="53">
        <v>1</v>
      </c>
      <c r="K12" s="53">
        <v>1</v>
      </c>
      <c r="L12" s="53">
        <v>1</v>
      </c>
      <c r="M12" s="53">
        <v>1</v>
      </c>
      <c r="N12" s="53">
        <v>1</v>
      </c>
      <c r="O12" s="53">
        <v>1</v>
      </c>
      <c r="P12" s="53" t="e">
        <v>#DIV/0!</v>
      </c>
      <c r="Q12" s="53">
        <v>0.75</v>
      </c>
      <c r="R12" s="53">
        <v>1</v>
      </c>
      <c r="S12" s="53">
        <v>1</v>
      </c>
      <c r="T12" s="53">
        <v>1</v>
      </c>
      <c r="U12" s="53">
        <v>1</v>
      </c>
      <c r="V12" s="53">
        <v>0.66666666666666663</v>
      </c>
      <c r="W12" s="53">
        <v>0.5</v>
      </c>
      <c r="X12" s="53">
        <v>0.75</v>
      </c>
      <c r="Y12" s="53">
        <v>1</v>
      </c>
      <c r="Z12" s="53">
        <v>1</v>
      </c>
      <c r="AA12" s="53">
        <v>1</v>
      </c>
      <c r="AB12" s="53">
        <v>0.75</v>
      </c>
      <c r="AC12" s="53">
        <v>0.5</v>
      </c>
      <c r="AD12" s="53">
        <v>1</v>
      </c>
      <c r="AE12" s="48">
        <v>89.654166666666669</v>
      </c>
    </row>
    <row r="13" spans="1:32" x14ac:dyDescent="0.2">
      <c r="A13" s="35" t="s">
        <v>78</v>
      </c>
      <c r="B13" s="107">
        <v>1</v>
      </c>
      <c r="C13" s="107">
        <v>1</v>
      </c>
      <c r="D13" s="53">
        <v>1</v>
      </c>
      <c r="E13" s="53">
        <v>1</v>
      </c>
      <c r="F13" s="53">
        <v>1</v>
      </c>
      <c r="G13" s="53">
        <v>1</v>
      </c>
      <c r="H13" s="53">
        <v>1</v>
      </c>
      <c r="I13" s="53">
        <v>1</v>
      </c>
      <c r="J13" s="53">
        <v>1</v>
      </c>
      <c r="K13" s="53">
        <v>1</v>
      </c>
      <c r="L13" s="53">
        <v>1</v>
      </c>
      <c r="M13" s="53">
        <v>1</v>
      </c>
      <c r="N13" s="53">
        <v>1</v>
      </c>
      <c r="O13" s="53">
        <v>1</v>
      </c>
      <c r="P13" s="53" t="e">
        <v>#DIV/0!</v>
      </c>
      <c r="Q13" s="53">
        <v>1</v>
      </c>
      <c r="R13" s="53">
        <v>1</v>
      </c>
      <c r="S13" s="53">
        <v>1</v>
      </c>
      <c r="T13" s="53">
        <v>1</v>
      </c>
      <c r="U13" s="53">
        <v>0.5</v>
      </c>
      <c r="V13" s="53">
        <v>1</v>
      </c>
      <c r="W13" s="53">
        <v>0.5</v>
      </c>
      <c r="X13" s="53">
        <v>1</v>
      </c>
      <c r="Y13" s="53">
        <v>1</v>
      </c>
      <c r="Z13" s="53">
        <v>1</v>
      </c>
      <c r="AA13" s="53">
        <v>1</v>
      </c>
      <c r="AB13" s="53">
        <v>0.5</v>
      </c>
      <c r="AC13" s="53" t="e">
        <v>#DIV/0!</v>
      </c>
      <c r="AD13" s="53">
        <v>1</v>
      </c>
      <c r="AE13" s="48">
        <v>97</v>
      </c>
    </row>
    <row r="14" spans="1:32" x14ac:dyDescent="0.2">
      <c r="A14" s="35" t="s">
        <v>62</v>
      </c>
      <c r="B14" s="107">
        <v>0.7142857142857143</v>
      </c>
      <c r="C14" s="107" t="e">
        <v>#DIV/0!</v>
      </c>
      <c r="D14" s="53">
        <v>0.8571428571428571</v>
      </c>
      <c r="E14" s="53">
        <v>1</v>
      </c>
      <c r="F14" s="53">
        <v>1</v>
      </c>
      <c r="G14" s="53">
        <v>0.5714285714285714</v>
      </c>
      <c r="H14" s="53">
        <v>0.83333333333333337</v>
      </c>
      <c r="I14" s="53">
        <v>1</v>
      </c>
      <c r="J14" s="53">
        <v>0.83333333333333337</v>
      </c>
      <c r="K14" s="53">
        <v>1</v>
      </c>
      <c r="L14" s="53">
        <v>0.8571428571428571</v>
      </c>
      <c r="M14" s="53">
        <v>1</v>
      </c>
      <c r="N14" s="53">
        <v>1</v>
      </c>
      <c r="O14" s="53">
        <v>0.83333333333333337</v>
      </c>
      <c r="P14" s="53">
        <v>1</v>
      </c>
      <c r="Q14" s="53">
        <v>0.8571428571428571</v>
      </c>
      <c r="R14" s="53">
        <v>0.8571428571428571</v>
      </c>
      <c r="S14" s="53">
        <v>1</v>
      </c>
      <c r="T14" s="53">
        <v>0.8571428571428571</v>
      </c>
      <c r="U14" s="53">
        <v>1</v>
      </c>
      <c r="V14" s="53">
        <v>0.5</v>
      </c>
      <c r="W14" s="53">
        <v>1</v>
      </c>
      <c r="X14" s="53">
        <v>0.5</v>
      </c>
      <c r="Y14" s="53">
        <v>1</v>
      </c>
      <c r="Z14" s="53">
        <v>0.7142857142857143</v>
      </c>
      <c r="AA14" s="53">
        <v>1</v>
      </c>
      <c r="AB14" s="53">
        <v>1</v>
      </c>
      <c r="AC14" s="53">
        <v>1</v>
      </c>
      <c r="AD14" s="53">
        <v>1</v>
      </c>
      <c r="AE14" s="48">
        <v>87.406017791732083</v>
      </c>
    </row>
    <row r="15" spans="1:32" x14ac:dyDescent="0.2">
      <c r="A15" s="35" t="s">
        <v>53</v>
      </c>
      <c r="B15" s="107">
        <v>1</v>
      </c>
      <c r="C15" s="107">
        <v>1</v>
      </c>
      <c r="D15" s="53">
        <v>1</v>
      </c>
      <c r="E15" s="53">
        <v>1</v>
      </c>
      <c r="F15" s="53">
        <v>1</v>
      </c>
      <c r="G15" s="53">
        <v>0.8571428571428571</v>
      </c>
      <c r="H15" s="53">
        <v>1</v>
      </c>
      <c r="I15" s="53">
        <v>1</v>
      </c>
      <c r="J15" s="53">
        <v>1</v>
      </c>
      <c r="K15" s="53">
        <v>1</v>
      </c>
      <c r="L15" s="53">
        <v>1</v>
      </c>
      <c r="M15" s="53">
        <v>1</v>
      </c>
      <c r="N15" s="53">
        <v>1</v>
      </c>
      <c r="O15" s="53">
        <v>1</v>
      </c>
      <c r="P15" s="53">
        <v>1</v>
      </c>
      <c r="Q15" s="53">
        <v>1</v>
      </c>
      <c r="R15" s="53">
        <v>1</v>
      </c>
      <c r="S15" s="53">
        <v>1</v>
      </c>
      <c r="T15" s="53">
        <v>1</v>
      </c>
      <c r="U15" s="53">
        <v>1</v>
      </c>
      <c r="V15" s="53">
        <v>1</v>
      </c>
      <c r="W15" s="53">
        <v>1</v>
      </c>
      <c r="X15" s="53">
        <v>1</v>
      </c>
      <c r="Y15" s="53">
        <v>1</v>
      </c>
      <c r="Z15" s="53">
        <v>1</v>
      </c>
      <c r="AA15" s="53">
        <v>1</v>
      </c>
      <c r="AB15" s="53">
        <v>1</v>
      </c>
      <c r="AC15" s="53">
        <v>1</v>
      </c>
      <c r="AD15" s="53">
        <v>1</v>
      </c>
      <c r="AE15" s="48">
        <v>99</v>
      </c>
    </row>
    <row r="16" spans="1:32" x14ac:dyDescent="0.2">
      <c r="A16" s="35" t="s">
        <v>342</v>
      </c>
      <c r="B16" s="107">
        <v>1</v>
      </c>
      <c r="C16" s="107" t="e">
        <v>#DIV/0!</v>
      </c>
      <c r="D16" s="53">
        <v>1</v>
      </c>
      <c r="E16" s="53">
        <v>1</v>
      </c>
      <c r="F16" s="53">
        <v>1</v>
      </c>
      <c r="G16" s="53">
        <v>0.8</v>
      </c>
      <c r="H16" s="53">
        <v>1</v>
      </c>
      <c r="I16" s="53">
        <v>1</v>
      </c>
      <c r="J16" s="53">
        <v>1</v>
      </c>
      <c r="K16" s="53">
        <v>1</v>
      </c>
      <c r="L16" s="53">
        <v>1</v>
      </c>
      <c r="M16" s="53">
        <v>1</v>
      </c>
      <c r="N16" s="53">
        <v>1</v>
      </c>
      <c r="O16" s="53">
        <v>1</v>
      </c>
      <c r="P16" s="53">
        <v>1</v>
      </c>
      <c r="Q16" s="53">
        <v>1</v>
      </c>
      <c r="R16" s="53">
        <v>0.8</v>
      </c>
      <c r="S16" s="53">
        <v>1</v>
      </c>
      <c r="T16" s="53">
        <v>1</v>
      </c>
      <c r="U16" s="53">
        <v>1</v>
      </c>
      <c r="V16" s="53">
        <v>1</v>
      </c>
      <c r="W16" s="53">
        <v>1</v>
      </c>
      <c r="X16" s="53">
        <v>1</v>
      </c>
      <c r="Y16" s="53">
        <v>1</v>
      </c>
      <c r="Z16" s="53">
        <v>1</v>
      </c>
      <c r="AA16" s="53">
        <v>1</v>
      </c>
      <c r="AB16" s="53">
        <v>1</v>
      </c>
      <c r="AC16" s="53" t="e">
        <v>#DIV/0!</v>
      </c>
      <c r="AD16" s="53">
        <v>0.8</v>
      </c>
      <c r="AE16" s="48">
        <v>96.5</v>
      </c>
    </row>
    <row r="17" spans="1:31" x14ac:dyDescent="0.2">
      <c r="A17" s="35" t="s">
        <v>82</v>
      </c>
      <c r="B17" s="107">
        <v>1</v>
      </c>
      <c r="C17" s="107">
        <v>1</v>
      </c>
      <c r="D17" s="53">
        <v>1</v>
      </c>
      <c r="E17" s="53">
        <v>1</v>
      </c>
      <c r="F17" s="53">
        <v>1</v>
      </c>
      <c r="G17" s="53">
        <v>0.75</v>
      </c>
      <c r="H17" s="53">
        <v>1</v>
      </c>
      <c r="I17" s="53">
        <v>1</v>
      </c>
      <c r="J17" s="53">
        <v>1</v>
      </c>
      <c r="K17" s="53">
        <v>1</v>
      </c>
      <c r="L17" s="53">
        <v>1</v>
      </c>
      <c r="M17" s="53">
        <v>1</v>
      </c>
      <c r="N17" s="53">
        <v>1</v>
      </c>
      <c r="O17" s="53">
        <v>1</v>
      </c>
      <c r="P17" s="53" t="e">
        <v>#DIV/0!</v>
      </c>
      <c r="Q17" s="53">
        <v>1</v>
      </c>
      <c r="R17" s="53">
        <v>1</v>
      </c>
      <c r="S17" s="53">
        <v>1</v>
      </c>
      <c r="T17" s="53">
        <v>1</v>
      </c>
      <c r="U17" s="53">
        <v>1</v>
      </c>
      <c r="V17" s="53">
        <v>0.66666666666666663</v>
      </c>
      <c r="W17" s="53">
        <v>0.75</v>
      </c>
      <c r="X17" s="53">
        <v>0.75</v>
      </c>
      <c r="Y17" s="53">
        <v>1</v>
      </c>
      <c r="Z17" s="53">
        <v>1</v>
      </c>
      <c r="AA17" s="53">
        <v>1</v>
      </c>
      <c r="AB17" s="53">
        <v>0.75</v>
      </c>
      <c r="AC17" s="53" t="e">
        <v>#DIV/0!</v>
      </c>
      <c r="AD17" s="53">
        <v>1</v>
      </c>
      <c r="AE17" s="48">
        <v>95.041666666666671</v>
      </c>
    </row>
    <row r="18" spans="1:31" x14ac:dyDescent="0.2">
      <c r="A18" s="35" t="s">
        <v>120</v>
      </c>
      <c r="B18" s="107">
        <v>1</v>
      </c>
      <c r="C18" s="107">
        <v>1</v>
      </c>
      <c r="D18" s="53">
        <v>1</v>
      </c>
      <c r="E18" s="53">
        <v>1</v>
      </c>
      <c r="F18" s="53">
        <v>1</v>
      </c>
      <c r="G18" s="53">
        <v>0.6</v>
      </c>
      <c r="H18" s="53">
        <v>1</v>
      </c>
      <c r="I18" s="53">
        <v>0.8</v>
      </c>
      <c r="J18" s="53">
        <v>0.8</v>
      </c>
      <c r="K18" s="53">
        <v>1</v>
      </c>
      <c r="L18" s="53">
        <v>0.8</v>
      </c>
      <c r="M18" s="53">
        <v>1</v>
      </c>
      <c r="N18" s="53">
        <v>1</v>
      </c>
      <c r="O18" s="53">
        <v>1</v>
      </c>
      <c r="P18" s="53">
        <v>0</v>
      </c>
      <c r="Q18" s="53">
        <v>1</v>
      </c>
      <c r="R18" s="53">
        <v>0.8</v>
      </c>
      <c r="S18" s="53">
        <v>1</v>
      </c>
      <c r="T18" s="53">
        <v>0.8</v>
      </c>
      <c r="U18" s="53">
        <v>1</v>
      </c>
      <c r="V18" s="53">
        <v>1</v>
      </c>
      <c r="W18" s="53">
        <v>1</v>
      </c>
      <c r="X18" s="53">
        <v>0.75</v>
      </c>
      <c r="Y18" s="53">
        <v>1</v>
      </c>
      <c r="Z18" s="53">
        <v>1</v>
      </c>
      <c r="AA18" s="53">
        <v>1</v>
      </c>
      <c r="AB18" s="53">
        <v>1</v>
      </c>
      <c r="AC18" s="53">
        <v>0.66666666666666663</v>
      </c>
      <c r="AD18" s="53">
        <v>1</v>
      </c>
      <c r="AE18" s="48">
        <v>90.864615384615391</v>
      </c>
    </row>
    <row r="19" spans="1:31" x14ac:dyDescent="0.2">
      <c r="A19" s="35" t="s">
        <v>68</v>
      </c>
      <c r="B19" s="107">
        <v>1</v>
      </c>
      <c r="C19" s="107" t="e">
        <v>#DIV/0!</v>
      </c>
      <c r="D19" s="53">
        <v>1</v>
      </c>
      <c r="E19" s="53">
        <v>1</v>
      </c>
      <c r="F19" s="53">
        <v>1</v>
      </c>
      <c r="G19" s="53">
        <v>0.2857142857142857</v>
      </c>
      <c r="H19" s="53">
        <v>0.2857142857142857</v>
      </c>
      <c r="I19" s="53">
        <v>1</v>
      </c>
      <c r="J19" s="53">
        <v>1</v>
      </c>
      <c r="K19" s="53">
        <v>1</v>
      </c>
      <c r="L19" s="53">
        <v>1</v>
      </c>
      <c r="M19" s="53">
        <v>1</v>
      </c>
      <c r="N19" s="53">
        <v>0.8571428571428571</v>
      </c>
      <c r="O19" s="53">
        <v>1</v>
      </c>
      <c r="P19" s="53">
        <v>1</v>
      </c>
      <c r="Q19" s="53">
        <v>1</v>
      </c>
      <c r="R19" s="53">
        <v>1</v>
      </c>
      <c r="S19" s="53">
        <v>0.8571428571428571</v>
      </c>
      <c r="T19" s="53">
        <v>1</v>
      </c>
      <c r="U19" s="53">
        <v>1</v>
      </c>
      <c r="V19" s="53">
        <v>1</v>
      </c>
      <c r="W19" s="53">
        <v>1</v>
      </c>
      <c r="X19" s="53">
        <v>0.8571428571428571</v>
      </c>
      <c r="Y19" s="53">
        <v>1</v>
      </c>
      <c r="Z19" s="53">
        <v>1</v>
      </c>
      <c r="AA19" s="53">
        <v>1</v>
      </c>
      <c r="AB19" s="53">
        <v>1</v>
      </c>
      <c r="AC19" s="53">
        <v>1</v>
      </c>
      <c r="AD19" s="53">
        <v>0.8571428571428571</v>
      </c>
      <c r="AE19" s="48">
        <v>91.011904761904773</v>
      </c>
    </row>
    <row r="20" spans="1:31" x14ac:dyDescent="0.2">
      <c r="A20" s="35" t="s">
        <v>89</v>
      </c>
      <c r="B20" s="107">
        <v>1</v>
      </c>
      <c r="C20" s="107" t="e">
        <v>#DIV/0!</v>
      </c>
      <c r="D20" s="53">
        <v>0.83333333333333337</v>
      </c>
      <c r="E20" s="53">
        <v>1</v>
      </c>
      <c r="F20" s="53">
        <v>1</v>
      </c>
      <c r="G20" s="53">
        <v>0.66666666666666663</v>
      </c>
      <c r="H20" s="53">
        <v>1</v>
      </c>
      <c r="I20" s="53">
        <v>1</v>
      </c>
      <c r="J20" s="53">
        <v>1</v>
      </c>
      <c r="K20" s="53">
        <v>1</v>
      </c>
      <c r="L20" s="53">
        <v>0.83333333333333337</v>
      </c>
      <c r="M20" s="53">
        <v>1</v>
      </c>
      <c r="N20" s="53">
        <v>1</v>
      </c>
      <c r="O20" s="53">
        <v>1</v>
      </c>
      <c r="P20" s="53">
        <v>0</v>
      </c>
      <c r="Q20" s="53">
        <v>1</v>
      </c>
      <c r="R20" s="53">
        <v>1</v>
      </c>
      <c r="S20" s="53">
        <v>1</v>
      </c>
      <c r="T20" s="53">
        <v>1</v>
      </c>
      <c r="U20" s="53">
        <v>0.66666666666666663</v>
      </c>
      <c r="V20" s="53">
        <v>1</v>
      </c>
      <c r="W20" s="53">
        <v>0.66666666666666663</v>
      </c>
      <c r="X20" s="53">
        <v>0.8</v>
      </c>
      <c r="Y20" s="53">
        <v>0.83333333333333337</v>
      </c>
      <c r="Z20" s="53">
        <v>1</v>
      </c>
      <c r="AA20" s="53">
        <v>1</v>
      </c>
      <c r="AB20" s="53">
        <v>0.66666666666666663</v>
      </c>
      <c r="AC20" s="53">
        <v>1</v>
      </c>
      <c r="AD20" s="53">
        <v>0.8</v>
      </c>
      <c r="AE20" s="48">
        <v>91.62777777777778</v>
      </c>
    </row>
    <row r="21" spans="1:31" x14ac:dyDescent="0.2">
      <c r="A21" s="35" t="s">
        <v>484</v>
      </c>
      <c r="B21" s="107">
        <v>1</v>
      </c>
      <c r="C21" s="107" t="e">
        <v>#DIV/0!</v>
      </c>
      <c r="D21" s="53">
        <v>1</v>
      </c>
      <c r="E21" s="53">
        <v>1</v>
      </c>
      <c r="F21" s="53">
        <v>1</v>
      </c>
      <c r="G21" s="53">
        <v>1</v>
      </c>
      <c r="H21" s="53">
        <v>1</v>
      </c>
      <c r="I21" s="53">
        <v>1</v>
      </c>
      <c r="J21" s="53">
        <v>1</v>
      </c>
      <c r="K21" s="53">
        <v>1</v>
      </c>
      <c r="L21" s="53">
        <v>1</v>
      </c>
      <c r="M21" s="53">
        <v>1</v>
      </c>
      <c r="N21" s="53">
        <v>1</v>
      </c>
      <c r="O21" s="53">
        <v>1</v>
      </c>
      <c r="P21" s="53">
        <v>1</v>
      </c>
      <c r="Q21" s="53">
        <v>0</v>
      </c>
      <c r="R21" s="53">
        <v>1</v>
      </c>
      <c r="S21" s="53">
        <v>1</v>
      </c>
      <c r="T21" s="53">
        <v>1</v>
      </c>
      <c r="U21" s="53">
        <v>1</v>
      </c>
      <c r="V21" s="53">
        <v>1</v>
      </c>
      <c r="W21" s="53">
        <v>1</v>
      </c>
      <c r="X21" s="53">
        <v>0</v>
      </c>
      <c r="Y21" s="53">
        <v>1</v>
      </c>
      <c r="Z21" s="53">
        <v>1</v>
      </c>
      <c r="AA21" s="53">
        <v>1</v>
      </c>
      <c r="AB21" s="53">
        <v>1</v>
      </c>
      <c r="AC21" s="53">
        <v>1</v>
      </c>
      <c r="AD21" s="53">
        <v>1</v>
      </c>
      <c r="AE21" s="48">
        <v>92.5</v>
      </c>
    </row>
    <row r="22" spans="1:31" x14ac:dyDescent="0.2">
      <c r="A22" s="35" t="s">
        <v>505</v>
      </c>
      <c r="B22" s="107">
        <v>1</v>
      </c>
      <c r="C22" s="107" t="e">
        <v>#DIV/0!</v>
      </c>
      <c r="D22" s="53">
        <v>1</v>
      </c>
      <c r="E22" s="53">
        <v>1</v>
      </c>
      <c r="F22" s="53">
        <v>1</v>
      </c>
      <c r="G22" s="53">
        <v>0.75</v>
      </c>
      <c r="H22" s="53">
        <v>1</v>
      </c>
      <c r="I22" s="53">
        <v>1</v>
      </c>
      <c r="J22" s="53">
        <v>0.75</v>
      </c>
      <c r="K22" s="53">
        <v>1</v>
      </c>
      <c r="L22" s="53">
        <v>0.75</v>
      </c>
      <c r="M22" s="53">
        <v>1</v>
      </c>
      <c r="N22" s="53">
        <v>1</v>
      </c>
      <c r="O22" s="53">
        <v>1</v>
      </c>
      <c r="P22" s="53" t="e">
        <v>#DIV/0!</v>
      </c>
      <c r="Q22" s="53">
        <v>1</v>
      </c>
      <c r="R22" s="53">
        <v>0.75</v>
      </c>
      <c r="S22" s="53">
        <v>1</v>
      </c>
      <c r="T22" s="53">
        <v>1</v>
      </c>
      <c r="U22" s="53">
        <v>1</v>
      </c>
      <c r="V22" s="53">
        <v>1</v>
      </c>
      <c r="W22" s="53">
        <v>0.75</v>
      </c>
      <c r="X22" s="53">
        <v>1</v>
      </c>
      <c r="Y22" s="53">
        <v>1</v>
      </c>
      <c r="Z22" s="53">
        <v>1</v>
      </c>
      <c r="AA22" s="53">
        <v>1</v>
      </c>
      <c r="AB22" s="53">
        <v>0.75</v>
      </c>
      <c r="AC22" s="53">
        <v>1</v>
      </c>
      <c r="AD22" s="53">
        <v>0.75</v>
      </c>
      <c r="AE22" s="48">
        <v>90.924999999999997</v>
      </c>
    </row>
    <row r="23" spans="1:31" x14ac:dyDescent="0.2">
      <c r="A23" s="10" t="s">
        <v>144</v>
      </c>
      <c r="B23" s="107"/>
      <c r="C23" s="107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48"/>
    </row>
    <row r="24" spans="1:31" x14ac:dyDescent="0.2">
      <c r="A24" s="35" t="s">
        <v>144</v>
      </c>
      <c r="B24" s="107"/>
      <c r="C24" s="107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48"/>
    </row>
    <row r="25" spans="1:31" x14ac:dyDescent="0.2">
      <c r="A25" s="10" t="s">
        <v>412</v>
      </c>
      <c r="B25" s="107">
        <v>0.7567567567567568</v>
      </c>
      <c r="C25" s="107">
        <v>1</v>
      </c>
      <c r="D25" s="53">
        <v>0.97727272727272729</v>
      </c>
      <c r="E25" s="53">
        <v>1</v>
      </c>
      <c r="F25" s="53">
        <v>0.96590909090909094</v>
      </c>
      <c r="G25" s="53">
        <v>0.92045454545454541</v>
      </c>
      <c r="H25" s="53">
        <v>0.79545454545454541</v>
      </c>
      <c r="I25" s="53">
        <v>1</v>
      </c>
      <c r="J25" s="53">
        <v>0.97727272727272729</v>
      </c>
      <c r="K25" s="53">
        <v>0.98863636363636365</v>
      </c>
      <c r="L25" s="53">
        <v>1</v>
      </c>
      <c r="M25" s="53">
        <v>1</v>
      </c>
      <c r="N25" s="53">
        <v>0.97727272727272729</v>
      </c>
      <c r="O25" s="53">
        <v>1</v>
      </c>
      <c r="P25" s="53">
        <v>1</v>
      </c>
      <c r="Q25" s="53">
        <v>0.94318181818181823</v>
      </c>
      <c r="R25" s="53">
        <v>1</v>
      </c>
      <c r="S25" s="53">
        <v>1</v>
      </c>
      <c r="T25" s="53">
        <v>0.97727272727272729</v>
      </c>
      <c r="U25" s="53">
        <v>0.97674418604651159</v>
      </c>
      <c r="V25" s="53">
        <v>0.91666666666666663</v>
      </c>
      <c r="W25" s="53">
        <v>0.7441860465116279</v>
      </c>
      <c r="X25" s="53">
        <v>0.85227272727272729</v>
      </c>
      <c r="Y25" s="53">
        <v>1</v>
      </c>
      <c r="Z25" s="53">
        <v>0.96590909090909094</v>
      </c>
      <c r="AA25" s="53">
        <v>1</v>
      </c>
      <c r="AB25" s="53">
        <v>0.7816091954022989</v>
      </c>
      <c r="AC25" s="53">
        <v>1</v>
      </c>
      <c r="AD25" s="53">
        <v>0.90909090909090906</v>
      </c>
      <c r="AE25" s="48">
        <v>94.814204545454515</v>
      </c>
    </row>
    <row r="26" spans="1:31" x14ac:dyDescent="0.2">
      <c r="A26" s="35" t="s">
        <v>96</v>
      </c>
      <c r="B26" s="107">
        <v>1</v>
      </c>
      <c r="C26" s="107" t="e">
        <v>#DIV/0!</v>
      </c>
      <c r="D26" s="53">
        <v>1</v>
      </c>
      <c r="E26" s="53">
        <v>1</v>
      </c>
      <c r="F26" s="53">
        <v>1</v>
      </c>
      <c r="G26" s="53">
        <v>1</v>
      </c>
      <c r="H26" s="53">
        <v>1</v>
      </c>
      <c r="I26" s="53">
        <v>1</v>
      </c>
      <c r="J26" s="53">
        <v>1</v>
      </c>
      <c r="K26" s="53">
        <v>1</v>
      </c>
      <c r="L26" s="53">
        <v>1</v>
      </c>
      <c r="M26" s="53">
        <v>1</v>
      </c>
      <c r="N26" s="53">
        <v>1</v>
      </c>
      <c r="O26" s="53">
        <v>1</v>
      </c>
      <c r="P26" s="53" t="e">
        <v>#DIV/0!</v>
      </c>
      <c r="Q26" s="53">
        <v>1</v>
      </c>
      <c r="R26" s="53">
        <v>1</v>
      </c>
      <c r="S26" s="53">
        <v>1</v>
      </c>
      <c r="T26" s="53">
        <v>1</v>
      </c>
      <c r="U26" s="53">
        <v>1</v>
      </c>
      <c r="V26" s="53">
        <v>1</v>
      </c>
      <c r="W26" s="53">
        <v>1</v>
      </c>
      <c r="X26" s="53">
        <v>0.75</v>
      </c>
      <c r="Y26" s="53">
        <v>1</v>
      </c>
      <c r="Z26" s="53">
        <v>1</v>
      </c>
      <c r="AA26" s="53">
        <v>1</v>
      </c>
      <c r="AB26" s="53">
        <v>1</v>
      </c>
      <c r="AC26" s="53" t="e">
        <v>#DIV/0!</v>
      </c>
      <c r="AD26" s="53">
        <v>1</v>
      </c>
      <c r="AE26" s="48">
        <v>99.0625</v>
      </c>
    </row>
    <row r="27" spans="1:31" x14ac:dyDescent="0.2">
      <c r="A27" s="35" t="s">
        <v>109</v>
      </c>
      <c r="B27" s="107">
        <v>0.5</v>
      </c>
      <c r="C27" s="107">
        <v>1</v>
      </c>
      <c r="D27" s="53">
        <v>1</v>
      </c>
      <c r="E27" s="53">
        <v>1</v>
      </c>
      <c r="F27" s="53">
        <v>1</v>
      </c>
      <c r="G27" s="53">
        <v>0.5</v>
      </c>
      <c r="H27" s="53">
        <v>0.5</v>
      </c>
      <c r="I27" s="53">
        <v>1</v>
      </c>
      <c r="J27" s="53">
        <v>1</v>
      </c>
      <c r="K27" s="53">
        <v>1</v>
      </c>
      <c r="L27" s="53">
        <v>1</v>
      </c>
      <c r="M27" s="53">
        <v>1</v>
      </c>
      <c r="N27" s="53">
        <v>1</v>
      </c>
      <c r="O27" s="53">
        <v>1</v>
      </c>
      <c r="P27" s="53">
        <v>1</v>
      </c>
      <c r="Q27" s="53">
        <v>1</v>
      </c>
      <c r="R27" s="53">
        <v>1</v>
      </c>
      <c r="S27" s="53">
        <v>1</v>
      </c>
      <c r="T27" s="53">
        <v>1</v>
      </c>
      <c r="U27" s="53">
        <v>1</v>
      </c>
      <c r="V27" s="53">
        <v>0.5</v>
      </c>
      <c r="W27" s="53">
        <v>0</v>
      </c>
      <c r="X27" s="53">
        <v>0.5</v>
      </c>
      <c r="Y27" s="53">
        <v>1</v>
      </c>
      <c r="Z27" s="53">
        <v>1</v>
      </c>
      <c r="AA27" s="53">
        <v>1</v>
      </c>
      <c r="AB27" s="53">
        <v>0.25</v>
      </c>
      <c r="AC27" s="53" t="e">
        <v>#DIV/0!</v>
      </c>
      <c r="AD27" s="53">
        <v>0.75</v>
      </c>
      <c r="AE27" s="48">
        <v>84.833333333333343</v>
      </c>
    </row>
    <row r="28" spans="1:31" x14ac:dyDescent="0.2">
      <c r="A28" s="35" t="s">
        <v>101</v>
      </c>
      <c r="B28" s="107">
        <v>1</v>
      </c>
      <c r="C28" s="107" t="e">
        <v>#DIV/0!</v>
      </c>
      <c r="D28" s="53">
        <v>1</v>
      </c>
      <c r="E28" s="53">
        <v>1</v>
      </c>
      <c r="F28" s="53">
        <v>1</v>
      </c>
      <c r="G28" s="53">
        <v>1</v>
      </c>
      <c r="H28" s="53">
        <v>1</v>
      </c>
      <c r="I28" s="53">
        <v>1</v>
      </c>
      <c r="J28" s="53">
        <v>1</v>
      </c>
      <c r="K28" s="53">
        <v>1</v>
      </c>
      <c r="L28" s="53">
        <v>1</v>
      </c>
      <c r="M28" s="53">
        <v>1</v>
      </c>
      <c r="N28" s="53">
        <v>1</v>
      </c>
      <c r="O28" s="53">
        <v>1</v>
      </c>
      <c r="P28" s="53" t="e">
        <v>#DIV/0!</v>
      </c>
      <c r="Q28" s="53">
        <v>1</v>
      </c>
      <c r="R28" s="53">
        <v>1</v>
      </c>
      <c r="S28" s="53">
        <v>1</v>
      </c>
      <c r="T28" s="53">
        <v>1</v>
      </c>
      <c r="U28" s="53">
        <v>1</v>
      </c>
      <c r="V28" s="53">
        <v>1</v>
      </c>
      <c r="W28" s="53">
        <v>0.75</v>
      </c>
      <c r="X28" s="53">
        <v>1</v>
      </c>
      <c r="Y28" s="53">
        <v>1</v>
      </c>
      <c r="Z28" s="53">
        <v>1</v>
      </c>
      <c r="AA28" s="53">
        <v>1</v>
      </c>
      <c r="AB28" s="53">
        <v>0.75</v>
      </c>
      <c r="AC28" s="53" t="e">
        <v>#DIV/0!</v>
      </c>
      <c r="AD28" s="53">
        <v>0.75</v>
      </c>
      <c r="AE28" s="48">
        <v>97.25</v>
      </c>
    </row>
    <row r="29" spans="1:31" x14ac:dyDescent="0.2">
      <c r="A29" s="35" t="s">
        <v>135</v>
      </c>
      <c r="B29" s="107">
        <v>0</v>
      </c>
      <c r="C29" s="107" t="e">
        <v>#DIV/0!</v>
      </c>
      <c r="D29" s="53">
        <v>1</v>
      </c>
      <c r="E29" s="53">
        <v>1</v>
      </c>
      <c r="F29" s="53">
        <v>1</v>
      </c>
      <c r="G29" s="53">
        <v>0.25</v>
      </c>
      <c r="H29" s="53">
        <v>0.25</v>
      </c>
      <c r="I29" s="53">
        <v>1</v>
      </c>
      <c r="J29" s="53">
        <v>1</v>
      </c>
      <c r="K29" s="53">
        <v>1</v>
      </c>
      <c r="L29" s="53">
        <v>1</v>
      </c>
      <c r="M29" s="53">
        <v>1</v>
      </c>
      <c r="N29" s="53">
        <v>1</v>
      </c>
      <c r="O29" s="53">
        <v>1</v>
      </c>
      <c r="P29" s="53" t="e">
        <v>#DIV/0!</v>
      </c>
      <c r="Q29" s="53">
        <v>1</v>
      </c>
      <c r="R29" s="53">
        <v>1</v>
      </c>
      <c r="S29" s="53">
        <v>1</v>
      </c>
      <c r="T29" s="53">
        <v>1</v>
      </c>
      <c r="U29" s="53">
        <v>1</v>
      </c>
      <c r="V29" s="53">
        <v>1</v>
      </c>
      <c r="W29" s="53">
        <v>0.5</v>
      </c>
      <c r="X29" s="53">
        <v>1</v>
      </c>
      <c r="Y29" s="53">
        <v>1</v>
      </c>
      <c r="Z29" s="53">
        <v>0.75</v>
      </c>
      <c r="AA29" s="53">
        <v>1</v>
      </c>
      <c r="AB29" s="53">
        <v>0.75</v>
      </c>
      <c r="AC29" s="53">
        <v>1</v>
      </c>
      <c r="AD29" s="53">
        <v>0.5</v>
      </c>
      <c r="AE29" s="48">
        <v>83.3</v>
      </c>
    </row>
    <row r="30" spans="1:31" x14ac:dyDescent="0.2">
      <c r="A30" s="35" t="s">
        <v>130</v>
      </c>
      <c r="B30" s="107">
        <v>0.66666666666666663</v>
      </c>
      <c r="C30" s="107" t="e">
        <v>#DIV/0!</v>
      </c>
      <c r="D30" s="53">
        <v>1</v>
      </c>
      <c r="E30" s="53">
        <v>1</v>
      </c>
      <c r="F30" s="53">
        <v>1</v>
      </c>
      <c r="G30" s="53">
        <v>0.75</v>
      </c>
      <c r="H30" s="53">
        <v>1</v>
      </c>
      <c r="I30" s="53">
        <v>1</v>
      </c>
      <c r="J30" s="53">
        <v>1</v>
      </c>
      <c r="K30" s="53">
        <v>1</v>
      </c>
      <c r="L30" s="53">
        <v>1</v>
      </c>
      <c r="M30" s="53">
        <v>1</v>
      </c>
      <c r="N30" s="53">
        <v>1</v>
      </c>
      <c r="O30" s="53">
        <v>1</v>
      </c>
      <c r="P30" s="53">
        <v>1</v>
      </c>
      <c r="Q30" s="53">
        <v>1</v>
      </c>
      <c r="R30" s="53">
        <v>1</v>
      </c>
      <c r="S30" s="53">
        <v>1</v>
      </c>
      <c r="T30" s="53">
        <v>1</v>
      </c>
      <c r="U30" s="53">
        <v>1</v>
      </c>
      <c r="V30" s="53" t="e">
        <v>#DIV/0!</v>
      </c>
      <c r="W30" s="53">
        <v>0.75</v>
      </c>
      <c r="X30" s="53">
        <v>0.75</v>
      </c>
      <c r="Y30" s="53">
        <v>1</v>
      </c>
      <c r="Z30" s="53">
        <v>1</v>
      </c>
      <c r="AA30" s="53">
        <v>1</v>
      </c>
      <c r="AB30" s="53">
        <v>0.75</v>
      </c>
      <c r="AC30" s="53" t="e">
        <v>#DIV/0!</v>
      </c>
      <c r="AD30" s="53">
        <v>1</v>
      </c>
      <c r="AE30" s="48">
        <v>95.375</v>
      </c>
    </row>
    <row r="31" spans="1:31" x14ac:dyDescent="0.2">
      <c r="A31" s="35" t="s">
        <v>42</v>
      </c>
      <c r="B31" s="107">
        <v>0.83333333333333337</v>
      </c>
      <c r="C31" s="107">
        <v>1</v>
      </c>
      <c r="D31" s="53">
        <v>1</v>
      </c>
      <c r="E31" s="53">
        <v>1</v>
      </c>
      <c r="F31" s="53">
        <v>1</v>
      </c>
      <c r="G31" s="53">
        <v>0.875</v>
      </c>
      <c r="H31" s="53">
        <v>1</v>
      </c>
      <c r="I31" s="53">
        <v>1</v>
      </c>
      <c r="J31" s="53">
        <v>1</v>
      </c>
      <c r="K31" s="53">
        <v>1</v>
      </c>
      <c r="L31" s="53">
        <v>1</v>
      </c>
      <c r="M31" s="53">
        <v>1</v>
      </c>
      <c r="N31" s="53">
        <v>1</v>
      </c>
      <c r="O31" s="53">
        <v>1</v>
      </c>
      <c r="P31" s="53">
        <v>1</v>
      </c>
      <c r="Q31" s="53">
        <v>1</v>
      </c>
      <c r="R31" s="53">
        <v>1</v>
      </c>
      <c r="S31" s="53">
        <v>1</v>
      </c>
      <c r="T31" s="53">
        <v>1</v>
      </c>
      <c r="U31" s="53">
        <v>0.8571428571428571</v>
      </c>
      <c r="V31" s="53">
        <v>1</v>
      </c>
      <c r="W31" s="53">
        <v>1</v>
      </c>
      <c r="X31" s="53">
        <v>0.875</v>
      </c>
      <c r="Y31" s="53">
        <v>1</v>
      </c>
      <c r="Z31" s="53">
        <v>1</v>
      </c>
      <c r="AA31" s="53">
        <v>1</v>
      </c>
      <c r="AB31" s="53">
        <v>1</v>
      </c>
      <c r="AC31" s="53" t="e">
        <v>#DIV/0!</v>
      </c>
      <c r="AD31" s="53">
        <v>1</v>
      </c>
      <c r="AE31" s="48">
        <v>98.083333333333343</v>
      </c>
    </row>
    <row r="32" spans="1:31" x14ac:dyDescent="0.2">
      <c r="A32" s="35" t="s">
        <v>93</v>
      </c>
      <c r="B32" s="107">
        <v>1</v>
      </c>
      <c r="C32" s="107">
        <v>1</v>
      </c>
      <c r="D32" s="53">
        <v>1</v>
      </c>
      <c r="E32" s="53">
        <v>1</v>
      </c>
      <c r="F32" s="53">
        <v>1</v>
      </c>
      <c r="G32" s="53">
        <v>1</v>
      </c>
      <c r="H32" s="53">
        <v>1</v>
      </c>
      <c r="I32" s="53">
        <v>1</v>
      </c>
      <c r="J32" s="53">
        <v>1</v>
      </c>
      <c r="K32" s="53">
        <v>1</v>
      </c>
      <c r="L32" s="53">
        <v>1</v>
      </c>
      <c r="M32" s="53">
        <v>1</v>
      </c>
      <c r="N32" s="53">
        <v>0.8</v>
      </c>
      <c r="O32" s="53">
        <v>1</v>
      </c>
      <c r="P32" s="53">
        <v>1</v>
      </c>
      <c r="Q32" s="53">
        <v>0.8</v>
      </c>
      <c r="R32" s="53">
        <v>1</v>
      </c>
      <c r="S32" s="53">
        <v>1</v>
      </c>
      <c r="T32" s="53">
        <v>1</v>
      </c>
      <c r="U32" s="53">
        <v>1</v>
      </c>
      <c r="V32" s="53">
        <v>1</v>
      </c>
      <c r="W32" s="53">
        <v>1</v>
      </c>
      <c r="X32" s="53">
        <v>0.6</v>
      </c>
      <c r="Y32" s="53">
        <v>1</v>
      </c>
      <c r="Z32" s="53">
        <v>1</v>
      </c>
      <c r="AA32" s="53">
        <v>1</v>
      </c>
      <c r="AB32" s="53">
        <v>1</v>
      </c>
      <c r="AC32" s="53" t="e">
        <v>#DIV/0!</v>
      </c>
      <c r="AD32" s="53">
        <v>1</v>
      </c>
      <c r="AE32" s="48">
        <v>96.583333333333343</v>
      </c>
    </row>
    <row r="33" spans="1:31" x14ac:dyDescent="0.2">
      <c r="A33" s="35" t="s">
        <v>78</v>
      </c>
      <c r="B33" s="107">
        <v>0.8</v>
      </c>
      <c r="C33" s="107">
        <v>1</v>
      </c>
      <c r="D33" s="53">
        <v>1</v>
      </c>
      <c r="E33" s="53">
        <v>1</v>
      </c>
      <c r="F33" s="53">
        <v>0.83333333333333337</v>
      </c>
      <c r="G33" s="53">
        <v>1</v>
      </c>
      <c r="H33" s="53">
        <v>0.33333333333333331</v>
      </c>
      <c r="I33" s="53">
        <v>1</v>
      </c>
      <c r="J33" s="53">
        <v>1</v>
      </c>
      <c r="K33" s="53">
        <v>0.83333333333333337</v>
      </c>
      <c r="L33" s="53">
        <v>1</v>
      </c>
      <c r="M33" s="53">
        <v>1</v>
      </c>
      <c r="N33" s="53">
        <v>0.83333333333333337</v>
      </c>
      <c r="O33" s="53">
        <v>1</v>
      </c>
      <c r="P33" s="53">
        <v>1</v>
      </c>
      <c r="Q33" s="53">
        <v>1</v>
      </c>
      <c r="R33" s="53">
        <v>1</v>
      </c>
      <c r="S33" s="53">
        <v>1</v>
      </c>
      <c r="T33" s="53">
        <v>1</v>
      </c>
      <c r="U33" s="53">
        <v>1</v>
      </c>
      <c r="V33" s="53">
        <v>1</v>
      </c>
      <c r="W33" s="53">
        <v>0</v>
      </c>
      <c r="X33" s="53">
        <v>1</v>
      </c>
      <c r="Y33" s="53">
        <v>1</v>
      </c>
      <c r="Z33" s="53">
        <v>0.83333333333333337</v>
      </c>
      <c r="AA33" s="53">
        <v>1</v>
      </c>
      <c r="AB33" s="53">
        <v>0</v>
      </c>
      <c r="AC33" s="53" t="e">
        <v>#DIV/0!</v>
      </c>
      <c r="AD33" s="53">
        <v>1</v>
      </c>
      <c r="AE33" s="48">
        <v>89.575000000000003</v>
      </c>
    </row>
    <row r="34" spans="1:31" x14ac:dyDescent="0.2">
      <c r="A34" s="35" t="s">
        <v>62</v>
      </c>
      <c r="B34" s="107">
        <v>0.8</v>
      </c>
      <c r="C34" s="107" t="e">
        <v>#DIV/0!</v>
      </c>
      <c r="D34" s="53">
        <v>1</v>
      </c>
      <c r="E34" s="53">
        <v>1</v>
      </c>
      <c r="F34" s="53">
        <v>1</v>
      </c>
      <c r="G34" s="53">
        <v>1</v>
      </c>
      <c r="H34" s="53">
        <v>0.2</v>
      </c>
      <c r="I34" s="53">
        <v>1</v>
      </c>
      <c r="J34" s="53">
        <v>1</v>
      </c>
      <c r="K34" s="53">
        <v>1</v>
      </c>
      <c r="L34" s="53">
        <v>1</v>
      </c>
      <c r="M34" s="53">
        <v>1</v>
      </c>
      <c r="N34" s="53">
        <v>1</v>
      </c>
      <c r="O34" s="53">
        <v>1</v>
      </c>
      <c r="P34" s="53" t="e">
        <v>#DIV/0!</v>
      </c>
      <c r="Q34" s="53">
        <v>1</v>
      </c>
      <c r="R34" s="53">
        <v>1</v>
      </c>
      <c r="S34" s="53">
        <v>1</v>
      </c>
      <c r="T34" s="53">
        <v>0.8</v>
      </c>
      <c r="U34" s="53">
        <v>1</v>
      </c>
      <c r="V34" s="53">
        <v>1</v>
      </c>
      <c r="W34" s="53">
        <v>0.8</v>
      </c>
      <c r="X34" s="53">
        <v>0.6</v>
      </c>
      <c r="Y34" s="53">
        <v>1</v>
      </c>
      <c r="Z34" s="53">
        <v>1</v>
      </c>
      <c r="AA34" s="53">
        <v>1</v>
      </c>
      <c r="AB34" s="53">
        <v>1</v>
      </c>
      <c r="AC34" s="53" t="e">
        <v>#DIV/0!</v>
      </c>
      <c r="AD34" s="53">
        <v>0.8</v>
      </c>
      <c r="AE34" s="48">
        <v>93.023333333333341</v>
      </c>
    </row>
    <row r="35" spans="1:31" x14ac:dyDescent="0.2">
      <c r="A35" s="35" t="s">
        <v>53</v>
      </c>
      <c r="B35" s="107">
        <v>1</v>
      </c>
      <c r="C35" s="107" t="e">
        <v>#DIV/0!</v>
      </c>
      <c r="D35" s="53">
        <v>0.8</v>
      </c>
      <c r="E35" s="53">
        <v>1</v>
      </c>
      <c r="F35" s="53">
        <v>1</v>
      </c>
      <c r="G35" s="53">
        <v>1</v>
      </c>
      <c r="H35" s="53">
        <v>1</v>
      </c>
      <c r="I35" s="53">
        <v>1</v>
      </c>
      <c r="J35" s="53">
        <v>1</v>
      </c>
      <c r="K35" s="53">
        <v>1</v>
      </c>
      <c r="L35" s="53">
        <v>1</v>
      </c>
      <c r="M35" s="53">
        <v>1</v>
      </c>
      <c r="N35" s="53">
        <v>1</v>
      </c>
      <c r="O35" s="53">
        <v>1</v>
      </c>
      <c r="P35" s="53">
        <v>1</v>
      </c>
      <c r="Q35" s="53">
        <v>1</v>
      </c>
      <c r="R35" s="53">
        <v>1</v>
      </c>
      <c r="S35" s="53">
        <v>1</v>
      </c>
      <c r="T35" s="53">
        <v>1</v>
      </c>
      <c r="U35" s="53">
        <v>1</v>
      </c>
      <c r="V35" s="53" t="e">
        <v>#DIV/0!</v>
      </c>
      <c r="W35" s="53">
        <v>0.8</v>
      </c>
      <c r="X35" s="53">
        <v>1</v>
      </c>
      <c r="Y35" s="53">
        <v>1</v>
      </c>
      <c r="Z35" s="53">
        <v>1</v>
      </c>
      <c r="AA35" s="53">
        <v>1</v>
      </c>
      <c r="AB35" s="53">
        <v>0.8</v>
      </c>
      <c r="AC35" s="53" t="e">
        <v>#DIV/0!</v>
      </c>
      <c r="AD35" s="53">
        <v>1</v>
      </c>
      <c r="AE35" s="48">
        <v>98.44</v>
      </c>
    </row>
    <row r="36" spans="1:31" x14ac:dyDescent="0.2">
      <c r="A36" s="35" t="s">
        <v>342</v>
      </c>
      <c r="B36" s="107">
        <v>1</v>
      </c>
      <c r="C36" s="107" t="e">
        <v>#DIV/0!</v>
      </c>
      <c r="D36" s="53">
        <v>1</v>
      </c>
      <c r="E36" s="53">
        <v>1</v>
      </c>
      <c r="F36" s="53">
        <v>0.8571428571428571</v>
      </c>
      <c r="G36" s="53">
        <v>1</v>
      </c>
      <c r="H36" s="53">
        <v>1</v>
      </c>
      <c r="I36" s="53">
        <v>1</v>
      </c>
      <c r="J36" s="53">
        <v>1</v>
      </c>
      <c r="K36" s="53">
        <v>1</v>
      </c>
      <c r="L36" s="53">
        <v>1</v>
      </c>
      <c r="M36" s="53">
        <v>1</v>
      </c>
      <c r="N36" s="53">
        <v>1</v>
      </c>
      <c r="O36" s="53">
        <v>1</v>
      </c>
      <c r="P36" s="53">
        <v>1</v>
      </c>
      <c r="Q36" s="53">
        <v>0.8571428571428571</v>
      </c>
      <c r="R36" s="53">
        <v>1</v>
      </c>
      <c r="S36" s="53">
        <v>1</v>
      </c>
      <c r="T36" s="53">
        <v>1</v>
      </c>
      <c r="U36" s="53">
        <v>0.8571428571428571</v>
      </c>
      <c r="V36" s="53">
        <v>1</v>
      </c>
      <c r="W36" s="53">
        <v>1</v>
      </c>
      <c r="X36" s="53">
        <v>0.8571428571428571</v>
      </c>
      <c r="Y36" s="53">
        <v>1</v>
      </c>
      <c r="Z36" s="53">
        <v>1</v>
      </c>
      <c r="AA36" s="53">
        <v>1</v>
      </c>
      <c r="AB36" s="53">
        <v>0.8571428571428571</v>
      </c>
      <c r="AC36" s="53" t="e">
        <v>#DIV/0!</v>
      </c>
      <c r="AD36" s="53">
        <v>1</v>
      </c>
      <c r="AE36" s="48">
        <v>97.321428571428569</v>
      </c>
    </row>
    <row r="37" spans="1:31" x14ac:dyDescent="0.2">
      <c r="A37" s="35" t="s">
        <v>82</v>
      </c>
      <c r="B37" s="107">
        <v>0.83333333333333337</v>
      </c>
      <c r="C37" s="107">
        <v>1</v>
      </c>
      <c r="D37" s="53">
        <v>1</v>
      </c>
      <c r="E37" s="53">
        <v>1</v>
      </c>
      <c r="F37" s="53">
        <v>0.88888888888888884</v>
      </c>
      <c r="G37" s="53">
        <v>1</v>
      </c>
      <c r="H37" s="53">
        <v>0.88888888888888884</v>
      </c>
      <c r="I37" s="53">
        <v>1</v>
      </c>
      <c r="J37" s="53">
        <v>1</v>
      </c>
      <c r="K37" s="53">
        <v>1</v>
      </c>
      <c r="L37" s="53">
        <v>1</v>
      </c>
      <c r="M37" s="53">
        <v>1</v>
      </c>
      <c r="N37" s="53">
        <v>1</v>
      </c>
      <c r="O37" s="53">
        <v>1</v>
      </c>
      <c r="P37" s="53">
        <v>1</v>
      </c>
      <c r="Q37" s="53">
        <v>0.88888888888888884</v>
      </c>
      <c r="R37" s="53">
        <v>1</v>
      </c>
      <c r="S37" s="53">
        <v>1</v>
      </c>
      <c r="T37" s="53">
        <v>1</v>
      </c>
      <c r="U37" s="53">
        <v>1</v>
      </c>
      <c r="V37" s="53">
        <v>1</v>
      </c>
      <c r="W37" s="53">
        <v>0.44444444444444442</v>
      </c>
      <c r="X37" s="53">
        <v>0.88888888888888884</v>
      </c>
      <c r="Y37" s="53">
        <v>1</v>
      </c>
      <c r="Z37" s="53">
        <v>0.88888888888888884</v>
      </c>
      <c r="AA37" s="53">
        <v>1</v>
      </c>
      <c r="AB37" s="53">
        <v>0.66666666666666663</v>
      </c>
      <c r="AC37" s="53" t="e">
        <v>#DIV/0!</v>
      </c>
      <c r="AD37" s="53">
        <v>1</v>
      </c>
      <c r="AE37" s="48">
        <v>95.772222222222226</v>
      </c>
    </row>
    <row r="38" spans="1:31" x14ac:dyDescent="0.2">
      <c r="A38" s="35" t="s">
        <v>120</v>
      </c>
      <c r="B38" s="107">
        <v>0.66666666666666663</v>
      </c>
      <c r="C38" s="107" t="e">
        <v>#DIV/0!</v>
      </c>
      <c r="D38" s="53">
        <v>1</v>
      </c>
      <c r="E38" s="53">
        <v>1</v>
      </c>
      <c r="F38" s="53">
        <v>1</v>
      </c>
      <c r="G38" s="53">
        <v>1</v>
      </c>
      <c r="H38" s="53">
        <v>1</v>
      </c>
      <c r="I38" s="53">
        <v>1</v>
      </c>
      <c r="J38" s="53">
        <v>1</v>
      </c>
      <c r="K38" s="53">
        <v>1</v>
      </c>
      <c r="L38" s="53">
        <v>1</v>
      </c>
      <c r="M38" s="53">
        <v>1</v>
      </c>
      <c r="N38" s="53">
        <v>1</v>
      </c>
      <c r="O38" s="53">
        <v>1</v>
      </c>
      <c r="P38" s="53">
        <v>1</v>
      </c>
      <c r="Q38" s="53">
        <v>1</v>
      </c>
      <c r="R38" s="53">
        <v>1</v>
      </c>
      <c r="S38" s="53">
        <v>1</v>
      </c>
      <c r="T38" s="53">
        <v>0.66666666666666663</v>
      </c>
      <c r="U38" s="53">
        <v>1</v>
      </c>
      <c r="V38" s="53" t="e">
        <v>#DIV/0!</v>
      </c>
      <c r="W38" s="53">
        <v>1</v>
      </c>
      <c r="X38" s="53">
        <v>1</v>
      </c>
      <c r="Y38" s="53">
        <v>1</v>
      </c>
      <c r="Z38" s="53">
        <v>1</v>
      </c>
      <c r="AA38" s="53">
        <v>1</v>
      </c>
      <c r="AB38" s="53">
        <v>1</v>
      </c>
      <c r="AC38" s="53" t="e">
        <v>#DIV/0!</v>
      </c>
      <c r="AD38" s="53">
        <v>0.66666666666666663</v>
      </c>
      <c r="AE38" s="48">
        <v>95.149999999999991</v>
      </c>
    </row>
    <row r="39" spans="1:31" x14ac:dyDescent="0.2">
      <c r="A39" s="35" t="s">
        <v>68</v>
      </c>
      <c r="B39" s="107">
        <v>1</v>
      </c>
      <c r="C39" s="107" t="e">
        <v>#DIV/0!</v>
      </c>
      <c r="D39" s="53">
        <v>0.83333333333333337</v>
      </c>
      <c r="E39" s="53">
        <v>1</v>
      </c>
      <c r="F39" s="53">
        <v>1</v>
      </c>
      <c r="G39" s="53">
        <v>1</v>
      </c>
      <c r="H39" s="53">
        <v>1</v>
      </c>
      <c r="I39" s="53">
        <v>1</v>
      </c>
      <c r="J39" s="53">
        <v>0.83333333333333337</v>
      </c>
      <c r="K39" s="53">
        <v>1</v>
      </c>
      <c r="L39" s="53">
        <v>1</v>
      </c>
      <c r="M39" s="53">
        <v>1</v>
      </c>
      <c r="N39" s="53">
        <v>1</v>
      </c>
      <c r="O39" s="53">
        <v>1</v>
      </c>
      <c r="P39" s="53">
        <v>1</v>
      </c>
      <c r="Q39" s="53">
        <v>1</v>
      </c>
      <c r="R39" s="53">
        <v>1</v>
      </c>
      <c r="S39" s="53">
        <v>1</v>
      </c>
      <c r="T39" s="53">
        <v>1</v>
      </c>
      <c r="U39" s="53">
        <v>1</v>
      </c>
      <c r="V39" s="53">
        <v>0</v>
      </c>
      <c r="W39" s="53">
        <v>1</v>
      </c>
      <c r="X39" s="53">
        <v>0.83333333333333337</v>
      </c>
      <c r="Y39" s="53">
        <v>1</v>
      </c>
      <c r="Z39" s="53">
        <v>1</v>
      </c>
      <c r="AA39" s="53">
        <v>1</v>
      </c>
      <c r="AB39" s="53">
        <v>1</v>
      </c>
      <c r="AC39" s="53">
        <v>1</v>
      </c>
      <c r="AD39" s="53">
        <v>1</v>
      </c>
      <c r="AE39" s="48">
        <v>97.144444444444446</v>
      </c>
    </row>
    <row r="40" spans="1:31" x14ac:dyDescent="0.2">
      <c r="A40" s="35" t="s">
        <v>89</v>
      </c>
      <c r="B40" s="107">
        <v>0.25</v>
      </c>
      <c r="C40" s="107">
        <v>1</v>
      </c>
      <c r="D40" s="53">
        <v>1</v>
      </c>
      <c r="E40" s="53">
        <v>1</v>
      </c>
      <c r="F40" s="53">
        <v>1</v>
      </c>
      <c r="G40" s="53">
        <v>1</v>
      </c>
      <c r="H40" s="53">
        <v>0.75</v>
      </c>
      <c r="I40" s="53">
        <v>1</v>
      </c>
      <c r="J40" s="53">
        <v>0.75</v>
      </c>
      <c r="K40" s="53">
        <v>1</v>
      </c>
      <c r="L40" s="53">
        <v>1</v>
      </c>
      <c r="M40" s="53">
        <v>1</v>
      </c>
      <c r="N40" s="53">
        <v>1</v>
      </c>
      <c r="O40" s="53">
        <v>1</v>
      </c>
      <c r="P40" s="53">
        <v>1</v>
      </c>
      <c r="Q40" s="53">
        <v>0.5</v>
      </c>
      <c r="R40" s="53">
        <v>1</v>
      </c>
      <c r="S40" s="53">
        <v>1</v>
      </c>
      <c r="T40" s="53">
        <v>1</v>
      </c>
      <c r="U40" s="53">
        <v>1</v>
      </c>
      <c r="V40" s="53">
        <v>1</v>
      </c>
      <c r="W40" s="53">
        <v>0.75</v>
      </c>
      <c r="X40" s="53">
        <v>1</v>
      </c>
      <c r="Y40" s="53">
        <v>1</v>
      </c>
      <c r="Z40" s="53">
        <v>1</v>
      </c>
      <c r="AA40" s="53">
        <v>1</v>
      </c>
      <c r="AB40" s="53">
        <v>0.75</v>
      </c>
      <c r="AC40" s="53" t="e">
        <v>#DIV/0!</v>
      </c>
      <c r="AD40" s="53">
        <v>0.75</v>
      </c>
      <c r="AE40" s="48">
        <v>90.875</v>
      </c>
    </row>
    <row r="41" spans="1:31" x14ac:dyDescent="0.2">
      <c r="A41" s="35" t="s">
        <v>484</v>
      </c>
      <c r="B41" s="107">
        <v>0.33333333333333331</v>
      </c>
      <c r="C41" s="107" t="e">
        <v>#DIV/0!</v>
      </c>
      <c r="D41" s="53">
        <v>1</v>
      </c>
      <c r="E41" s="53">
        <v>1</v>
      </c>
      <c r="F41" s="53">
        <v>1</v>
      </c>
      <c r="G41" s="53">
        <v>1</v>
      </c>
      <c r="H41" s="53">
        <v>1</v>
      </c>
      <c r="I41" s="53">
        <v>1</v>
      </c>
      <c r="J41" s="53">
        <v>1</v>
      </c>
      <c r="K41" s="53">
        <v>1</v>
      </c>
      <c r="L41" s="53">
        <v>1</v>
      </c>
      <c r="M41" s="53">
        <v>1</v>
      </c>
      <c r="N41" s="53">
        <v>1</v>
      </c>
      <c r="O41" s="53">
        <v>1</v>
      </c>
      <c r="P41" s="53" t="e">
        <v>#DIV/0!</v>
      </c>
      <c r="Q41" s="53">
        <v>1</v>
      </c>
      <c r="R41" s="53">
        <v>1</v>
      </c>
      <c r="S41" s="53">
        <v>1</v>
      </c>
      <c r="T41" s="53">
        <v>1</v>
      </c>
      <c r="U41" s="53">
        <v>1</v>
      </c>
      <c r="V41" s="53" t="e">
        <v>#DIV/0!</v>
      </c>
      <c r="W41" s="53">
        <v>1</v>
      </c>
      <c r="X41" s="53">
        <v>1</v>
      </c>
      <c r="Y41" s="53">
        <v>1</v>
      </c>
      <c r="Z41" s="53">
        <v>1</v>
      </c>
      <c r="AA41" s="53">
        <v>1</v>
      </c>
      <c r="AB41" s="53">
        <v>0.66666666666666663</v>
      </c>
      <c r="AC41" s="53" t="e">
        <v>#DIV/0!</v>
      </c>
      <c r="AD41" s="53">
        <v>1</v>
      </c>
      <c r="AE41" s="48">
        <v>96.833333333333329</v>
      </c>
    </row>
    <row r="42" spans="1:31" x14ac:dyDescent="0.2">
      <c r="A42" s="35" t="s">
        <v>201</v>
      </c>
      <c r="B42" s="107">
        <v>1</v>
      </c>
      <c r="C42" s="107" t="e">
        <v>#DIV/0!</v>
      </c>
      <c r="D42" s="53">
        <v>1</v>
      </c>
      <c r="E42" s="53">
        <v>1</v>
      </c>
      <c r="F42" s="53">
        <v>1</v>
      </c>
      <c r="G42" s="53">
        <v>1</v>
      </c>
      <c r="H42" s="53">
        <v>1</v>
      </c>
      <c r="I42" s="53">
        <v>1</v>
      </c>
      <c r="J42" s="53">
        <v>1</v>
      </c>
      <c r="K42" s="53">
        <v>1</v>
      </c>
      <c r="L42" s="53">
        <v>1</v>
      </c>
      <c r="M42" s="53">
        <v>1</v>
      </c>
      <c r="N42" s="53">
        <v>1</v>
      </c>
      <c r="O42" s="53">
        <v>1</v>
      </c>
      <c r="P42" s="53">
        <v>1</v>
      </c>
      <c r="Q42" s="53">
        <v>1</v>
      </c>
      <c r="R42" s="53">
        <v>1</v>
      </c>
      <c r="S42" s="53">
        <v>1</v>
      </c>
      <c r="T42" s="53">
        <v>1</v>
      </c>
      <c r="U42" s="53">
        <v>1</v>
      </c>
      <c r="V42" s="53" t="e">
        <v>#DIV/0!</v>
      </c>
      <c r="W42" s="53">
        <v>1</v>
      </c>
      <c r="X42" s="53">
        <v>1</v>
      </c>
      <c r="Y42" s="53">
        <v>1</v>
      </c>
      <c r="Z42" s="53">
        <v>1</v>
      </c>
      <c r="AA42" s="53">
        <v>1</v>
      </c>
      <c r="AB42" s="53">
        <v>1</v>
      </c>
      <c r="AC42" s="53" t="e">
        <v>#DIV/0!</v>
      </c>
      <c r="AD42" s="53">
        <v>1</v>
      </c>
      <c r="AE42" s="48">
        <v>100</v>
      </c>
    </row>
    <row r="43" spans="1:31" x14ac:dyDescent="0.2">
      <c r="A43" s="35" t="s">
        <v>505</v>
      </c>
      <c r="B43" s="107">
        <v>0.75</v>
      </c>
      <c r="C43" s="107" t="e">
        <v>#DIV/0!</v>
      </c>
      <c r="D43" s="53">
        <v>1</v>
      </c>
      <c r="E43" s="53">
        <v>1</v>
      </c>
      <c r="F43" s="53">
        <v>1</v>
      </c>
      <c r="G43" s="53">
        <v>1</v>
      </c>
      <c r="H43" s="53">
        <v>0.25</v>
      </c>
      <c r="I43" s="53">
        <v>1</v>
      </c>
      <c r="J43" s="53">
        <v>1</v>
      </c>
      <c r="K43" s="53">
        <v>1</v>
      </c>
      <c r="L43" s="53">
        <v>1</v>
      </c>
      <c r="M43" s="53">
        <v>1</v>
      </c>
      <c r="N43" s="53">
        <v>1</v>
      </c>
      <c r="O43" s="53">
        <v>1</v>
      </c>
      <c r="P43" s="53" t="e">
        <v>#DIV/0!</v>
      </c>
      <c r="Q43" s="53">
        <v>1</v>
      </c>
      <c r="R43" s="53">
        <v>1</v>
      </c>
      <c r="S43" s="53">
        <v>1</v>
      </c>
      <c r="T43" s="53">
        <v>1</v>
      </c>
      <c r="U43" s="53">
        <v>1</v>
      </c>
      <c r="V43" s="53">
        <v>1</v>
      </c>
      <c r="W43" s="53">
        <v>1</v>
      </c>
      <c r="X43" s="53">
        <v>0.75</v>
      </c>
      <c r="Y43" s="53">
        <v>1</v>
      </c>
      <c r="Z43" s="53">
        <v>1</v>
      </c>
      <c r="AA43" s="53">
        <v>1</v>
      </c>
      <c r="AB43" s="53">
        <v>1</v>
      </c>
      <c r="AC43" s="53">
        <v>1</v>
      </c>
      <c r="AD43" s="53">
        <v>0.75</v>
      </c>
      <c r="AE43" s="48">
        <v>94.125</v>
      </c>
    </row>
    <row r="44" spans="1:31" x14ac:dyDescent="0.2">
      <c r="A44" s="10" t="s">
        <v>411</v>
      </c>
      <c r="B44" s="107">
        <v>0.875</v>
      </c>
      <c r="C44" s="107">
        <v>1</v>
      </c>
      <c r="D44" s="53">
        <v>0.98734177215189878</v>
      </c>
      <c r="E44" s="53">
        <v>1</v>
      </c>
      <c r="F44" s="53">
        <v>1</v>
      </c>
      <c r="G44" s="53">
        <v>0.77215189873417722</v>
      </c>
      <c r="H44" s="53">
        <v>0.77922077922077926</v>
      </c>
      <c r="I44" s="53">
        <v>0.97468354430379744</v>
      </c>
      <c r="J44" s="53">
        <v>0.98684210526315785</v>
      </c>
      <c r="K44" s="53">
        <v>0.98734177215189878</v>
      </c>
      <c r="L44" s="53">
        <v>0.98734177215189878</v>
      </c>
      <c r="M44" s="53">
        <v>0.98734177215189878</v>
      </c>
      <c r="N44" s="53">
        <v>0.96103896103896103</v>
      </c>
      <c r="O44" s="53">
        <v>0.98717948717948723</v>
      </c>
      <c r="P44" s="53">
        <v>1</v>
      </c>
      <c r="Q44" s="53">
        <v>0.96103896103896103</v>
      </c>
      <c r="R44" s="53">
        <v>0.97368421052631582</v>
      </c>
      <c r="S44" s="53">
        <v>1</v>
      </c>
      <c r="T44" s="53">
        <v>0.92307692307692313</v>
      </c>
      <c r="U44" s="53">
        <v>0.98717948717948723</v>
      </c>
      <c r="V44" s="53">
        <v>0.91666666666666663</v>
      </c>
      <c r="W44" s="53">
        <v>0.82894736842105265</v>
      </c>
      <c r="X44" s="53">
        <v>0.86111111111111116</v>
      </c>
      <c r="Y44" s="53">
        <v>0.98734177215189878</v>
      </c>
      <c r="Z44" s="53">
        <v>0.98734177215189878</v>
      </c>
      <c r="AA44" s="53">
        <v>0.98684210526315785</v>
      </c>
      <c r="AB44" s="53">
        <v>0.88157894736842102</v>
      </c>
      <c r="AC44" s="53">
        <v>1</v>
      </c>
      <c r="AD44" s="53">
        <v>0.92307692307692313</v>
      </c>
      <c r="AE44" s="48">
        <v>94.308596466824312</v>
      </c>
    </row>
    <row r="45" spans="1:31" x14ac:dyDescent="0.2">
      <c r="A45" s="35" t="s">
        <v>96</v>
      </c>
      <c r="B45" s="107">
        <v>1</v>
      </c>
      <c r="C45" s="107" t="e">
        <v>#DIV/0!</v>
      </c>
      <c r="D45" s="53">
        <v>1</v>
      </c>
      <c r="E45" s="53">
        <v>1</v>
      </c>
      <c r="F45" s="53">
        <v>1</v>
      </c>
      <c r="G45" s="53">
        <v>1</v>
      </c>
      <c r="H45" s="53">
        <v>1</v>
      </c>
      <c r="I45" s="53">
        <v>0.8571428571428571</v>
      </c>
      <c r="J45" s="53">
        <v>1</v>
      </c>
      <c r="K45" s="53">
        <v>1</v>
      </c>
      <c r="L45" s="53">
        <v>1</v>
      </c>
      <c r="M45" s="53">
        <v>1</v>
      </c>
      <c r="N45" s="53">
        <v>1</v>
      </c>
      <c r="O45" s="53">
        <v>1</v>
      </c>
      <c r="P45" s="53">
        <v>1</v>
      </c>
      <c r="Q45" s="53">
        <v>1</v>
      </c>
      <c r="R45" s="53">
        <v>1</v>
      </c>
      <c r="S45" s="53">
        <v>1</v>
      </c>
      <c r="T45" s="53">
        <v>0.8571428571428571</v>
      </c>
      <c r="U45" s="53">
        <v>1</v>
      </c>
      <c r="V45" s="53">
        <v>1</v>
      </c>
      <c r="W45" s="53">
        <v>1</v>
      </c>
      <c r="X45" s="53">
        <v>1</v>
      </c>
      <c r="Y45" s="53">
        <v>1</v>
      </c>
      <c r="Z45" s="53">
        <v>1</v>
      </c>
      <c r="AA45" s="53">
        <v>1</v>
      </c>
      <c r="AB45" s="53">
        <v>1</v>
      </c>
      <c r="AC45" s="53" t="e">
        <v>#DIV/0!</v>
      </c>
      <c r="AD45" s="53">
        <v>1</v>
      </c>
      <c r="AE45" s="48">
        <v>99.45714285714287</v>
      </c>
    </row>
    <row r="46" spans="1:31" x14ac:dyDescent="0.2">
      <c r="A46" s="35" t="s">
        <v>109</v>
      </c>
      <c r="B46" s="107">
        <v>0.83333333333333337</v>
      </c>
      <c r="C46" s="107">
        <v>1</v>
      </c>
      <c r="D46" s="53">
        <v>1</v>
      </c>
      <c r="E46" s="53">
        <v>1</v>
      </c>
      <c r="F46" s="53">
        <v>1</v>
      </c>
      <c r="G46" s="53">
        <v>0.14285714285714285</v>
      </c>
      <c r="H46" s="53">
        <v>0.42857142857142855</v>
      </c>
      <c r="I46" s="53">
        <v>1</v>
      </c>
      <c r="J46" s="53">
        <v>0.83333333333333337</v>
      </c>
      <c r="K46" s="53">
        <v>1</v>
      </c>
      <c r="L46" s="53">
        <v>1</v>
      </c>
      <c r="M46" s="53">
        <v>1</v>
      </c>
      <c r="N46" s="53">
        <v>1</v>
      </c>
      <c r="O46" s="53">
        <v>0.8571428571428571</v>
      </c>
      <c r="P46" s="53">
        <v>1</v>
      </c>
      <c r="Q46" s="53">
        <v>1</v>
      </c>
      <c r="R46" s="53">
        <v>1</v>
      </c>
      <c r="S46" s="53">
        <v>1</v>
      </c>
      <c r="T46" s="53">
        <v>0.8571428571428571</v>
      </c>
      <c r="U46" s="53">
        <v>1</v>
      </c>
      <c r="V46" s="53">
        <v>0.8</v>
      </c>
      <c r="W46" s="53">
        <v>0.4</v>
      </c>
      <c r="X46" s="53">
        <v>0.8</v>
      </c>
      <c r="Y46" s="53">
        <v>0.8571428571428571</v>
      </c>
      <c r="Z46" s="53">
        <v>1</v>
      </c>
      <c r="AA46" s="53">
        <v>1</v>
      </c>
      <c r="AB46" s="53">
        <v>0.25</v>
      </c>
      <c r="AC46" s="53" t="e">
        <v>#DIV/0!</v>
      </c>
      <c r="AD46" s="53">
        <v>0.8571428571428571</v>
      </c>
      <c r="AE46" s="48">
        <v>85.842857142857156</v>
      </c>
    </row>
    <row r="47" spans="1:31" x14ac:dyDescent="0.2">
      <c r="A47" s="35" t="s">
        <v>101</v>
      </c>
      <c r="B47" s="107">
        <v>1</v>
      </c>
      <c r="C47" s="107" t="e">
        <v>#DIV/0!</v>
      </c>
      <c r="D47" s="53">
        <v>0.83333333333333337</v>
      </c>
      <c r="E47" s="53">
        <v>1</v>
      </c>
      <c r="F47" s="53">
        <v>1</v>
      </c>
      <c r="G47" s="53">
        <v>0.66666666666666663</v>
      </c>
      <c r="H47" s="53">
        <v>0.66666666666666663</v>
      </c>
      <c r="I47" s="53">
        <v>0.83333333333333337</v>
      </c>
      <c r="J47" s="53">
        <v>1</v>
      </c>
      <c r="K47" s="53">
        <v>1</v>
      </c>
      <c r="L47" s="53">
        <v>1</v>
      </c>
      <c r="M47" s="53">
        <v>1</v>
      </c>
      <c r="N47" s="53">
        <v>1</v>
      </c>
      <c r="O47" s="53">
        <v>1</v>
      </c>
      <c r="P47" s="53">
        <v>1</v>
      </c>
      <c r="Q47" s="53">
        <v>0.83333333333333337</v>
      </c>
      <c r="R47" s="53">
        <v>1</v>
      </c>
      <c r="S47" s="53">
        <v>1</v>
      </c>
      <c r="T47" s="53">
        <v>1</v>
      </c>
      <c r="U47" s="53">
        <v>1</v>
      </c>
      <c r="V47" s="53">
        <v>0.75</v>
      </c>
      <c r="W47" s="53">
        <v>1</v>
      </c>
      <c r="X47" s="53">
        <v>0.66666666666666663</v>
      </c>
      <c r="Y47" s="53">
        <v>1</v>
      </c>
      <c r="Z47" s="53">
        <v>1</v>
      </c>
      <c r="AA47" s="53">
        <v>1</v>
      </c>
      <c r="AB47" s="53">
        <v>1</v>
      </c>
      <c r="AC47" s="53">
        <v>1</v>
      </c>
      <c r="AD47" s="53">
        <v>0.83333333333333337</v>
      </c>
      <c r="AE47" s="48">
        <v>92.547222222222217</v>
      </c>
    </row>
    <row r="48" spans="1:31" x14ac:dyDescent="0.2">
      <c r="A48" s="35" t="s">
        <v>135</v>
      </c>
      <c r="B48" s="107">
        <v>0.6</v>
      </c>
      <c r="C48" s="107" t="e">
        <v>#DIV/0!</v>
      </c>
      <c r="D48" s="53">
        <v>1</v>
      </c>
      <c r="E48" s="53">
        <v>1</v>
      </c>
      <c r="F48" s="53">
        <v>1</v>
      </c>
      <c r="G48" s="53">
        <v>0</v>
      </c>
      <c r="H48" s="53">
        <v>0.5</v>
      </c>
      <c r="I48" s="53">
        <v>1</v>
      </c>
      <c r="J48" s="53">
        <v>1</v>
      </c>
      <c r="K48" s="53">
        <v>1</v>
      </c>
      <c r="L48" s="53">
        <v>0.8</v>
      </c>
      <c r="M48" s="53">
        <v>1</v>
      </c>
      <c r="N48" s="53">
        <v>0.8</v>
      </c>
      <c r="O48" s="53">
        <v>1</v>
      </c>
      <c r="P48" s="53" t="e">
        <v>#DIV/0!</v>
      </c>
      <c r="Q48" s="53">
        <v>1</v>
      </c>
      <c r="R48" s="53">
        <v>1</v>
      </c>
      <c r="S48" s="53">
        <v>1</v>
      </c>
      <c r="T48" s="53">
        <v>0.8</v>
      </c>
      <c r="U48" s="53">
        <v>1</v>
      </c>
      <c r="V48" s="53">
        <v>1</v>
      </c>
      <c r="W48" s="53">
        <v>0.4</v>
      </c>
      <c r="X48" s="53">
        <v>0.66666666666666663</v>
      </c>
      <c r="Y48" s="53">
        <v>1</v>
      </c>
      <c r="Z48" s="53">
        <v>0.8</v>
      </c>
      <c r="AA48" s="53">
        <v>1</v>
      </c>
      <c r="AB48" s="53">
        <v>0.6</v>
      </c>
      <c r="AC48" s="53">
        <v>1</v>
      </c>
      <c r="AD48" s="53">
        <v>0.4</v>
      </c>
      <c r="AE48" s="48">
        <v>80.12</v>
      </c>
    </row>
    <row r="49" spans="1:31" x14ac:dyDescent="0.2">
      <c r="A49" s="35" t="s">
        <v>130</v>
      </c>
      <c r="B49" s="107">
        <v>1</v>
      </c>
      <c r="C49" s="107" t="e">
        <v>#DIV/0!</v>
      </c>
      <c r="D49" s="53">
        <v>1</v>
      </c>
      <c r="E49" s="53">
        <v>1</v>
      </c>
      <c r="F49" s="53">
        <v>1</v>
      </c>
      <c r="G49" s="53">
        <v>0.66666666666666663</v>
      </c>
      <c r="H49" s="53">
        <v>0.66666666666666663</v>
      </c>
      <c r="I49" s="53">
        <v>1</v>
      </c>
      <c r="J49" s="53">
        <v>1</v>
      </c>
      <c r="K49" s="53">
        <v>0.66666666666666663</v>
      </c>
      <c r="L49" s="53">
        <v>1</v>
      </c>
      <c r="M49" s="53">
        <v>1</v>
      </c>
      <c r="N49" s="53">
        <v>1</v>
      </c>
      <c r="O49" s="53">
        <v>1</v>
      </c>
      <c r="P49" s="53" t="e">
        <v>#DIV/0!</v>
      </c>
      <c r="Q49" s="53">
        <v>0.66666666666666663</v>
      </c>
      <c r="R49" s="53">
        <v>0.66666666666666663</v>
      </c>
      <c r="S49" s="53">
        <v>1</v>
      </c>
      <c r="T49" s="53">
        <v>1</v>
      </c>
      <c r="U49" s="53">
        <v>0.66666666666666663</v>
      </c>
      <c r="V49" s="53" t="e">
        <v>#DIV/0!</v>
      </c>
      <c r="W49" s="53">
        <v>0.66666666666666663</v>
      </c>
      <c r="X49" s="53">
        <v>0.66666666666666663</v>
      </c>
      <c r="Y49" s="53">
        <v>1</v>
      </c>
      <c r="Z49" s="53">
        <v>1</v>
      </c>
      <c r="AA49" s="53">
        <v>1</v>
      </c>
      <c r="AB49" s="53">
        <v>0.66666666666666663</v>
      </c>
      <c r="AC49" s="53" t="e">
        <v>#DIV/0!</v>
      </c>
      <c r="AD49" s="53">
        <v>0.66666666666666663</v>
      </c>
      <c r="AE49" s="48">
        <v>85.5</v>
      </c>
    </row>
    <row r="50" spans="1:31" x14ac:dyDescent="0.2">
      <c r="A50" s="35" t="s">
        <v>42</v>
      </c>
      <c r="B50" s="107">
        <v>1</v>
      </c>
      <c r="C50" s="107">
        <v>1</v>
      </c>
      <c r="D50" s="53">
        <v>1</v>
      </c>
      <c r="E50" s="53">
        <v>1</v>
      </c>
      <c r="F50" s="53">
        <v>1</v>
      </c>
      <c r="G50" s="53">
        <v>1</v>
      </c>
      <c r="H50" s="53">
        <v>1</v>
      </c>
      <c r="I50" s="53">
        <v>1</v>
      </c>
      <c r="J50" s="53">
        <v>1</v>
      </c>
      <c r="K50" s="53">
        <v>1</v>
      </c>
      <c r="L50" s="53">
        <v>1</v>
      </c>
      <c r="M50" s="53">
        <v>1</v>
      </c>
      <c r="N50" s="53">
        <v>1</v>
      </c>
      <c r="O50" s="53">
        <v>1</v>
      </c>
      <c r="P50" s="53">
        <v>1</v>
      </c>
      <c r="Q50" s="53">
        <v>0.83333333333333337</v>
      </c>
      <c r="R50" s="53">
        <v>1</v>
      </c>
      <c r="S50" s="53">
        <v>1</v>
      </c>
      <c r="T50" s="53">
        <v>1</v>
      </c>
      <c r="U50" s="53">
        <v>1</v>
      </c>
      <c r="V50" s="53">
        <v>1</v>
      </c>
      <c r="W50" s="53">
        <v>1</v>
      </c>
      <c r="X50" s="53">
        <v>1</v>
      </c>
      <c r="Y50" s="53">
        <v>1</v>
      </c>
      <c r="Z50" s="53">
        <v>1</v>
      </c>
      <c r="AA50" s="53">
        <v>0.83333333333333337</v>
      </c>
      <c r="AB50" s="53">
        <v>1</v>
      </c>
      <c r="AC50" s="53" t="e">
        <v>#DIV/0!</v>
      </c>
      <c r="AD50" s="53">
        <v>1</v>
      </c>
      <c r="AE50" s="48">
        <v>98.333333333333329</v>
      </c>
    </row>
    <row r="51" spans="1:31" x14ac:dyDescent="0.2">
      <c r="A51" s="35" t="s">
        <v>93</v>
      </c>
      <c r="B51" s="107">
        <v>1</v>
      </c>
      <c r="C51" s="107" t="e">
        <v>#DIV/0!</v>
      </c>
      <c r="D51" s="53">
        <v>1</v>
      </c>
      <c r="E51" s="53">
        <v>1</v>
      </c>
      <c r="F51" s="53">
        <v>1</v>
      </c>
      <c r="G51" s="53">
        <v>1</v>
      </c>
      <c r="H51" s="53">
        <v>1</v>
      </c>
      <c r="I51" s="53">
        <v>1</v>
      </c>
      <c r="J51" s="53">
        <v>1</v>
      </c>
      <c r="K51" s="53">
        <v>1</v>
      </c>
      <c r="L51" s="53">
        <v>1</v>
      </c>
      <c r="M51" s="53">
        <v>1</v>
      </c>
      <c r="N51" s="53">
        <v>0.75</v>
      </c>
      <c r="O51" s="53">
        <v>1</v>
      </c>
      <c r="P51" s="53" t="e">
        <v>#DIV/0!</v>
      </c>
      <c r="Q51" s="53">
        <v>1</v>
      </c>
      <c r="R51" s="53">
        <v>1</v>
      </c>
      <c r="S51" s="53">
        <v>1</v>
      </c>
      <c r="T51" s="53">
        <v>1</v>
      </c>
      <c r="U51" s="53">
        <v>1</v>
      </c>
      <c r="V51" s="53">
        <v>1</v>
      </c>
      <c r="W51" s="53">
        <v>0.5</v>
      </c>
      <c r="X51" s="53">
        <v>1</v>
      </c>
      <c r="Y51" s="53">
        <v>1</v>
      </c>
      <c r="Z51" s="53">
        <v>1</v>
      </c>
      <c r="AA51" s="53">
        <v>1</v>
      </c>
      <c r="AB51" s="53">
        <v>0.75</v>
      </c>
      <c r="AC51" s="53" t="e">
        <v>#DIV/0!</v>
      </c>
      <c r="AD51" s="53">
        <v>1</v>
      </c>
      <c r="AE51" s="48">
        <v>96.75</v>
      </c>
    </row>
    <row r="52" spans="1:31" x14ac:dyDescent="0.2">
      <c r="A52" s="35" t="s">
        <v>78</v>
      </c>
      <c r="B52" s="107">
        <v>0.75</v>
      </c>
      <c r="C52" s="107" t="e">
        <v>#DIV/0!</v>
      </c>
      <c r="D52" s="53">
        <v>1</v>
      </c>
      <c r="E52" s="53">
        <v>1</v>
      </c>
      <c r="F52" s="53">
        <v>1</v>
      </c>
      <c r="G52" s="53">
        <v>0.75</v>
      </c>
      <c r="H52" s="53">
        <v>0.66666666666666663</v>
      </c>
      <c r="I52" s="53">
        <v>1</v>
      </c>
      <c r="J52" s="53">
        <v>1</v>
      </c>
      <c r="K52" s="53">
        <v>1</v>
      </c>
      <c r="L52" s="53">
        <v>1</v>
      </c>
      <c r="M52" s="53">
        <v>1</v>
      </c>
      <c r="N52" s="53">
        <v>1</v>
      </c>
      <c r="O52" s="53">
        <v>1</v>
      </c>
      <c r="P52" s="53">
        <v>1</v>
      </c>
      <c r="Q52" s="53">
        <v>1</v>
      </c>
      <c r="R52" s="53">
        <v>1</v>
      </c>
      <c r="S52" s="53">
        <v>1</v>
      </c>
      <c r="T52" s="53">
        <v>1</v>
      </c>
      <c r="U52" s="53">
        <v>1</v>
      </c>
      <c r="V52" s="53">
        <v>1</v>
      </c>
      <c r="W52" s="53">
        <v>0.75</v>
      </c>
      <c r="X52" s="53">
        <v>1</v>
      </c>
      <c r="Y52" s="53">
        <v>1</v>
      </c>
      <c r="Z52" s="53">
        <v>1</v>
      </c>
      <c r="AA52" s="53">
        <v>1</v>
      </c>
      <c r="AB52" s="53">
        <v>1</v>
      </c>
      <c r="AC52" s="53" t="e">
        <v>#DIV/0!</v>
      </c>
      <c r="AD52" s="53">
        <v>1</v>
      </c>
      <c r="AE52" s="48">
        <v>96.26144688644689</v>
      </c>
    </row>
    <row r="53" spans="1:31" x14ac:dyDescent="0.2">
      <c r="A53" s="35" t="s">
        <v>62</v>
      </c>
      <c r="B53" s="107">
        <v>0.8</v>
      </c>
      <c r="C53" s="107" t="e">
        <v>#DIV/0!</v>
      </c>
      <c r="D53" s="53">
        <v>1</v>
      </c>
      <c r="E53" s="53">
        <v>1</v>
      </c>
      <c r="F53" s="53">
        <v>1</v>
      </c>
      <c r="G53" s="53">
        <v>0.83333333333333337</v>
      </c>
      <c r="H53" s="53">
        <v>0.66666666666666663</v>
      </c>
      <c r="I53" s="53">
        <v>1</v>
      </c>
      <c r="J53" s="53">
        <v>1</v>
      </c>
      <c r="K53" s="53">
        <v>1</v>
      </c>
      <c r="L53" s="53">
        <v>1</v>
      </c>
      <c r="M53" s="53">
        <v>1</v>
      </c>
      <c r="N53" s="53">
        <v>0.83333333333333337</v>
      </c>
      <c r="O53" s="53">
        <v>1</v>
      </c>
      <c r="P53" s="53">
        <v>1</v>
      </c>
      <c r="Q53" s="53">
        <v>1</v>
      </c>
      <c r="R53" s="53">
        <v>1</v>
      </c>
      <c r="S53" s="53">
        <v>1</v>
      </c>
      <c r="T53" s="53">
        <v>0.66666666666666663</v>
      </c>
      <c r="U53" s="53">
        <v>1</v>
      </c>
      <c r="V53" s="53">
        <v>0.75</v>
      </c>
      <c r="W53" s="53">
        <v>1</v>
      </c>
      <c r="X53" s="53">
        <v>0.6</v>
      </c>
      <c r="Y53" s="53">
        <v>1</v>
      </c>
      <c r="Z53" s="53">
        <v>1</v>
      </c>
      <c r="AA53" s="53">
        <v>1</v>
      </c>
      <c r="AB53" s="53">
        <v>1</v>
      </c>
      <c r="AC53" s="53" t="e">
        <v>#DIV/0!</v>
      </c>
      <c r="AD53" s="53">
        <v>1</v>
      </c>
      <c r="AE53" s="48">
        <v>92.941666666666663</v>
      </c>
    </row>
    <row r="54" spans="1:31" x14ac:dyDescent="0.2">
      <c r="A54" s="35" t="s">
        <v>53</v>
      </c>
      <c r="B54" s="107">
        <v>1</v>
      </c>
      <c r="C54" s="107" t="e">
        <v>#DIV/0!</v>
      </c>
      <c r="D54" s="53">
        <v>1</v>
      </c>
      <c r="E54" s="53">
        <v>1</v>
      </c>
      <c r="F54" s="53">
        <v>1</v>
      </c>
      <c r="G54" s="53">
        <v>1</v>
      </c>
      <c r="H54" s="53">
        <v>1</v>
      </c>
      <c r="I54" s="53">
        <v>1</v>
      </c>
      <c r="J54" s="53">
        <v>1</v>
      </c>
      <c r="K54" s="53">
        <v>1</v>
      </c>
      <c r="L54" s="53">
        <v>1</v>
      </c>
      <c r="M54" s="53">
        <v>1</v>
      </c>
      <c r="N54" s="53">
        <v>1</v>
      </c>
      <c r="O54" s="53">
        <v>1</v>
      </c>
      <c r="P54" s="53">
        <v>1</v>
      </c>
      <c r="Q54" s="53">
        <v>1</v>
      </c>
      <c r="R54" s="53">
        <v>1</v>
      </c>
      <c r="S54" s="53">
        <v>1</v>
      </c>
      <c r="T54" s="53">
        <v>1</v>
      </c>
      <c r="U54" s="53">
        <v>1</v>
      </c>
      <c r="V54" s="53">
        <v>1</v>
      </c>
      <c r="W54" s="53">
        <v>1</v>
      </c>
      <c r="X54" s="53">
        <v>1</v>
      </c>
      <c r="Y54" s="53">
        <v>1</v>
      </c>
      <c r="Z54" s="53">
        <v>1</v>
      </c>
      <c r="AA54" s="53">
        <v>1</v>
      </c>
      <c r="AB54" s="53">
        <v>1</v>
      </c>
      <c r="AC54" s="53" t="e">
        <v>#DIV/0!</v>
      </c>
      <c r="AD54" s="53">
        <v>1</v>
      </c>
      <c r="AE54" s="48">
        <v>100</v>
      </c>
    </row>
    <row r="55" spans="1:31" x14ac:dyDescent="0.2">
      <c r="A55" s="35" t="s">
        <v>342</v>
      </c>
      <c r="B55" s="107">
        <v>1</v>
      </c>
      <c r="C55" s="107" t="e">
        <v>#DIV/0!</v>
      </c>
      <c r="D55" s="53">
        <v>1</v>
      </c>
      <c r="E55" s="53">
        <v>1</v>
      </c>
      <c r="F55" s="53">
        <v>1</v>
      </c>
      <c r="G55" s="53">
        <v>1</v>
      </c>
      <c r="H55" s="53">
        <v>1</v>
      </c>
      <c r="I55" s="53">
        <v>1</v>
      </c>
      <c r="J55" s="53">
        <v>1</v>
      </c>
      <c r="K55" s="53">
        <v>1</v>
      </c>
      <c r="L55" s="53">
        <v>1</v>
      </c>
      <c r="M55" s="53">
        <v>1</v>
      </c>
      <c r="N55" s="53">
        <v>1</v>
      </c>
      <c r="O55" s="53">
        <v>1</v>
      </c>
      <c r="P55" s="53">
        <v>1</v>
      </c>
      <c r="Q55" s="53">
        <v>1</v>
      </c>
      <c r="R55" s="53">
        <v>1</v>
      </c>
      <c r="S55" s="53">
        <v>1</v>
      </c>
      <c r="T55" s="53">
        <v>1</v>
      </c>
      <c r="U55" s="53">
        <v>1</v>
      </c>
      <c r="V55" s="53">
        <v>0.8</v>
      </c>
      <c r="W55" s="53">
        <v>1</v>
      </c>
      <c r="X55" s="53">
        <v>1</v>
      </c>
      <c r="Y55" s="53">
        <v>1</v>
      </c>
      <c r="Z55" s="53">
        <v>1</v>
      </c>
      <c r="AA55" s="53">
        <v>1</v>
      </c>
      <c r="AB55" s="53">
        <v>1</v>
      </c>
      <c r="AC55" s="53">
        <v>1</v>
      </c>
      <c r="AD55" s="53">
        <v>1</v>
      </c>
      <c r="AE55" s="48">
        <v>99</v>
      </c>
    </row>
    <row r="56" spans="1:31" x14ac:dyDescent="0.2">
      <c r="A56" s="35" t="s">
        <v>82</v>
      </c>
      <c r="B56" s="107">
        <v>0</v>
      </c>
      <c r="C56" s="107">
        <v>1</v>
      </c>
      <c r="D56" s="53">
        <v>1</v>
      </c>
      <c r="E56" s="53">
        <v>1</v>
      </c>
      <c r="F56" s="53">
        <v>1</v>
      </c>
      <c r="G56" s="53">
        <v>0.75</v>
      </c>
      <c r="H56" s="53">
        <v>0.5</v>
      </c>
      <c r="I56" s="53">
        <v>1</v>
      </c>
      <c r="J56" s="53">
        <v>1</v>
      </c>
      <c r="K56" s="53">
        <v>1</v>
      </c>
      <c r="L56" s="53">
        <v>1</v>
      </c>
      <c r="M56" s="53">
        <v>1</v>
      </c>
      <c r="N56" s="53">
        <v>1</v>
      </c>
      <c r="O56" s="53">
        <v>1</v>
      </c>
      <c r="P56" s="53">
        <v>1</v>
      </c>
      <c r="Q56" s="53">
        <v>1</v>
      </c>
      <c r="R56" s="53">
        <v>1</v>
      </c>
      <c r="S56" s="53">
        <v>1</v>
      </c>
      <c r="T56" s="53">
        <v>1</v>
      </c>
      <c r="U56" s="53">
        <v>1</v>
      </c>
      <c r="V56" s="53">
        <v>1</v>
      </c>
      <c r="W56" s="53">
        <v>0.25</v>
      </c>
      <c r="X56" s="53">
        <v>1</v>
      </c>
      <c r="Y56" s="53">
        <v>1</v>
      </c>
      <c r="Z56" s="53">
        <v>1</v>
      </c>
      <c r="AA56" s="53">
        <v>1</v>
      </c>
      <c r="AB56" s="53">
        <v>0.75</v>
      </c>
      <c r="AC56" s="53" t="e">
        <v>#DIV/0!</v>
      </c>
      <c r="AD56" s="53">
        <v>1</v>
      </c>
      <c r="AE56" s="48">
        <v>91.479166666666671</v>
      </c>
    </row>
    <row r="57" spans="1:31" x14ac:dyDescent="0.2">
      <c r="A57" s="35" t="s">
        <v>120</v>
      </c>
      <c r="B57" s="107">
        <v>1</v>
      </c>
      <c r="C57" s="107" t="e">
        <v>#DIV/0!</v>
      </c>
      <c r="D57" s="53">
        <v>1</v>
      </c>
      <c r="E57" s="53">
        <v>1</v>
      </c>
      <c r="F57" s="53">
        <v>1</v>
      </c>
      <c r="G57" s="53">
        <v>1</v>
      </c>
      <c r="H57" s="53">
        <v>1</v>
      </c>
      <c r="I57" s="53">
        <v>1</v>
      </c>
      <c r="J57" s="53">
        <v>1</v>
      </c>
      <c r="K57" s="53">
        <v>1</v>
      </c>
      <c r="L57" s="53">
        <v>1</v>
      </c>
      <c r="M57" s="53">
        <v>1</v>
      </c>
      <c r="N57" s="53">
        <v>1</v>
      </c>
      <c r="O57" s="53">
        <v>1</v>
      </c>
      <c r="P57" s="53" t="e">
        <v>#DIV/0!</v>
      </c>
      <c r="Q57" s="53">
        <v>1</v>
      </c>
      <c r="R57" s="53">
        <v>1</v>
      </c>
      <c r="S57" s="53">
        <v>1</v>
      </c>
      <c r="T57" s="53">
        <v>0.5</v>
      </c>
      <c r="U57" s="53">
        <v>1</v>
      </c>
      <c r="V57" s="53">
        <v>1</v>
      </c>
      <c r="W57" s="53">
        <v>1</v>
      </c>
      <c r="X57" s="53">
        <v>1</v>
      </c>
      <c r="Y57" s="53">
        <v>1</v>
      </c>
      <c r="Z57" s="53">
        <v>1</v>
      </c>
      <c r="AA57" s="53">
        <v>1</v>
      </c>
      <c r="AB57" s="53">
        <v>0.5</v>
      </c>
      <c r="AC57" s="53" t="e">
        <v>#DIV/0!</v>
      </c>
      <c r="AD57" s="53">
        <v>1</v>
      </c>
      <c r="AE57" s="48">
        <v>97.1</v>
      </c>
    </row>
    <row r="58" spans="1:31" x14ac:dyDescent="0.2">
      <c r="A58" s="35" t="s">
        <v>68</v>
      </c>
      <c r="B58" s="107">
        <v>1</v>
      </c>
      <c r="C58" s="107" t="e">
        <v>#DIV/0!</v>
      </c>
      <c r="D58" s="53">
        <v>1</v>
      </c>
      <c r="E58" s="53">
        <v>1</v>
      </c>
      <c r="F58" s="53">
        <v>1</v>
      </c>
      <c r="G58" s="53">
        <v>1</v>
      </c>
      <c r="H58" s="53">
        <v>1</v>
      </c>
      <c r="I58" s="53">
        <v>1</v>
      </c>
      <c r="J58" s="53">
        <v>1</v>
      </c>
      <c r="K58" s="53">
        <v>1</v>
      </c>
      <c r="L58" s="53">
        <v>1</v>
      </c>
      <c r="M58" s="53">
        <v>0.66666666666666663</v>
      </c>
      <c r="N58" s="53">
        <v>1</v>
      </c>
      <c r="O58" s="53">
        <v>1</v>
      </c>
      <c r="P58" s="53" t="e">
        <v>#DIV/0!</v>
      </c>
      <c r="Q58" s="53">
        <v>1</v>
      </c>
      <c r="R58" s="53">
        <v>1</v>
      </c>
      <c r="S58" s="53">
        <v>1</v>
      </c>
      <c r="T58" s="53">
        <v>1</v>
      </c>
      <c r="U58" s="53">
        <v>1</v>
      </c>
      <c r="V58" s="53">
        <v>1</v>
      </c>
      <c r="W58" s="53">
        <v>1</v>
      </c>
      <c r="X58" s="53">
        <v>1</v>
      </c>
      <c r="Y58" s="53">
        <v>1</v>
      </c>
      <c r="Z58" s="53">
        <v>1</v>
      </c>
      <c r="AA58" s="53">
        <v>1</v>
      </c>
      <c r="AB58" s="53">
        <v>1</v>
      </c>
      <c r="AC58" s="53" t="e">
        <v>#DIV/0!</v>
      </c>
      <c r="AD58" s="53">
        <v>1</v>
      </c>
      <c r="AE58" s="48">
        <v>99.333333333333329</v>
      </c>
    </row>
    <row r="59" spans="1:31" x14ac:dyDescent="0.2">
      <c r="A59" s="35" t="s">
        <v>89</v>
      </c>
      <c r="B59" s="107">
        <v>1</v>
      </c>
      <c r="C59" s="107" t="e">
        <v>#DIV/0!</v>
      </c>
      <c r="D59" s="53">
        <v>1</v>
      </c>
      <c r="E59" s="53">
        <v>1</v>
      </c>
      <c r="F59" s="53">
        <v>1</v>
      </c>
      <c r="G59" s="53">
        <v>0.5</v>
      </c>
      <c r="H59" s="53">
        <v>1</v>
      </c>
      <c r="I59" s="53">
        <v>1</v>
      </c>
      <c r="J59" s="53">
        <v>1</v>
      </c>
      <c r="K59" s="53">
        <v>1</v>
      </c>
      <c r="L59" s="53">
        <v>1</v>
      </c>
      <c r="M59" s="53">
        <v>1</v>
      </c>
      <c r="N59" s="53">
        <v>1</v>
      </c>
      <c r="O59" s="53">
        <v>1</v>
      </c>
      <c r="P59" s="53">
        <v>1</v>
      </c>
      <c r="Q59" s="53">
        <v>1</v>
      </c>
      <c r="R59" s="53">
        <v>0.5</v>
      </c>
      <c r="S59" s="53">
        <v>1</v>
      </c>
      <c r="T59" s="53">
        <v>1</v>
      </c>
      <c r="U59" s="53">
        <v>1</v>
      </c>
      <c r="V59" s="53">
        <v>1</v>
      </c>
      <c r="W59" s="53">
        <v>1</v>
      </c>
      <c r="X59" s="53">
        <v>1</v>
      </c>
      <c r="Y59" s="53">
        <v>1</v>
      </c>
      <c r="Z59" s="53">
        <v>1</v>
      </c>
      <c r="AA59" s="53">
        <v>1</v>
      </c>
      <c r="AB59" s="53">
        <v>1</v>
      </c>
      <c r="AC59" s="53">
        <v>1</v>
      </c>
      <c r="AD59" s="53">
        <v>1</v>
      </c>
      <c r="AE59" s="48">
        <v>94.166666666666657</v>
      </c>
    </row>
    <row r="60" spans="1:31" x14ac:dyDescent="0.2">
      <c r="A60" s="35" t="s">
        <v>484</v>
      </c>
      <c r="B60" s="107">
        <v>1</v>
      </c>
      <c r="C60" s="107" t="e">
        <v>#DIV/0!</v>
      </c>
      <c r="D60" s="53">
        <v>1</v>
      </c>
      <c r="E60" s="53">
        <v>1</v>
      </c>
      <c r="F60" s="53">
        <v>1</v>
      </c>
      <c r="G60" s="53">
        <v>1</v>
      </c>
      <c r="H60" s="53">
        <v>1</v>
      </c>
      <c r="I60" s="53">
        <v>1</v>
      </c>
      <c r="J60" s="53">
        <v>1</v>
      </c>
      <c r="K60" s="53">
        <v>1</v>
      </c>
      <c r="L60" s="53">
        <v>1</v>
      </c>
      <c r="M60" s="53">
        <v>1</v>
      </c>
      <c r="N60" s="53">
        <v>1</v>
      </c>
      <c r="O60" s="53">
        <v>1</v>
      </c>
      <c r="P60" s="53">
        <v>1</v>
      </c>
      <c r="Q60" s="53">
        <v>1</v>
      </c>
      <c r="R60" s="53">
        <v>1</v>
      </c>
      <c r="S60" s="53">
        <v>1</v>
      </c>
      <c r="T60" s="53">
        <v>1</v>
      </c>
      <c r="U60" s="53">
        <v>1</v>
      </c>
      <c r="V60" s="53">
        <v>1</v>
      </c>
      <c r="W60" s="53">
        <v>1</v>
      </c>
      <c r="X60" s="53">
        <v>1</v>
      </c>
      <c r="Y60" s="53">
        <v>1</v>
      </c>
      <c r="Z60" s="53">
        <v>1</v>
      </c>
      <c r="AA60" s="53">
        <v>1</v>
      </c>
      <c r="AB60" s="53">
        <v>1</v>
      </c>
      <c r="AC60" s="53">
        <v>1</v>
      </c>
      <c r="AD60" s="53">
        <v>1</v>
      </c>
      <c r="AE60" s="48">
        <v>100</v>
      </c>
    </row>
    <row r="61" spans="1:31" x14ac:dyDescent="0.2">
      <c r="A61" s="35" t="s">
        <v>233</v>
      </c>
      <c r="B61" s="107">
        <v>1</v>
      </c>
      <c r="C61" s="107" t="e">
        <v>#DIV/0!</v>
      </c>
      <c r="D61" s="53">
        <v>1</v>
      </c>
      <c r="E61" s="53">
        <v>1</v>
      </c>
      <c r="F61" s="53">
        <v>1</v>
      </c>
      <c r="G61" s="53">
        <v>1</v>
      </c>
      <c r="H61" s="53">
        <v>0.5</v>
      </c>
      <c r="I61" s="53">
        <v>1</v>
      </c>
      <c r="J61" s="53">
        <v>1</v>
      </c>
      <c r="K61" s="53">
        <v>1</v>
      </c>
      <c r="L61" s="53">
        <v>1</v>
      </c>
      <c r="M61" s="53">
        <v>1</v>
      </c>
      <c r="N61" s="53">
        <v>1</v>
      </c>
      <c r="O61" s="53">
        <v>1</v>
      </c>
      <c r="P61" s="53" t="e">
        <v>#DIV/0!</v>
      </c>
      <c r="Q61" s="53">
        <v>1</v>
      </c>
      <c r="R61" s="53">
        <v>1</v>
      </c>
      <c r="S61" s="53">
        <v>1</v>
      </c>
      <c r="T61" s="53">
        <v>1</v>
      </c>
      <c r="U61" s="53">
        <v>1</v>
      </c>
      <c r="V61" s="53">
        <v>1</v>
      </c>
      <c r="W61" s="53">
        <v>1</v>
      </c>
      <c r="X61" s="53">
        <v>0</v>
      </c>
      <c r="Y61" s="53">
        <v>1</v>
      </c>
      <c r="Z61" s="53">
        <v>1</v>
      </c>
      <c r="AA61" s="53">
        <v>1</v>
      </c>
      <c r="AB61" s="53">
        <v>1</v>
      </c>
      <c r="AC61" s="53">
        <v>1</v>
      </c>
      <c r="AD61" s="53">
        <v>1</v>
      </c>
      <c r="AE61" s="48">
        <v>94.75</v>
      </c>
    </row>
    <row r="62" spans="1:31" x14ac:dyDescent="0.2">
      <c r="A62" s="35" t="s">
        <v>201</v>
      </c>
      <c r="B62" s="107">
        <v>1</v>
      </c>
      <c r="C62" s="107" t="e">
        <v>#DIV/0!</v>
      </c>
      <c r="D62" s="53">
        <v>1</v>
      </c>
      <c r="E62" s="53">
        <v>1</v>
      </c>
      <c r="F62" s="53">
        <v>1</v>
      </c>
      <c r="G62" s="53">
        <v>1</v>
      </c>
      <c r="H62" s="53">
        <v>0</v>
      </c>
      <c r="I62" s="53">
        <v>1</v>
      </c>
      <c r="J62" s="53">
        <v>1</v>
      </c>
      <c r="K62" s="53">
        <v>1</v>
      </c>
      <c r="L62" s="53">
        <v>1</v>
      </c>
      <c r="M62" s="53">
        <v>1</v>
      </c>
      <c r="N62" s="53" t="e">
        <v>#DIV/0!</v>
      </c>
      <c r="O62" s="53">
        <v>1</v>
      </c>
      <c r="P62" s="53" t="e">
        <v>#DIV/0!</v>
      </c>
      <c r="Q62" s="53">
        <v>1</v>
      </c>
      <c r="R62" s="53">
        <v>1</v>
      </c>
      <c r="S62" s="53">
        <v>1</v>
      </c>
      <c r="T62" s="53">
        <v>1</v>
      </c>
      <c r="U62" s="53">
        <v>1</v>
      </c>
      <c r="V62" s="53" t="e">
        <v>#DIV/0!</v>
      </c>
      <c r="W62" s="53">
        <v>1</v>
      </c>
      <c r="X62" s="53">
        <v>1</v>
      </c>
      <c r="Y62" s="53">
        <v>1</v>
      </c>
      <c r="Z62" s="53">
        <v>1</v>
      </c>
      <c r="AA62" s="53">
        <v>1</v>
      </c>
      <c r="AB62" s="53">
        <v>1</v>
      </c>
      <c r="AC62" s="53" t="e">
        <v>#DIV/0!</v>
      </c>
      <c r="AD62" s="53">
        <v>1</v>
      </c>
      <c r="AE62" s="48">
        <v>97</v>
      </c>
    </row>
    <row r="63" spans="1:31" x14ac:dyDescent="0.2">
      <c r="A63" s="35" t="s">
        <v>505</v>
      </c>
      <c r="B63" s="107">
        <v>1</v>
      </c>
      <c r="C63" s="107" t="e">
        <v>#DIV/0!</v>
      </c>
      <c r="D63" s="53">
        <v>1</v>
      </c>
      <c r="E63" s="53">
        <v>1</v>
      </c>
      <c r="F63" s="53">
        <v>1</v>
      </c>
      <c r="G63" s="53">
        <v>1</v>
      </c>
      <c r="H63" s="53">
        <v>0.75</v>
      </c>
      <c r="I63" s="53">
        <v>1</v>
      </c>
      <c r="J63" s="53">
        <v>1</v>
      </c>
      <c r="K63" s="53">
        <v>1</v>
      </c>
      <c r="L63" s="53">
        <v>1</v>
      </c>
      <c r="M63" s="53">
        <v>1</v>
      </c>
      <c r="N63" s="53">
        <v>1</v>
      </c>
      <c r="O63" s="53">
        <v>1</v>
      </c>
      <c r="P63" s="53">
        <v>1</v>
      </c>
      <c r="Q63" s="53">
        <v>1</v>
      </c>
      <c r="R63" s="53">
        <v>1</v>
      </c>
      <c r="S63" s="53">
        <v>1</v>
      </c>
      <c r="T63" s="53">
        <v>1</v>
      </c>
      <c r="U63" s="53">
        <v>1</v>
      </c>
      <c r="V63" s="53" t="e">
        <v>#DIV/0!</v>
      </c>
      <c r="W63" s="53">
        <v>1</v>
      </c>
      <c r="X63" s="53">
        <v>0.75</v>
      </c>
      <c r="Y63" s="53">
        <v>1</v>
      </c>
      <c r="Z63" s="53">
        <v>1</v>
      </c>
      <c r="AA63" s="53">
        <v>1</v>
      </c>
      <c r="AB63" s="53">
        <v>1</v>
      </c>
      <c r="AC63" s="53">
        <v>1</v>
      </c>
      <c r="AD63" s="53">
        <v>1</v>
      </c>
      <c r="AE63" s="48">
        <v>98.3125</v>
      </c>
    </row>
    <row r="64" spans="1:31" x14ac:dyDescent="0.2">
      <c r="A64" s="10" t="s">
        <v>413</v>
      </c>
      <c r="B64" s="107">
        <v>1</v>
      </c>
      <c r="C64" s="107">
        <v>1</v>
      </c>
      <c r="D64" s="53">
        <v>1</v>
      </c>
      <c r="E64" s="53">
        <v>1</v>
      </c>
      <c r="F64" s="53">
        <v>0.90909090909090906</v>
      </c>
      <c r="G64" s="53">
        <v>1</v>
      </c>
      <c r="H64" s="53">
        <v>1</v>
      </c>
      <c r="I64" s="53">
        <v>1</v>
      </c>
      <c r="J64" s="53">
        <v>1</v>
      </c>
      <c r="K64" s="53">
        <v>0.90909090909090906</v>
      </c>
      <c r="L64" s="53">
        <v>1</v>
      </c>
      <c r="M64" s="53">
        <v>1</v>
      </c>
      <c r="N64" s="53">
        <v>1</v>
      </c>
      <c r="O64" s="53">
        <v>0.90909090909090906</v>
      </c>
      <c r="P64" s="53">
        <v>1</v>
      </c>
      <c r="Q64" s="53">
        <v>0.90909090909090906</v>
      </c>
      <c r="R64" s="53">
        <v>0.90909090909090906</v>
      </c>
      <c r="S64" s="53">
        <v>1</v>
      </c>
      <c r="T64" s="53">
        <v>0.90909090909090906</v>
      </c>
      <c r="U64" s="53">
        <v>1</v>
      </c>
      <c r="V64" s="53">
        <v>1</v>
      </c>
      <c r="W64" s="53">
        <v>1</v>
      </c>
      <c r="X64" s="53">
        <v>0.54545454545454541</v>
      </c>
      <c r="Y64" s="53">
        <v>0.90909090909090906</v>
      </c>
      <c r="Z64" s="53">
        <v>1</v>
      </c>
      <c r="AA64" s="53">
        <v>0.90909090909090906</v>
      </c>
      <c r="AB64" s="53">
        <v>1</v>
      </c>
      <c r="AC64" s="53">
        <v>1</v>
      </c>
      <c r="AD64" s="53">
        <v>1</v>
      </c>
      <c r="AE64" s="48">
        <v>94.61969696969696</v>
      </c>
    </row>
    <row r="65" spans="1:31" x14ac:dyDescent="0.2">
      <c r="A65" s="35" t="s">
        <v>96</v>
      </c>
      <c r="B65" s="107">
        <v>1</v>
      </c>
      <c r="C65" s="107" t="e">
        <v>#DIV/0!</v>
      </c>
      <c r="D65" s="53">
        <v>1</v>
      </c>
      <c r="E65" s="53">
        <v>1</v>
      </c>
      <c r="F65" s="53">
        <v>0.5</v>
      </c>
      <c r="G65" s="53">
        <v>1</v>
      </c>
      <c r="H65" s="53">
        <v>1</v>
      </c>
      <c r="I65" s="53">
        <v>1</v>
      </c>
      <c r="J65" s="53">
        <v>1</v>
      </c>
      <c r="K65" s="53">
        <v>1</v>
      </c>
      <c r="L65" s="53">
        <v>1</v>
      </c>
      <c r="M65" s="53">
        <v>1</v>
      </c>
      <c r="N65" s="53">
        <v>1</v>
      </c>
      <c r="O65" s="53">
        <v>1</v>
      </c>
      <c r="P65" s="53" t="e">
        <v>#DIV/0!</v>
      </c>
      <c r="Q65" s="53">
        <v>1</v>
      </c>
      <c r="R65" s="53">
        <v>0.5</v>
      </c>
      <c r="S65" s="53">
        <v>1</v>
      </c>
      <c r="T65" s="53">
        <v>1</v>
      </c>
      <c r="U65" s="53">
        <v>1</v>
      </c>
      <c r="V65" s="53">
        <v>1</v>
      </c>
      <c r="W65" s="53">
        <v>1</v>
      </c>
      <c r="X65" s="53">
        <v>0.5</v>
      </c>
      <c r="Y65" s="53">
        <v>1</v>
      </c>
      <c r="Z65" s="53">
        <v>1</v>
      </c>
      <c r="AA65" s="53">
        <v>0.5</v>
      </c>
      <c r="AB65" s="53">
        <v>1</v>
      </c>
      <c r="AC65" s="53" t="e">
        <v>#DIV/0!</v>
      </c>
      <c r="AD65" s="53">
        <v>1</v>
      </c>
      <c r="AE65" s="48">
        <v>88.708333333333343</v>
      </c>
    </row>
    <row r="66" spans="1:31" x14ac:dyDescent="0.2">
      <c r="A66" s="35" t="s">
        <v>109</v>
      </c>
      <c r="B66" s="107">
        <v>1</v>
      </c>
      <c r="C66" s="107" t="e">
        <v>#DIV/0!</v>
      </c>
      <c r="D66" s="53">
        <v>1</v>
      </c>
      <c r="E66" s="53">
        <v>1</v>
      </c>
      <c r="F66" s="53">
        <v>1</v>
      </c>
      <c r="G66" s="53">
        <v>1</v>
      </c>
      <c r="H66" s="53">
        <v>1</v>
      </c>
      <c r="I66" s="53">
        <v>1</v>
      </c>
      <c r="J66" s="53">
        <v>1</v>
      </c>
      <c r="K66" s="53">
        <v>1</v>
      </c>
      <c r="L66" s="53">
        <v>1</v>
      </c>
      <c r="M66" s="53">
        <v>1</v>
      </c>
      <c r="N66" s="53">
        <v>1</v>
      </c>
      <c r="O66" s="53">
        <v>1</v>
      </c>
      <c r="P66" s="53" t="e">
        <v>#DIV/0!</v>
      </c>
      <c r="Q66" s="53">
        <v>1</v>
      </c>
      <c r="R66" s="53">
        <v>1</v>
      </c>
      <c r="S66" s="53">
        <v>1</v>
      </c>
      <c r="T66" s="53">
        <v>0</v>
      </c>
      <c r="U66" s="53">
        <v>1</v>
      </c>
      <c r="V66" s="53" t="e">
        <v>#DIV/0!</v>
      </c>
      <c r="W66" s="53">
        <v>1</v>
      </c>
      <c r="X66" s="53">
        <v>1</v>
      </c>
      <c r="Y66" s="53">
        <v>0</v>
      </c>
      <c r="Z66" s="53">
        <v>1</v>
      </c>
      <c r="AA66" s="53">
        <v>1</v>
      </c>
      <c r="AB66" s="53">
        <v>1</v>
      </c>
      <c r="AC66" s="53">
        <v>1</v>
      </c>
      <c r="AD66" s="53">
        <v>1</v>
      </c>
      <c r="AE66" s="48">
        <v>92.4</v>
      </c>
    </row>
    <row r="67" spans="1:31" x14ac:dyDescent="0.2">
      <c r="A67" s="35" t="s">
        <v>101</v>
      </c>
      <c r="B67" s="107">
        <v>1</v>
      </c>
      <c r="C67" s="107" t="e">
        <v>#DIV/0!</v>
      </c>
      <c r="D67" s="53">
        <v>1</v>
      </c>
      <c r="E67" s="53">
        <v>1</v>
      </c>
      <c r="F67" s="53">
        <v>1</v>
      </c>
      <c r="G67" s="53">
        <v>1</v>
      </c>
      <c r="H67" s="53">
        <v>1</v>
      </c>
      <c r="I67" s="53">
        <v>1</v>
      </c>
      <c r="J67" s="53">
        <v>1</v>
      </c>
      <c r="K67" s="53">
        <v>1</v>
      </c>
      <c r="L67" s="53">
        <v>1</v>
      </c>
      <c r="M67" s="53">
        <v>1</v>
      </c>
      <c r="N67" s="53">
        <v>1</v>
      </c>
      <c r="O67" s="53">
        <v>1</v>
      </c>
      <c r="P67" s="53">
        <v>1</v>
      </c>
      <c r="Q67" s="53">
        <v>1</v>
      </c>
      <c r="R67" s="53">
        <v>1</v>
      </c>
      <c r="S67" s="53">
        <v>1</v>
      </c>
      <c r="T67" s="53">
        <v>1</v>
      </c>
      <c r="U67" s="53">
        <v>1</v>
      </c>
      <c r="V67" s="53">
        <v>1</v>
      </c>
      <c r="W67" s="53">
        <v>1</v>
      </c>
      <c r="X67" s="53">
        <v>0.5</v>
      </c>
      <c r="Y67" s="53">
        <v>1</v>
      </c>
      <c r="Z67" s="53">
        <v>1</v>
      </c>
      <c r="AA67" s="53">
        <v>1</v>
      </c>
      <c r="AB67" s="53">
        <v>1</v>
      </c>
      <c r="AC67" s="53" t="e">
        <v>#DIV/0!</v>
      </c>
      <c r="AD67" s="53">
        <v>1</v>
      </c>
      <c r="AE67" s="48">
        <v>97.5</v>
      </c>
    </row>
    <row r="68" spans="1:31" x14ac:dyDescent="0.2">
      <c r="A68" s="35" t="s">
        <v>93</v>
      </c>
      <c r="B68" s="107">
        <v>1</v>
      </c>
      <c r="C68" s="107">
        <v>1</v>
      </c>
      <c r="D68" s="53">
        <v>1</v>
      </c>
      <c r="E68" s="53">
        <v>1</v>
      </c>
      <c r="F68" s="53">
        <v>1</v>
      </c>
      <c r="G68" s="53">
        <v>1</v>
      </c>
      <c r="H68" s="53">
        <v>1</v>
      </c>
      <c r="I68" s="53">
        <v>1</v>
      </c>
      <c r="J68" s="53" t="e">
        <v>#DIV/0!</v>
      </c>
      <c r="K68" s="53">
        <v>1</v>
      </c>
      <c r="L68" s="53">
        <v>1</v>
      </c>
      <c r="M68" s="53">
        <v>1</v>
      </c>
      <c r="N68" s="53">
        <v>1</v>
      </c>
      <c r="O68" s="53">
        <v>1</v>
      </c>
      <c r="P68" s="53" t="e">
        <v>#DIV/0!</v>
      </c>
      <c r="Q68" s="53">
        <v>1</v>
      </c>
      <c r="R68" s="53">
        <v>1</v>
      </c>
      <c r="S68" s="53">
        <v>1</v>
      </c>
      <c r="T68" s="53">
        <v>1</v>
      </c>
      <c r="U68" s="53">
        <v>1</v>
      </c>
      <c r="V68" s="53" t="e">
        <v>#DIV/0!</v>
      </c>
      <c r="W68" s="53">
        <v>1</v>
      </c>
      <c r="X68" s="53">
        <v>1</v>
      </c>
      <c r="Y68" s="53">
        <v>1</v>
      </c>
      <c r="Z68" s="53">
        <v>1</v>
      </c>
      <c r="AA68" s="53">
        <v>1</v>
      </c>
      <c r="AB68" s="53">
        <v>1</v>
      </c>
      <c r="AC68" s="53" t="e">
        <v>#DIV/0!</v>
      </c>
      <c r="AD68" s="53">
        <v>1</v>
      </c>
      <c r="AE68" s="48">
        <v>100</v>
      </c>
    </row>
    <row r="69" spans="1:31" x14ac:dyDescent="0.2">
      <c r="A69" s="35" t="s">
        <v>62</v>
      </c>
      <c r="B69" s="107">
        <v>1</v>
      </c>
      <c r="C69" s="107" t="e">
        <v>#DIV/0!</v>
      </c>
      <c r="D69" s="53">
        <v>1</v>
      </c>
      <c r="E69" s="53">
        <v>1</v>
      </c>
      <c r="F69" s="53">
        <v>1</v>
      </c>
      <c r="G69" s="53">
        <v>1</v>
      </c>
      <c r="H69" s="53">
        <v>1</v>
      </c>
      <c r="I69" s="53">
        <v>1</v>
      </c>
      <c r="J69" s="53">
        <v>1</v>
      </c>
      <c r="K69" s="53">
        <v>1</v>
      </c>
      <c r="L69" s="53">
        <v>1</v>
      </c>
      <c r="M69" s="53">
        <v>1</v>
      </c>
      <c r="N69" s="53">
        <v>1</v>
      </c>
      <c r="O69" s="53">
        <v>0</v>
      </c>
      <c r="P69" s="53">
        <v>1</v>
      </c>
      <c r="Q69" s="53">
        <v>1</v>
      </c>
      <c r="R69" s="53">
        <v>1</v>
      </c>
      <c r="S69" s="53">
        <v>1</v>
      </c>
      <c r="T69" s="53">
        <v>1</v>
      </c>
      <c r="U69" s="53">
        <v>1</v>
      </c>
      <c r="V69" s="53" t="e">
        <v>#DIV/0!</v>
      </c>
      <c r="W69" s="53">
        <v>1</v>
      </c>
      <c r="X69" s="53">
        <v>0</v>
      </c>
      <c r="Y69" s="53">
        <v>1</v>
      </c>
      <c r="Z69" s="53">
        <v>1</v>
      </c>
      <c r="AA69" s="53">
        <v>1</v>
      </c>
      <c r="AB69" s="53">
        <v>1</v>
      </c>
      <c r="AC69" s="53" t="e">
        <v>#DIV/0!</v>
      </c>
      <c r="AD69" s="53">
        <v>1</v>
      </c>
      <c r="AE69" s="48">
        <v>93.25</v>
      </c>
    </row>
    <row r="70" spans="1:31" x14ac:dyDescent="0.2">
      <c r="A70" s="35" t="s">
        <v>120</v>
      </c>
      <c r="B70" s="107">
        <v>1</v>
      </c>
      <c r="C70" s="107" t="e">
        <v>#DIV/0!</v>
      </c>
      <c r="D70" s="53">
        <v>1</v>
      </c>
      <c r="E70" s="53">
        <v>1</v>
      </c>
      <c r="F70" s="53">
        <v>1</v>
      </c>
      <c r="G70" s="53">
        <v>1</v>
      </c>
      <c r="H70" s="53">
        <v>1</v>
      </c>
      <c r="I70" s="53">
        <v>1</v>
      </c>
      <c r="J70" s="53">
        <v>1</v>
      </c>
      <c r="K70" s="53">
        <v>1</v>
      </c>
      <c r="L70" s="53">
        <v>1</v>
      </c>
      <c r="M70" s="53">
        <v>1</v>
      </c>
      <c r="N70" s="53">
        <v>1</v>
      </c>
      <c r="O70" s="53">
        <v>1</v>
      </c>
      <c r="P70" s="53">
        <v>1</v>
      </c>
      <c r="Q70" s="53">
        <v>0</v>
      </c>
      <c r="R70" s="53">
        <v>1</v>
      </c>
      <c r="S70" s="53">
        <v>1</v>
      </c>
      <c r="T70" s="53">
        <v>1</v>
      </c>
      <c r="U70" s="53">
        <v>1</v>
      </c>
      <c r="V70" s="53">
        <v>1</v>
      </c>
      <c r="W70" s="53">
        <v>1</v>
      </c>
      <c r="X70" s="53">
        <v>1</v>
      </c>
      <c r="Y70" s="53">
        <v>1</v>
      </c>
      <c r="Z70" s="53">
        <v>1</v>
      </c>
      <c r="AA70" s="53">
        <v>1</v>
      </c>
      <c r="AB70" s="53">
        <v>1</v>
      </c>
      <c r="AC70" s="53" t="e">
        <v>#DIV/0!</v>
      </c>
      <c r="AD70" s="53">
        <v>1</v>
      </c>
      <c r="AE70" s="48">
        <v>96.25</v>
      </c>
    </row>
    <row r="71" spans="1:31" x14ac:dyDescent="0.2">
      <c r="A71" s="35" t="s">
        <v>68</v>
      </c>
      <c r="B71" s="107">
        <v>1</v>
      </c>
      <c r="C71" s="107" t="e">
        <v>#DIV/0!</v>
      </c>
      <c r="D71" s="53">
        <v>1</v>
      </c>
      <c r="E71" s="53">
        <v>1</v>
      </c>
      <c r="F71" s="53">
        <v>1</v>
      </c>
      <c r="G71" s="53">
        <v>1</v>
      </c>
      <c r="H71" s="53">
        <v>1</v>
      </c>
      <c r="I71" s="53">
        <v>1</v>
      </c>
      <c r="J71" s="53">
        <v>1</v>
      </c>
      <c r="K71" s="53">
        <v>1</v>
      </c>
      <c r="L71" s="53">
        <v>1</v>
      </c>
      <c r="M71" s="53">
        <v>1</v>
      </c>
      <c r="N71" s="53">
        <v>1</v>
      </c>
      <c r="O71" s="53">
        <v>1</v>
      </c>
      <c r="P71" s="53" t="e">
        <v>#DIV/0!</v>
      </c>
      <c r="Q71" s="53">
        <v>1</v>
      </c>
      <c r="R71" s="53">
        <v>1</v>
      </c>
      <c r="S71" s="53">
        <v>1</v>
      </c>
      <c r="T71" s="53">
        <v>1</v>
      </c>
      <c r="U71" s="53">
        <v>1</v>
      </c>
      <c r="V71" s="53">
        <v>1</v>
      </c>
      <c r="W71" s="53">
        <v>1</v>
      </c>
      <c r="X71" s="53">
        <v>0</v>
      </c>
      <c r="Y71" s="53">
        <v>1</v>
      </c>
      <c r="Z71" s="53">
        <v>1</v>
      </c>
      <c r="AA71" s="53">
        <v>1</v>
      </c>
      <c r="AB71" s="53">
        <v>1</v>
      </c>
      <c r="AC71" s="53" t="e">
        <v>#DIV/0!</v>
      </c>
      <c r="AD71" s="53">
        <v>1</v>
      </c>
      <c r="AE71" s="48">
        <v>96.25</v>
      </c>
    </row>
    <row r="72" spans="1:31" x14ac:dyDescent="0.2">
      <c r="A72" s="35" t="s">
        <v>89</v>
      </c>
      <c r="B72" s="107">
        <v>1</v>
      </c>
      <c r="C72" s="107" t="e">
        <v>#DIV/0!</v>
      </c>
      <c r="D72" s="53">
        <v>1</v>
      </c>
      <c r="E72" s="53">
        <v>1</v>
      </c>
      <c r="F72" s="53">
        <v>1</v>
      </c>
      <c r="G72" s="53">
        <v>1</v>
      </c>
      <c r="H72" s="53">
        <v>1</v>
      </c>
      <c r="I72" s="53">
        <v>1</v>
      </c>
      <c r="J72" s="53">
        <v>1</v>
      </c>
      <c r="K72" s="53">
        <v>0</v>
      </c>
      <c r="L72" s="53">
        <v>1</v>
      </c>
      <c r="M72" s="53">
        <v>1</v>
      </c>
      <c r="N72" s="53">
        <v>1</v>
      </c>
      <c r="O72" s="53">
        <v>1</v>
      </c>
      <c r="P72" s="53" t="e">
        <v>#DIV/0!</v>
      </c>
      <c r="Q72" s="53">
        <v>1</v>
      </c>
      <c r="R72" s="53">
        <v>1</v>
      </c>
      <c r="S72" s="53">
        <v>1</v>
      </c>
      <c r="T72" s="53">
        <v>1</v>
      </c>
      <c r="U72" s="53">
        <v>1</v>
      </c>
      <c r="V72" s="53" t="e">
        <v>#DIV/0!</v>
      </c>
      <c r="W72" s="53">
        <v>1</v>
      </c>
      <c r="X72" s="53">
        <v>1</v>
      </c>
      <c r="Y72" s="53">
        <v>1</v>
      </c>
      <c r="Z72" s="53">
        <v>1</v>
      </c>
      <c r="AA72" s="53">
        <v>1</v>
      </c>
      <c r="AB72" s="53">
        <v>1</v>
      </c>
      <c r="AC72" s="53" t="e">
        <v>#DIV/0!</v>
      </c>
      <c r="AD72" s="53">
        <v>1</v>
      </c>
      <c r="AE72" s="48">
        <v>94</v>
      </c>
    </row>
    <row r="73" spans="1:31" x14ac:dyDescent="0.2">
      <c r="A73" s="35" t="s">
        <v>484</v>
      </c>
      <c r="B73" s="107">
        <v>1</v>
      </c>
      <c r="C73" s="107" t="e">
        <v>#DIV/0!</v>
      </c>
      <c r="D73" s="53">
        <v>1</v>
      </c>
      <c r="E73" s="53">
        <v>1</v>
      </c>
      <c r="F73" s="53">
        <v>1</v>
      </c>
      <c r="G73" s="53">
        <v>1</v>
      </c>
      <c r="H73" s="53">
        <v>1</v>
      </c>
      <c r="I73" s="53">
        <v>1</v>
      </c>
      <c r="J73" s="53">
        <v>1</v>
      </c>
      <c r="K73" s="53">
        <v>1</v>
      </c>
      <c r="L73" s="53">
        <v>1</v>
      </c>
      <c r="M73" s="53">
        <v>1</v>
      </c>
      <c r="N73" s="53">
        <v>1</v>
      </c>
      <c r="O73" s="53">
        <v>1</v>
      </c>
      <c r="P73" s="53" t="e">
        <v>#DIV/0!</v>
      </c>
      <c r="Q73" s="53">
        <v>1</v>
      </c>
      <c r="R73" s="53">
        <v>1</v>
      </c>
      <c r="S73" s="53">
        <v>1</v>
      </c>
      <c r="T73" s="53">
        <v>1</v>
      </c>
      <c r="U73" s="53">
        <v>1</v>
      </c>
      <c r="V73" s="53">
        <v>1</v>
      </c>
      <c r="W73" s="53">
        <v>1</v>
      </c>
      <c r="X73" s="53">
        <v>0</v>
      </c>
      <c r="Y73" s="53">
        <v>1</v>
      </c>
      <c r="Z73" s="53">
        <v>1</v>
      </c>
      <c r="AA73" s="53">
        <v>1</v>
      </c>
      <c r="AB73" s="53">
        <v>1</v>
      </c>
      <c r="AC73" s="53" t="e">
        <v>#DIV/0!</v>
      </c>
      <c r="AD73" s="53">
        <v>1</v>
      </c>
      <c r="AE73" s="48">
        <v>96.25</v>
      </c>
    </row>
    <row r="74" spans="1:31" x14ac:dyDescent="0.2">
      <c r="A74" s="10" t="s">
        <v>141</v>
      </c>
      <c r="B74" s="107">
        <v>0.85470085470085466</v>
      </c>
      <c r="C74" s="107">
        <v>1</v>
      </c>
      <c r="D74" s="53">
        <v>0.97348484848484851</v>
      </c>
      <c r="E74" s="53">
        <v>1</v>
      </c>
      <c r="F74" s="53">
        <v>0.98479087452471481</v>
      </c>
      <c r="G74" s="53">
        <v>0.78409090909090906</v>
      </c>
      <c r="H74" s="53">
        <v>0.806949806949807</v>
      </c>
      <c r="I74" s="53">
        <v>0.98863636363636365</v>
      </c>
      <c r="J74" s="53">
        <v>0.96850393700787396</v>
      </c>
      <c r="K74" s="53">
        <v>0.97338403041825095</v>
      </c>
      <c r="L74" s="53">
        <v>0.98106060606060608</v>
      </c>
      <c r="M74" s="53">
        <v>0.99621212121212122</v>
      </c>
      <c r="N74" s="53">
        <v>0.95419847328244278</v>
      </c>
      <c r="O74" s="53">
        <v>0.98467432950191569</v>
      </c>
      <c r="P74" s="53">
        <v>0.96491228070175439</v>
      </c>
      <c r="Q74" s="53">
        <v>0.94186046511627908</v>
      </c>
      <c r="R74" s="53">
        <v>0.95785440613026818</v>
      </c>
      <c r="S74" s="53">
        <v>0.99616858237547889</v>
      </c>
      <c r="T74" s="53">
        <v>0.94676806083650189</v>
      </c>
      <c r="U74" s="53">
        <v>0.97683397683397688</v>
      </c>
      <c r="V74" s="53">
        <v>0.90833333333333333</v>
      </c>
      <c r="W74" s="53">
        <v>0.80784313725490198</v>
      </c>
      <c r="X74" s="53">
        <v>0.82539682539682535</v>
      </c>
      <c r="Y74" s="53">
        <v>0.98484848484848486</v>
      </c>
      <c r="Z74" s="53">
        <v>0.97727272727272729</v>
      </c>
      <c r="AA74" s="53">
        <v>0.98828125</v>
      </c>
      <c r="AB74" s="53">
        <v>0.83657587548638135</v>
      </c>
      <c r="AC74" s="53">
        <v>0.94285714285714284</v>
      </c>
      <c r="AD74" s="53">
        <v>0.92307692307692313</v>
      </c>
      <c r="AE74" s="48">
        <v>93.530344655344678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3:AF24"/>
  <sheetViews>
    <sheetView workbookViewId="0">
      <selection activeCell="B3" sqref="B3"/>
    </sheetView>
  </sheetViews>
  <sheetFormatPr baseColWidth="10" defaultRowHeight="12.75" x14ac:dyDescent="0.2"/>
  <cols>
    <col min="1" max="1" width="13.140625" customWidth="1"/>
    <col min="2" max="2" width="12" bestFit="1" customWidth="1"/>
    <col min="3" max="3" width="5.7109375" bestFit="1" customWidth="1"/>
    <col min="4" max="23" width="8.28515625" bestFit="1" customWidth="1"/>
    <col min="24" max="24" width="8.28515625" customWidth="1"/>
    <col min="25" max="31" width="8.28515625" bestFit="1" customWidth="1"/>
    <col min="32" max="32" width="5.5703125" customWidth="1"/>
  </cols>
  <sheetData>
    <row r="3" spans="1:32" s="52" customFormat="1" ht="309.75" x14ac:dyDescent="0.2">
      <c r="A3" s="51" t="s">
        <v>424</v>
      </c>
      <c r="B3" s="12" t="s">
        <v>454</v>
      </c>
      <c r="C3" s="12" t="s">
        <v>654</v>
      </c>
      <c r="D3" s="52" t="s">
        <v>460</v>
      </c>
      <c r="E3" s="52" t="s">
        <v>455</v>
      </c>
      <c r="F3" s="52" t="s">
        <v>447</v>
      </c>
      <c r="G3" s="52" t="s">
        <v>465</v>
      </c>
      <c r="H3" s="52" t="s">
        <v>475</v>
      </c>
      <c r="I3" s="52" t="s">
        <v>450</v>
      </c>
      <c r="J3" s="52" t="s">
        <v>472</v>
      </c>
      <c r="K3" s="52" t="s">
        <v>478</v>
      </c>
      <c r="L3" s="52" t="s">
        <v>461</v>
      </c>
      <c r="M3" s="52" t="s">
        <v>456</v>
      </c>
      <c r="N3" s="52" t="s">
        <v>466</v>
      </c>
      <c r="O3" s="52" t="s">
        <v>476</v>
      </c>
      <c r="P3" s="52" t="s">
        <v>452</v>
      </c>
      <c r="Q3" s="52" t="s">
        <v>479</v>
      </c>
      <c r="R3" s="52" t="s">
        <v>473</v>
      </c>
      <c r="S3" s="52" t="s">
        <v>438</v>
      </c>
      <c r="T3" s="52" t="s">
        <v>477</v>
      </c>
      <c r="U3" s="52" t="s">
        <v>462</v>
      </c>
      <c r="V3" s="52" t="s">
        <v>459</v>
      </c>
      <c r="W3" s="52" t="s">
        <v>467</v>
      </c>
      <c r="X3" s="52" t="s">
        <v>458</v>
      </c>
      <c r="Y3" s="52" t="s">
        <v>474</v>
      </c>
      <c r="Z3" s="52" t="s">
        <v>463</v>
      </c>
      <c r="AA3" s="52" t="s">
        <v>464</v>
      </c>
      <c r="AB3" s="52" t="s">
        <v>468</v>
      </c>
      <c r="AC3" s="52" t="s">
        <v>480</v>
      </c>
      <c r="AD3" s="52" t="s">
        <v>469</v>
      </c>
      <c r="AE3" s="52" t="s">
        <v>470</v>
      </c>
      <c r="AF3" s="52" t="s">
        <v>453</v>
      </c>
    </row>
    <row r="4" spans="1:32" x14ac:dyDescent="0.2">
      <c r="A4" s="10" t="s">
        <v>410</v>
      </c>
      <c r="B4" s="11">
        <v>0.90909090909090906</v>
      </c>
      <c r="C4" s="11">
        <v>1</v>
      </c>
      <c r="D4" s="53">
        <v>0.95348837209302328</v>
      </c>
      <c r="E4" s="53">
        <v>1</v>
      </c>
      <c r="F4" s="53">
        <v>1</v>
      </c>
      <c r="G4" s="53">
        <v>0.62790697674418605</v>
      </c>
      <c r="H4" s="53">
        <v>0.81927710843373491</v>
      </c>
      <c r="I4" s="53">
        <v>0.98837209302325579</v>
      </c>
      <c r="J4" s="53">
        <v>0.93827160493827155</v>
      </c>
      <c r="K4" s="53">
        <v>0.95294117647058818</v>
      </c>
      <c r="L4" s="53">
        <v>0.95348837209302328</v>
      </c>
      <c r="M4" s="53">
        <v>1</v>
      </c>
      <c r="N4" s="53">
        <v>0.91860465116279066</v>
      </c>
      <c r="O4" s="53">
        <v>0.97619047619047616</v>
      </c>
      <c r="P4" s="53">
        <v>0.97674418604651159</v>
      </c>
      <c r="Q4" s="53">
        <v>0.81818181818181823</v>
      </c>
      <c r="R4" s="53">
        <v>0.92682926829268297</v>
      </c>
      <c r="S4" s="53">
        <v>0.90697674418604646</v>
      </c>
      <c r="T4" s="53">
        <v>0.98809523809523814</v>
      </c>
      <c r="U4" s="53">
        <v>0.94186046511627908</v>
      </c>
      <c r="V4" s="53">
        <v>0.9642857142857143</v>
      </c>
      <c r="W4" s="53">
        <v>0.88372093023255816</v>
      </c>
      <c r="X4" s="53">
        <v>0.82926829268292679</v>
      </c>
      <c r="Y4" s="53">
        <v>0.80246913580246915</v>
      </c>
      <c r="Z4" s="53">
        <v>0.97674418604651159</v>
      </c>
      <c r="AA4" s="53">
        <v>0.97674418604651159</v>
      </c>
      <c r="AB4" s="53">
        <v>0.98780487804878048</v>
      </c>
      <c r="AC4" s="53">
        <v>0.83132530120481929</v>
      </c>
      <c r="AD4" s="53">
        <v>0.90909090909090906</v>
      </c>
      <c r="AE4" s="53">
        <v>0.92771084337349397</v>
      </c>
      <c r="AF4" s="48">
        <v>91.362386063548854</v>
      </c>
    </row>
    <row r="5" spans="1:32" x14ac:dyDescent="0.2">
      <c r="A5" s="35" t="s">
        <v>74</v>
      </c>
      <c r="B5" s="11">
        <v>1</v>
      </c>
      <c r="C5" s="11">
        <v>1</v>
      </c>
      <c r="D5" s="53">
        <v>1</v>
      </c>
      <c r="E5" s="53">
        <v>1</v>
      </c>
      <c r="F5" s="53">
        <v>1</v>
      </c>
      <c r="G5" s="53">
        <v>0.9285714285714286</v>
      </c>
      <c r="H5" s="53">
        <v>1</v>
      </c>
      <c r="I5" s="53">
        <v>1</v>
      </c>
      <c r="J5" s="53">
        <v>1</v>
      </c>
      <c r="K5" s="53">
        <v>1</v>
      </c>
      <c r="L5" s="53">
        <v>1</v>
      </c>
      <c r="M5" s="53">
        <v>1</v>
      </c>
      <c r="N5" s="53">
        <v>1</v>
      </c>
      <c r="O5" s="53">
        <v>1</v>
      </c>
      <c r="P5" s="53">
        <v>1</v>
      </c>
      <c r="Q5" s="53">
        <v>1</v>
      </c>
      <c r="R5" s="53">
        <v>0.8571428571428571</v>
      </c>
      <c r="S5" s="53">
        <v>0.7857142857142857</v>
      </c>
      <c r="T5" s="53">
        <v>1</v>
      </c>
      <c r="U5" s="53">
        <v>0.9285714285714286</v>
      </c>
      <c r="V5" s="53">
        <v>1</v>
      </c>
      <c r="W5" s="53">
        <v>1</v>
      </c>
      <c r="X5" s="53">
        <v>0.8571428571428571</v>
      </c>
      <c r="Y5" s="53">
        <v>0.7857142857142857</v>
      </c>
      <c r="Z5" s="53">
        <v>1</v>
      </c>
      <c r="AA5" s="53">
        <v>1</v>
      </c>
      <c r="AB5" s="53">
        <v>1</v>
      </c>
      <c r="AC5" s="53">
        <v>0.7857142857142857</v>
      </c>
      <c r="AD5" s="53">
        <v>1</v>
      </c>
      <c r="AE5" s="53">
        <v>1</v>
      </c>
      <c r="AF5" s="48">
        <v>95.895238095238071</v>
      </c>
    </row>
    <row r="6" spans="1:32" x14ac:dyDescent="0.2">
      <c r="A6" s="35" t="s">
        <v>99</v>
      </c>
      <c r="B6" s="11">
        <v>1</v>
      </c>
      <c r="C6" s="11" t="s">
        <v>51</v>
      </c>
      <c r="D6" s="53">
        <v>1</v>
      </c>
      <c r="E6" s="53">
        <v>1</v>
      </c>
      <c r="F6" s="53">
        <v>1</v>
      </c>
      <c r="G6" s="53">
        <v>0</v>
      </c>
      <c r="H6" s="53">
        <v>0.33333333333333331</v>
      </c>
      <c r="I6" s="53">
        <v>1</v>
      </c>
      <c r="J6" s="53">
        <v>1</v>
      </c>
      <c r="K6" s="53">
        <v>1</v>
      </c>
      <c r="L6" s="53">
        <v>1</v>
      </c>
      <c r="M6" s="53">
        <v>1</v>
      </c>
      <c r="N6" s="53">
        <v>0.66666666666666663</v>
      </c>
      <c r="O6" s="53">
        <v>0.66666666666666663</v>
      </c>
      <c r="P6" s="53">
        <v>1</v>
      </c>
      <c r="Q6" s="53">
        <v>1</v>
      </c>
      <c r="R6" s="53">
        <v>1</v>
      </c>
      <c r="S6" s="53">
        <v>1</v>
      </c>
      <c r="T6" s="53">
        <v>1</v>
      </c>
      <c r="U6" s="53">
        <v>1</v>
      </c>
      <c r="V6" s="53">
        <v>1</v>
      </c>
      <c r="W6" s="53">
        <v>1</v>
      </c>
      <c r="X6" s="53">
        <v>0.66666666666666663</v>
      </c>
      <c r="Y6" s="53">
        <v>0.66666666666666663</v>
      </c>
      <c r="Z6" s="53">
        <v>1</v>
      </c>
      <c r="AA6" s="53">
        <v>1</v>
      </c>
      <c r="AB6" s="53">
        <v>1</v>
      </c>
      <c r="AC6" s="53">
        <v>1</v>
      </c>
      <c r="AD6" s="53" t="s">
        <v>51</v>
      </c>
      <c r="AE6" s="53">
        <v>1</v>
      </c>
      <c r="AF6" s="48">
        <v>85.722222222222229</v>
      </c>
    </row>
    <row r="7" spans="1:32" x14ac:dyDescent="0.2">
      <c r="A7" s="35" t="s">
        <v>175</v>
      </c>
      <c r="B7" s="11">
        <v>1</v>
      </c>
      <c r="C7" s="11" t="s">
        <v>51</v>
      </c>
      <c r="D7" s="53">
        <v>1</v>
      </c>
      <c r="E7" s="53">
        <v>1</v>
      </c>
      <c r="F7" s="53">
        <v>1</v>
      </c>
      <c r="G7" s="53">
        <v>1</v>
      </c>
      <c r="H7" s="53">
        <v>1</v>
      </c>
      <c r="I7" s="53">
        <v>1</v>
      </c>
      <c r="J7" s="53">
        <v>1</v>
      </c>
      <c r="K7" s="53">
        <v>1</v>
      </c>
      <c r="L7" s="53">
        <v>1</v>
      </c>
      <c r="M7" s="53">
        <v>1</v>
      </c>
      <c r="N7" s="53">
        <v>1</v>
      </c>
      <c r="O7" s="53">
        <v>1</v>
      </c>
      <c r="P7" s="53">
        <v>1</v>
      </c>
      <c r="Q7" s="53">
        <v>1</v>
      </c>
      <c r="R7" s="53">
        <v>1</v>
      </c>
      <c r="S7" s="53">
        <v>1</v>
      </c>
      <c r="T7" s="53">
        <v>1</v>
      </c>
      <c r="U7" s="53">
        <v>1</v>
      </c>
      <c r="V7" s="53">
        <v>0.83333333333333337</v>
      </c>
      <c r="W7" s="53">
        <v>1</v>
      </c>
      <c r="X7" s="53">
        <v>0.83333333333333337</v>
      </c>
      <c r="Y7" s="53">
        <v>1</v>
      </c>
      <c r="Z7" s="53">
        <v>1</v>
      </c>
      <c r="AA7" s="53">
        <v>1</v>
      </c>
      <c r="AB7" s="53">
        <v>1</v>
      </c>
      <c r="AC7" s="53">
        <v>0.83333333333333337</v>
      </c>
      <c r="AD7" s="53">
        <v>1</v>
      </c>
      <c r="AE7" s="53">
        <v>1</v>
      </c>
      <c r="AF7" s="48">
        <v>99</v>
      </c>
    </row>
    <row r="8" spans="1:32" x14ac:dyDescent="0.2">
      <c r="A8" s="35" t="s">
        <v>47</v>
      </c>
      <c r="B8" s="11">
        <v>0.8771929824561403</v>
      </c>
      <c r="C8" s="11">
        <v>1</v>
      </c>
      <c r="D8" s="53">
        <v>0.93650793650793651</v>
      </c>
      <c r="E8" s="53">
        <v>1</v>
      </c>
      <c r="F8" s="53">
        <v>1</v>
      </c>
      <c r="G8" s="53">
        <v>0.55555555555555558</v>
      </c>
      <c r="H8" s="53">
        <v>0.78333333333333333</v>
      </c>
      <c r="I8" s="53">
        <v>0.98412698412698407</v>
      </c>
      <c r="J8" s="53">
        <v>0.91379310344827591</v>
      </c>
      <c r="K8" s="53">
        <v>0.93650793650793651</v>
      </c>
      <c r="L8" s="53">
        <v>0.93650793650793651</v>
      </c>
      <c r="M8" s="53">
        <v>1</v>
      </c>
      <c r="N8" s="53">
        <v>0.90476190476190477</v>
      </c>
      <c r="O8" s="53">
        <v>0.98360655737704916</v>
      </c>
      <c r="P8" s="53">
        <v>0.96825396825396826</v>
      </c>
      <c r="Q8" s="53">
        <v>0.7142857142857143</v>
      </c>
      <c r="R8" s="53">
        <v>0.93220338983050843</v>
      </c>
      <c r="S8" s="53">
        <v>0.92063492063492058</v>
      </c>
      <c r="T8" s="53">
        <v>0.98360655737704916</v>
      </c>
      <c r="U8" s="53">
        <v>0.93650793650793651</v>
      </c>
      <c r="V8" s="53">
        <v>0.96721311475409832</v>
      </c>
      <c r="W8" s="53">
        <v>0.82758620689655171</v>
      </c>
      <c r="X8" s="53">
        <v>0.83050847457627119</v>
      </c>
      <c r="Y8" s="53">
        <v>0.7931034482758621</v>
      </c>
      <c r="Z8" s="53">
        <v>0.96825396825396826</v>
      </c>
      <c r="AA8" s="53">
        <v>0.96825396825396826</v>
      </c>
      <c r="AB8" s="53">
        <v>0.98305084745762716</v>
      </c>
      <c r="AC8" s="53">
        <v>0.83333333333333337</v>
      </c>
      <c r="AD8" s="53">
        <v>0.875</v>
      </c>
      <c r="AE8" s="53">
        <v>0.9</v>
      </c>
      <c r="AF8" s="48">
        <v>89.896273039130179</v>
      </c>
    </row>
    <row r="9" spans="1:32" x14ac:dyDescent="0.2">
      <c r="A9" s="10" t="s">
        <v>144</v>
      </c>
      <c r="B9" s="11"/>
      <c r="C9" s="11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48"/>
    </row>
    <row r="10" spans="1:32" x14ac:dyDescent="0.2">
      <c r="A10" s="35" t="s">
        <v>144</v>
      </c>
      <c r="B10" s="11"/>
      <c r="C10" s="11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48"/>
    </row>
    <row r="11" spans="1:32" x14ac:dyDescent="0.2">
      <c r="A11" s="10" t="s">
        <v>412</v>
      </c>
      <c r="B11" s="107">
        <v>0.7567567567567568</v>
      </c>
      <c r="C11" s="107">
        <v>1</v>
      </c>
      <c r="D11" s="53">
        <v>0.97727272727272729</v>
      </c>
      <c r="E11" s="53">
        <v>1</v>
      </c>
      <c r="F11" s="53">
        <v>0.96590909090909094</v>
      </c>
      <c r="G11" s="53">
        <v>0.92045454545454541</v>
      </c>
      <c r="H11" s="53">
        <v>0.79545454545454541</v>
      </c>
      <c r="I11" s="53">
        <v>1</v>
      </c>
      <c r="J11" s="53">
        <v>0.97727272727272729</v>
      </c>
      <c r="K11" s="53">
        <v>0.98863636363636365</v>
      </c>
      <c r="L11" s="53">
        <v>1</v>
      </c>
      <c r="M11" s="53">
        <v>1</v>
      </c>
      <c r="N11" s="53">
        <v>0.97727272727272729</v>
      </c>
      <c r="O11" s="53">
        <v>1</v>
      </c>
      <c r="P11" s="53">
        <v>1</v>
      </c>
      <c r="Q11" s="53">
        <v>1</v>
      </c>
      <c r="R11" s="53">
        <v>0.94318181818181823</v>
      </c>
      <c r="S11" s="53">
        <v>1</v>
      </c>
      <c r="T11" s="53">
        <v>1</v>
      </c>
      <c r="U11" s="53">
        <v>0.97727272727272729</v>
      </c>
      <c r="V11" s="53">
        <v>0.97674418604651159</v>
      </c>
      <c r="W11" s="53">
        <v>0.91666666666666663</v>
      </c>
      <c r="X11" s="53">
        <v>0.7441860465116279</v>
      </c>
      <c r="Y11" s="53">
        <v>0.85227272727272729</v>
      </c>
      <c r="Z11" s="53">
        <v>1</v>
      </c>
      <c r="AA11" s="53">
        <v>0.96590909090909094</v>
      </c>
      <c r="AB11" s="53">
        <v>1</v>
      </c>
      <c r="AC11" s="53">
        <v>0.7816091954022989</v>
      </c>
      <c r="AD11" s="53">
        <v>1</v>
      </c>
      <c r="AE11" s="53">
        <v>0.90909090909090906</v>
      </c>
      <c r="AF11" s="48">
        <v>94.814204545454544</v>
      </c>
    </row>
    <row r="12" spans="1:32" x14ac:dyDescent="0.2">
      <c r="A12" s="35" t="s">
        <v>74</v>
      </c>
      <c r="B12" s="107">
        <v>1</v>
      </c>
      <c r="C12" s="107">
        <v>1</v>
      </c>
      <c r="D12" s="53">
        <v>0.94117647058823528</v>
      </c>
      <c r="E12" s="53">
        <v>1</v>
      </c>
      <c r="F12" s="53">
        <v>0.94117647058823528</v>
      </c>
      <c r="G12" s="53">
        <v>1</v>
      </c>
      <c r="H12" s="53">
        <v>0.88235294117647056</v>
      </c>
      <c r="I12" s="53">
        <v>1</v>
      </c>
      <c r="J12" s="53">
        <v>1</v>
      </c>
      <c r="K12" s="53">
        <v>1</v>
      </c>
      <c r="L12" s="53">
        <v>1</v>
      </c>
      <c r="M12" s="53">
        <v>1</v>
      </c>
      <c r="N12" s="53">
        <v>0.88235294117647056</v>
      </c>
      <c r="O12" s="53">
        <v>1</v>
      </c>
      <c r="P12" s="53">
        <v>1</v>
      </c>
      <c r="Q12" s="53">
        <v>1</v>
      </c>
      <c r="R12" s="53">
        <v>0.88235294117647056</v>
      </c>
      <c r="S12" s="53">
        <v>1</v>
      </c>
      <c r="T12" s="53">
        <v>1</v>
      </c>
      <c r="U12" s="53">
        <v>1</v>
      </c>
      <c r="V12" s="53">
        <v>1</v>
      </c>
      <c r="W12" s="53">
        <v>1</v>
      </c>
      <c r="X12" s="53">
        <v>0.76470588235294112</v>
      </c>
      <c r="Y12" s="53">
        <v>0.82352941176470584</v>
      </c>
      <c r="Z12" s="53">
        <v>1</v>
      </c>
      <c r="AA12" s="53">
        <v>0.94117647058823528</v>
      </c>
      <c r="AB12" s="53">
        <v>1</v>
      </c>
      <c r="AC12" s="53">
        <v>0.70588235294117652</v>
      </c>
      <c r="AD12" s="53" t="s">
        <v>51</v>
      </c>
      <c r="AE12" s="53">
        <v>1</v>
      </c>
      <c r="AF12" s="48">
        <v>95.856862745098056</v>
      </c>
    </row>
    <row r="13" spans="1:32" x14ac:dyDescent="0.2">
      <c r="A13" s="35" t="s">
        <v>99</v>
      </c>
      <c r="B13" s="107">
        <v>0.75</v>
      </c>
      <c r="C13" s="107" t="s">
        <v>51</v>
      </c>
      <c r="D13" s="53">
        <v>1</v>
      </c>
      <c r="E13" s="53">
        <v>1</v>
      </c>
      <c r="F13" s="53">
        <v>1</v>
      </c>
      <c r="G13" s="53">
        <v>1</v>
      </c>
      <c r="H13" s="53">
        <v>1</v>
      </c>
      <c r="I13" s="53">
        <v>1</v>
      </c>
      <c r="J13" s="53">
        <v>1</v>
      </c>
      <c r="K13" s="53">
        <v>1</v>
      </c>
      <c r="L13" s="53">
        <v>1</v>
      </c>
      <c r="M13" s="53">
        <v>1</v>
      </c>
      <c r="N13" s="53">
        <v>1</v>
      </c>
      <c r="O13" s="53">
        <v>1</v>
      </c>
      <c r="P13" s="53">
        <v>1</v>
      </c>
      <c r="Q13" s="53">
        <v>1</v>
      </c>
      <c r="R13" s="53">
        <v>1</v>
      </c>
      <c r="S13" s="53">
        <v>1</v>
      </c>
      <c r="T13" s="53">
        <v>1</v>
      </c>
      <c r="U13" s="53">
        <v>1</v>
      </c>
      <c r="V13" s="53">
        <v>1</v>
      </c>
      <c r="W13" s="53">
        <v>1</v>
      </c>
      <c r="X13" s="53">
        <v>1</v>
      </c>
      <c r="Y13" s="53">
        <v>1</v>
      </c>
      <c r="Z13" s="53">
        <v>1</v>
      </c>
      <c r="AA13" s="53">
        <v>1</v>
      </c>
      <c r="AB13" s="53">
        <v>1</v>
      </c>
      <c r="AC13" s="53">
        <v>1</v>
      </c>
      <c r="AD13" s="53">
        <v>1</v>
      </c>
      <c r="AE13" s="53">
        <v>0.75</v>
      </c>
      <c r="AF13" s="48">
        <v>97.3125</v>
      </c>
    </row>
    <row r="14" spans="1:32" x14ac:dyDescent="0.2">
      <c r="A14" s="35" t="s">
        <v>175</v>
      </c>
      <c r="B14" s="107">
        <v>0.8571428571428571</v>
      </c>
      <c r="C14" s="107" t="s">
        <v>51</v>
      </c>
      <c r="D14" s="53">
        <v>1</v>
      </c>
      <c r="E14" s="53">
        <v>1</v>
      </c>
      <c r="F14" s="53">
        <v>0.88235294117647056</v>
      </c>
      <c r="G14" s="53">
        <v>0.94117647058823528</v>
      </c>
      <c r="H14" s="53">
        <v>0.88235294117647056</v>
      </c>
      <c r="I14" s="53">
        <v>1</v>
      </c>
      <c r="J14" s="53">
        <v>1</v>
      </c>
      <c r="K14" s="53">
        <v>1</v>
      </c>
      <c r="L14" s="53">
        <v>1</v>
      </c>
      <c r="M14" s="53">
        <v>1</v>
      </c>
      <c r="N14" s="53">
        <v>1</v>
      </c>
      <c r="O14" s="53">
        <v>1</v>
      </c>
      <c r="P14" s="53">
        <v>1</v>
      </c>
      <c r="Q14" s="53">
        <v>1</v>
      </c>
      <c r="R14" s="53">
        <v>0.94117647058823528</v>
      </c>
      <c r="S14" s="53">
        <v>1</v>
      </c>
      <c r="T14" s="53">
        <v>1</v>
      </c>
      <c r="U14" s="53">
        <v>1</v>
      </c>
      <c r="V14" s="53">
        <v>0.875</v>
      </c>
      <c r="W14" s="53">
        <v>1</v>
      </c>
      <c r="X14" s="53">
        <v>0.66666666666666663</v>
      </c>
      <c r="Y14" s="53">
        <v>0.88235294117647056</v>
      </c>
      <c r="Z14" s="53">
        <v>1</v>
      </c>
      <c r="AA14" s="53">
        <v>1</v>
      </c>
      <c r="AB14" s="53">
        <v>1</v>
      </c>
      <c r="AC14" s="53">
        <v>0.8125</v>
      </c>
      <c r="AD14" s="53" t="s">
        <v>51</v>
      </c>
      <c r="AE14" s="53">
        <v>1</v>
      </c>
      <c r="AF14" s="48">
        <v>96.436274509803923</v>
      </c>
    </row>
    <row r="15" spans="1:32" x14ac:dyDescent="0.2">
      <c r="A15" s="35" t="s">
        <v>47</v>
      </c>
      <c r="B15" s="107">
        <v>0.67391304347826086</v>
      </c>
      <c r="C15" s="107">
        <v>1</v>
      </c>
      <c r="D15" s="53">
        <v>0.98</v>
      </c>
      <c r="E15" s="53">
        <v>1</v>
      </c>
      <c r="F15" s="53">
        <v>1</v>
      </c>
      <c r="G15" s="53">
        <v>0.88</v>
      </c>
      <c r="H15" s="53">
        <v>0.72</v>
      </c>
      <c r="I15" s="53">
        <v>1</v>
      </c>
      <c r="J15" s="53">
        <v>0.96</v>
      </c>
      <c r="K15" s="53">
        <v>0.98</v>
      </c>
      <c r="L15" s="53">
        <v>1</v>
      </c>
      <c r="M15" s="53">
        <v>1</v>
      </c>
      <c r="N15" s="53">
        <v>1</v>
      </c>
      <c r="O15" s="53">
        <v>1</v>
      </c>
      <c r="P15" s="53">
        <v>1</v>
      </c>
      <c r="Q15" s="53">
        <v>1</v>
      </c>
      <c r="R15" s="53">
        <v>0.96</v>
      </c>
      <c r="S15" s="53">
        <v>1</v>
      </c>
      <c r="T15" s="53">
        <v>1</v>
      </c>
      <c r="U15" s="53">
        <v>0.96</v>
      </c>
      <c r="V15" s="53">
        <v>1</v>
      </c>
      <c r="W15" s="53">
        <v>0.875</v>
      </c>
      <c r="X15" s="53">
        <v>0.74</v>
      </c>
      <c r="Y15" s="53">
        <v>0.84</v>
      </c>
      <c r="Z15" s="53">
        <v>1</v>
      </c>
      <c r="AA15" s="53">
        <v>0.96</v>
      </c>
      <c r="AB15" s="53">
        <v>1</v>
      </c>
      <c r="AC15" s="53">
        <v>0.78</v>
      </c>
      <c r="AD15" s="53">
        <v>1</v>
      </c>
      <c r="AE15" s="53">
        <v>0.86</v>
      </c>
      <c r="AF15" s="48">
        <v>93.708333333333343</v>
      </c>
    </row>
    <row r="16" spans="1:32" x14ac:dyDescent="0.2">
      <c r="A16" s="10" t="s">
        <v>411</v>
      </c>
      <c r="B16" s="107">
        <v>0.875</v>
      </c>
      <c r="C16" s="107">
        <v>1</v>
      </c>
      <c r="D16" s="53">
        <v>0.98734177215189878</v>
      </c>
      <c r="E16" s="53">
        <v>1</v>
      </c>
      <c r="F16" s="53">
        <v>1</v>
      </c>
      <c r="G16" s="53">
        <v>0.77215189873417722</v>
      </c>
      <c r="H16" s="53">
        <v>0.77922077922077926</v>
      </c>
      <c r="I16" s="53">
        <v>0.97468354430379744</v>
      </c>
      <c r="J16" s="53">
        <v>0.98684210526315785</v>
      </c>
      <c r="K16" s="53">
        <v>0.98734177215189878</v>
      </c>
      <c r="L16" s="53">
        <v>0.98734177215189878</v>
      </c>
      <c r="M16" s="53">
        <v>0.98734177215189878</v>
      </c>
      <c r="N16" s="53">
        <v>0.96103896103896103</v>
      </c>
      <c r="O16" s="53">
        <v>0.98717948717948723</v>
      </c>
      <c r="P16" s="53">
        <v>0.98734177215189878</v>
      </c>
      <c r="Q16" s="53">
        <v>1</v>
      </c>
      <c r="R16" s="53">
        <v>0.96103896103896103</v>
      </c>
      <c r="S16" s="53">
        <v>0.97368421052631582</v>
      </c>
      <c r="T16" s="53">
        <v>1</v>
      </c>
      <c r="U16" s="53">
        <v>0.92307692307692313</v>
      </c>
      <c r="V16" s="53">
        <v>0.98717948717948723</v>
      </c>
      <c r="W16" s="53">
        <v>0.91666666666666663</v>
      </c>
      <c r="X16" s="53">
        <v>0.82894736842105265</v>
      </c>
      <c r="Y16" s="53">
        <v>0.86111111111111116</v>
      </c>
      <c r="Z16" s="53">
        <v>0.98734177215189878</v>
      </c>
      <c r="AA16" s="53">
        <v>0.98734177215189878</v>
      </c>
      <c r="AB16" s="53">
        <v>0.98684210526315785</v>
      </c>
      <c r="AC16" s="53">
        <v>0.88157894736842102</v>
      </c>
      <c r="AD16" s="53">
        <v>1</v>
      </c>
      <c r="AE16" s="53">
        <v>0.92307692307692313</v>
      </c>
      <c r="AF16" s="48">
        <v>94.308596466824341</v>
      </c>
    </row>
    <row r="17" spans="1:32" x14ac:dyDescent="0.2">
      <c r="A17" s="35" t="s">
        <v>74</v>
      </c>
      <c r="B17" s="107">
        <v>0.88235294117647056</v>
      </c>
      <c r="C17" s="107">
        <v>1</v>
      </c>
      <c r="D17" s="53">
        <v>1</v>
      </c>
      <c r="E17" s="53">
        <v>1</v>
      </c>
      <c r="F17" s="53">
        <v>1</v>
      </c>
      <c r="G17" s="53">
        <v>0.94117647058823528</v>
      </c>
      <c r="H17" s="53">
        <v>0.88235294117647056</v>
      </c>
      <c r="I17" s="53">
        <v>1</v>
      </c>
      <c r="J17" s="53">
        <v>1</v>
      </c>
      <c r="K17" s="53">
        <v>1</v>
      </c>
      <c r="L17" s="53">
        <v>1</v>
      </c>
      <c r="M17" s="53">
        <v>1</v>
      </c>
      <c r="N17" s="53">
        <v>0.9375</v>
      </c>
      <c r="O17" s="53">
        <v>1</v>
      </c>
      <c r="P17" s="53">
        <v>1</v>
      </c>
      <c r="Q17" s="53">
        <v>1</v>
      </c>
      <c r="R17" s="53">
        <v>0.94117647058823528</v>
      </c>
      <c r="S17" s="53">
        <v>1</v>
      </c>
      <c r="T17" s="53">
        <v>1</v>
      </c>
      <c r="U17" s="53">
        <v>1</v>
      </c>
      <c r="V17" s="53">
        <v>1</v>
      </c>
      <c r="W17" s="53">
        <v>0.90909090909090906</v>
      </c>
      <c r="X17" s="53">
        <v>0.76470588235294112</v>
      </c>
      <c r="Y17" s="53">
        <v>1</v>
      </c>
      <c r="Z17" s="53">
        <v>1</v>
      </c>
      <c r="AA17" s="53">
        <v>1</v>
      </c>
      <c r="AB17" s="53">
        <v>0.94117647058823528</v>
      </c>
      <c r="AC17" s="53">
        <v>1</v>
      </c>
      <c r="AD17" s="53">
        <v>1</v>
      </c>
      <c r="AE17" s="53">
        <v>1</v>
      </c>
      <c r="AF17" s="48">
        <v>97.098039215686285</v>
      </c>
    </row>
    <row r="18" spans="1:32" x14ac:dyDescent="0.2">
      <c r="A18" s="35" t="s">
        <v>99</v>
      </c>
      <c r="B18" s="107">
        <v>1</v>
      </c>
      <c r="C18" s="107" t="s">
        <v>51</v>
      </c>
      <c r="D18" s="53">
        <v>1</v>
      </c>
      <c r="E18" s="53">
        <v>1</v>
      </c>
      <c r="F18" s="53">
        <v>1</v>
      </c>
      <c r="G18" s="53">
        <v>0.88888888888888884</v>
      </c>
      <c r="H18" s="53">
        <v>0.88888888888888884</v>
      </c>
      <c r="I18" s="53">
        <v>1</v>
      </c>
      <c r="J18" s="53">
        <v>1</v>
      </c>
      <c r="K18" s="53">
        <v>1</v>
      </c>
      <c r="L18" s="53">
        <v>1</v>
      </c>
      <c r="M18" s="53">
        <v>1</v>
      </c>
      <c r="N18" s="53">
        <v>1</v>
      </c>
      <c r="O18" s="53">
        <v>1</v>
      </c>
      <c r="P18" s="53">
        <v>1</v>
      </c>
      <c r="Q18" s="53">
        <v>1</v>
      </c>
      <c r="R18" s="53">
        <v>1</v>
      </c>
      <c r="S18" s="53">
        <v>1</v>
      </c>
      <c r="T18" s="53">
        <v>1</v>
      </c>
      <c r="U18" s="53">
        <v>1</v>
      </c>
      <c r="V18" s="53">
        <v>1</v>
      </c>
      <c r="W18" s="53">
        <v>1</v>
      </c>
      <c r="X18" s="53">
        <v>1</v>
      </c>
      <c r="Y18" s="53">
        <v>0.77777777777777779</v>
      </c>
      <c r="Z18" s="53">
        <v>1</v>
      </c>
      <c r="AA18" s="53">
        <v>1</v>
      </c>
      <c r="AB18" s="53">
        <v>1</v>
      </c>
      <c r="AC18" s="53">
        <v>1</v>
      </c>
      <c r="AD18" s="53">
        <v>1</v>
      </c>
      <c r="AE18" s="53">
        <v>0.88888888888888884</v>
      </c>
      <c r="AF18" s="48">
        <v>97.537037037037024</v>
      </c>
    </row>
    <row r="19" spans="1:32" x14ac:dyDescent="0.2">
      <c r="A19" s="35" t="s">
        <v>175</v>
      </c>
      <c r="B19" s="107">
        <v>1</v>
      </c>
      <c r="C19" s="107" t="s">
        <v>51</v>
      </c>
      <c r="D19" s="53">
        <v>1</v>
      </c>
      <c r="E19" s="53">
        <v>1</v>
      </c>
      <c r="F19" s="53">
        <v>1</v>
      </c>
      <c r="G19" s="53">
        <v>1</v>
      </c>
      <c r="H19" s="53">
        <v>1</v>
      </c>
      <c r="I19" s="53">
        <v>1</v>
      </c>
      <c r="J19" s="53">
        <v>1</v>
      </c>
      <c r="K19" s="53">
        <v>1</v>
      </c>
      <c r="L19" s="53">
        <v>1</v>
      </c>
      <c r="M19" s="53">
        <v>1</v>
      </c>
      <c r="N19" s="53">
        <v>1</v>
      </c>
      <c r="O19" s="53">
        <v>1</v>
      </c>
      <c r="P19" s="53">
        <v>1</v>
      </c>
      <c r="Q19" s="53">
        <v>1</v>
      </c>
      <c r="R19" s="53">
        <v>1</v>
      </c>
      <c r="S19" s="53">
        <v>1</v>
      </c>
      <c r="T19" s="53">
        <v>1</v>
      </c>
      <c r="U19" s="53">
        <v>1</v>
      </c>
      <c r="V19" s="53">
        <v>1</v>
      </c>
      <c r="W19" s="53">
        <v>1</v>
      </c>
      <c r="X19" s="53">
        <v>0.88888888888888884</v>
      </c>
      <c r="Y19" s="53">
        <v>1</v>
      </c>
      <c r="Z19" s="53">
        <v>1</v>
      </c>
      <c r="AA19" s="53">
        <v>1</v>
      </c>
      <c r="AB19" s="53">
        <v>1</v>
      </c>
      <c r="AC19" s="53">
        <v>0.88888888888888884</v>
      </c>
      <c r="AD19" s="53" t="s">
        <v>51</v>
      </c>
      <c r="AE19" s="53">
        <v>1</v>
      </c>
      <c r="AF19" s="48">
        <v>99.555555555555557</v>
      </c>
    </row>
    <row r="20" spans="1:32" x14ac:dyDescent="0.2">
      <c r="A20" s="35" t="s">
        <v>47</v>
      </c>
      <c r="B20" s="107">
        <v>0.82051282051282048</v>
      </c>
      <c r="C20" s="107">
        <v>1</v>
      </c>
      <c r="D20" s="53">
        <v>0.97727272727272729</v>
      </c>
      <c r="E20" s="53">
        <v>1</v>
      </c>
      <c r="F20" s="53">
        <v>1</v>
      </c>
      <c r="G20" s="53">
        <v>0.63636363636363635</v>
      </c>
      <c r="H20" s="53">
        <v>0.66666666666666663</v>
      </c>
      <c r="I20" s="53">
        <v>0.95454545454545459</v>
      </c>
      <c r="J20" s="53">
        <v>0.97619047619047616</v>
      </c>
      <c r="K20" s="53">
        <v>0.97727272727272729</v>
      </c>
      <c r="L20" s="53">
        <v>0.97727272727272729</v>
      </c>
      <c r="M20" s="53">
        <v>0.97727272727272729</v>
      </c>
      <c r="N20" s="53">
        <v>0.95348837209302328</v>
      </c>
      <c r="O20" s="53">
        <v>0.97674418604651159</v>
      </c>
      <c r="P20" s="53">
        <v>0.97727272727272729</v>
      </c>
      <c r="Q20" s="53">
        <v>1</v>
      </c>
      <c r="R20" s="53">
        <v>0.95238095238095233</v>
      </c>
      <c r="S20" s="53">
        <v>0.95121951219512191</v>
      </c>
      <c r="T20" s="53">
        <v>1</v>
      </c>
      <c r="U20" s="53">
        <v>0.86363636363636365</v>
      </c>
      <c r="V20" s="53">
        <v>0.97727272727272729</v>
      </c>
      <c r="W20" s="53">
        <v>0.88461538461538458</v>
      </c>
      <c r="X20" s="53">
        <v>0.80487804878048785</v>
      </c>
      <c r="Y20" s="53">
        <v>0.78947368421052633</v>
      </c>
      <c r="Z20" s="53">
        <v>0.97727272727272729</v>
      </c>
      <c r="AA20" s="53">
        <v>0.97727272727272729</v>
      </c>
      <c r="AB20" s="53">
        <v>1</v>
      </c>
      <c r="AC20" s="53">
        <v>0.80487804878048785</v>
      </c>
      <c r="AD20" s="53">
        <v>1</v>
      </c>
      <c r="AE20" s="53">
        <v>0.88372093023255816</v>
      </c>
      <c r="AF20" s="48">
        <v>91.49725274725273</v>
      </c>
    </row>
    <row r="21" spans="1:32" x14ac:dyDescent="0.2">
      <c r="A21" s="10" t="s">
        <v>413</v>
      </c>
      <c r="B21" s="107">
        <v>1</v>
      </c>
      <c r="C21" s="107">
        <v>1</v>
      </c>
      <c r="D21" s="53">
        <v>1</v>
      </c>
      <c r="E21" s="53">
        <v>1</v>
      </c>
      <c r="F21" s="53">
        <v>0.90909090909090906</v>
      </c>
      <c r="G21" s="53">
        <v>1</v>
      </c>
      <c r="H21" s="53">
        <v>1</v>
      </c>
      <c r="I21" s="53">
        <v>1</v>
      </c>
      <c r="J21" s="53">
        <v>1</v>
      </c>
      <c r="K21" s="53">
        <v>0.90909090909090906</v>
      </c>
      <c r="L21" s="53">
        <v>1</v>
      </c>
      <c r="M21" s="53">
        <v>1</v>
      </c>
      <c r="N21" s="53">
        <v>1</v>
      </c>
      <c r="O21" s="53">
        <v>0.90909090909090906</v>
      </c>
      <c r="P21" s="53">
        <v>1</v>
      </c>
      <c r="Q21" s="53">
        <v>1</v>
      </c>
      <c r="R21" s="53">
        <v>0.90909090909090906</v>
      </c>
      <c r="S21" s="53">
        <v>0.90909090909090906</v>
      </c>
      <c r="T21" s="53">
        <v>1</v>
      </c>
      <c r="U21" s="53">
        <v>0.90909090909090906</v>
      </c>
      <c r="V21" s="53">
        <v>1</v>
      </c>
      <c r="W21" s="53">
        <v>1</v>
      </c>
      <c r="X21" s="53">
        <v>1</v>
      </c>
      <c r="Y21" s="53">
        <v>0.54545454545454541</v>
      </c>
      <c r="Z21" s="53">
        <v>0.90909090909090906</v>
      </c>
      <c r="AA21" s="53">
        <v>1</v>
      </c>
      <c r="AB21" s="53">
        <v>0.90909090909090906</v>
      </c>
      <c r="AC21" s="53">
        <v>1</v>
      </c>
      <c r="AD21" s="53">
        <v>1</v>
      </c>
      <c r="AE21" s="53">
        <v>1</v>
      </c>
      <c r="AF21" s="48">
        <v>94.61969696969696</v>
      </c>
    </row>
    <row r="22" spans="1:32" x14ac:dyDescent="0.2">
      <c r="A22" s="35" t="s">
        <v>99</v>
      </c>
      <c r="B22" s="107">
        <v>1</v>
      </c>
      <c r="C22" s="107" t="s">
        <v>51</v>
      </c>
      <c r="D22" s="53">
        <v>1</v>
      </c>
      <c r="E22" s="53">
        <v>1</v>
      </c>
      <c r="F22" s="53">
        <v>0</v>
      </c>
      <c r="G22" s="53">
        <v>1</v>
      </c>
      <c r="H22" s="53">
        <v>1</v>
      </c>
      <c r="I22" s="53">
        <v>1</v>
      </c>
      <c r="J22" s="53">
        <v>1</v>
      </c>
      <c r="K22" s="53">
        <v>1</v>
      </c>
      <c r="L22" s="53">
        <v>1</v>
      </c>
      <c r="M22" s="53">
        <v>1</v>
      </c>
      <c r="N22" s="53">
        <v>1</v>
      </c>
      <c r="O22" s="53">
        <v>1</v>
      </c>
      <c r="P22" s="53">
        <v>1</v>
      </c>
      <c r="Q22" s="53" t="s">
        <v>51</v>
      </c>
      <c r="R22" s="53">
        <v>1</v>
      </c>
      <c r="S22" s="53">
        <v>1</v>
      </c>
      <c r="T22" s="53">
        <v>1</v>
      </c>
      <c r="U22" s="53">
        <v>1</v>
      </c>
      <c r="V22" s="53">
        <v>1</v>
      </c>
      <c r="W22" s="53">
        <v>1</v>
      </c>
      <c r="X22" s="53">
        <v>1</v>
      </c>
      <c r="Y22" s="53">
        <v>0</v>
      </c>
      <c r="Z22" s="53">
        <v>1</v>
      </c>
      <c r="AA22" s="53">
        <v>1</v>
      </c>
      <c r="AB22" s="53">
        <v>0</v>
      </c>
      <c r="AC22" s="53">
        <v>1</v>
      </c>
      <c r="AD22" s="53" t="s">
        <v>51</v>
      </c>
      <c r="AE22" s="53">
        <v>1</v>
      </c>
      <c r="AF22" s="48">
        <v>84.416666666666671</v>
      </c>
    </row>
    <row r="23" spans="1:32" x14ac:dyDescent="0.2">
      <c r="A23" s="35" t="s">
        <v>47</v>
      </c>
      <c r="B23" s="107">
        <v>1</v>
      </c>
      <c r="C23" s="107">
        <v>1</v>
      </c>
      <c r="D23" s="53">
        <v>1</v>
      </c>
      <c r="E23" s="53">
        <v>1</v>
      </c>
      <c r="F23" s="53">
        <v>1</v>
      </c>
      <c r="G23" s="53">
        <v>1</v>
      </c>
      <c r="H23" s="53">
        <v>1</v>
      </c>
      <c r="I23" s="53">
        <v>1</v>
      </c>
      <c r="J23" s="53">
        <v>1</v>
      </c>
      <c r="K23" s="53">
        <v>0.9</v>
      </c>
      <c r="L23" s="53">
        <v>1</v>
      </c>
      <c r="M23" s="53">
        <v>1</v>
      </c>
      <c r="N23" s="53">
        <v>1</v>
      </c>
      <c r="O23" s="53">
        <v>0.9</v>
      </c>
      <c r="P23" s="53">
        <v>1</v>
      </c>
      <c r="Q23" s="53">
        <v>1</v>
      </c>
      <c r="R23" s="53">
        <v>0.9</v>
      </c>
      <c r="S23" s="53">
        <v>0.9</v>
      </c>
      <c r="T23" s="53">
        <v>1</v>
      </c>
      <c r="U23" s="53">
        <v>0.9</v>
      </c>
      <c r="V23" s="53">
        <v>1</v>
      </c>
      <c r="W23" s="53">
        <v>1</v>
      </c>
      <c r="X23" s="53">
        <v>1</v>
      </c>
      <c r="Y23" s="53">
        <v>0.6</v>
      </c>
      <c r="Z23" s="53">
        <v>0.9</v>
      </c>
      <c r="AA23" s="53">
        <v>1</v>
      </c>
      <c r="AB23" s="53">
        <v>1</v>
      </c>
      <c r="AC23" s="53">
        <v>1</v>
      </c>
      <c r="AD23" s="53">
        <v>1</v>
      </c>
      <c r="AE23" s="53">
        <v>1</v>
      </c>
      <c r="AF23" s="48">
        <v>95.64</v>
      </c>
    </row>
    <row r="24" spans="1:32" x14ac:dyDescent="0.2">
      <c r="A24" s="10" t="s">
        <v>141</v>
      </c>
      <c r="B24" s="11">
        <v>0.85470085470085466</v>
      </c>
      <c r="C24" s="11">
        <v>1</v>
      </c>
      <c r="D24" s="53">
        <v>0.97348484848484851</v>
      </c>
      <c r="E24" s="53">
        <v>1</v>
      </c>
      <c r="F24" s="53">
        <v>0.98479087452471481</v>
      </c>
      <c r="G24" s="53">
        <v>0.78409090909090906</v>
      </c>
      <c r="H24" s="53">
        <v>0.806949806949807</v>
      </c>
      <c r="I24" s="53">
        <v>0.98863636363636365</v>
      </c>
      <c r="J24" s="53">
        <v>0.96850393700787396</v>
      </c>
      <c r="K24" s="53">
        <v>0.97338403041825095</v>
      </c>
      <c r="L24" s="53">
        <v>0.98106060606060608</v>
      </c>
      <c r="M24" s="53">
        <v>0.99621212121212122</v>
      </c>
      <c r="N24" s="53">
        <v>0.95419847328244278</v>
      </c>
      <c r="O24" s="53">
        <v>0.98467432950191569</v>
      </c>
      <c r="P24" s="53">
        <v>0.98863636363636365</v>
      </c>
      <c r="Q24" s="53">
        <v>0.96491228070175439</v>
      </c>
      <c r="R24" s="53">
        <v>0.94186046511627908</v>
      </c>
      <c r="S24" s="53">
        <v>0.95785440613026818</v>
      </c>
      <c r="T24" s="53">
        <v>0.99616858237547889</v>
      </c>
      <c r="U24" s="53">
        <v>0.94676806083650189</v>
      </c>
      <c r="V24" s="53">
        <v>0.97683397683397688</v>
      </c>
      <c r="W24" s="53">
        <v>0.90833333333333333</v>
      </c>
      <c r="X24" s="53">
        <v>0.80784313725490198</v>
      </c>
      <c r="Y24" s="53">
        <v>0.82539682539682535</v>
      </c>
      <c r="Z24" s="53">
        <v>0.98484848484848486</v>
      </c>
      <c r="AA24" s="53">
        <v>0.97727272727272729</v>
      </c>
      <c r="AB24" s="53">
        <v>0.98828125</v>
      </c>
      <c r="AC24" s="53">
        <v>0.83657587548638135</v>
      </c>
      <c r="AD24" s="53">
        <v>0.94285714285714284</v>
      </c>
      <c r="AE24" s="53">
        <v>0.92307692307692313</v>
      </c>
      <c r="AF24" s="48">
        <v>93.530344655344663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3:AF26"/>
  <sheetViews>
    <sheetView workbookViewId="0">
      <selection activeCell="E3" sqref="E3"/>
    </sheetView>
  </sheetViews>
  <sheetFormatPr baseColWidth="10" defaultRowHeight="12.75" x14ac:dyDescent="0.2"/>
  <cols>
    <col min="1" max="1" width="13.140625" customWidth="1"/>
    <col min="2" max="2" width="12" bestFit="1" customWidth="1"/>
    <col min="3" max="3" width="5.7109375" customWidth="1"/>
    <col min="4" max="7" width="8.28515625" bestFit="1" customWidth="1"/>
    <col min="8" max="9" width="8.28515625" customWidth="1"/>
    <col min="10" max="13" width="8.28515625" bestFit="1" customWidth="1"/>
    <col min="14" max="16" width="8.28515625" customWidth="1"/>
    <col min="17" max="23" width="8.28515625" bestFit="1" customWidth="1"/>
    <col min="24" max="24" width="8.28515625" customWidth="1"/>
    <col min="25" max="30" width="8.28515625" bestFit="1" customWidth="1"/>
    <col min="31" max="31" width="8.28515625" customWidth="1"/>
    <col min="32" max="32" width="5.5703125" customWidth="1"/>
  </cols>
  <sheetData>
    <row r="3" spans="1:32" s="52" customFormat="1" ht="309.75" x14ac:dyDescent="0.2">
      <c r="A3" s="51" t="s">
        <v>424</v>
      </c>
      <c r="B3" s="12" t="s">
        <v>454</v>
      </c>
      <c r="C3" s="12" t="s">
        <v>654</v>
      </c>
      <c r="D3" s="52" t="s">
        <v>460</v>
      </c>
      <c r="E3" s="52" t="s">
        <v>455</v>
      </c>
      <c r="F3" s="52" t="s">
        <v>447</v>
      </c>
      <c r="G3" s="52" t="s">
        <v>465</v>
      </c>
      <c r="H3" s="52" t="s">
        <v>475</v>
      </c>
      <c r="I3" s="52" t="s">
        <v>450</v>
      </c>
      <c r="J3" s="52" t="s">
        <v>472</v>
      </c>
      <c r="K3" s="52" t="s">
        <v>478</v>
      </c>
      <c r="L3" s="52" t="s">
        <v>461</v>
      </c>
      <c r="M3" s="52" t="s">
        <v>456</v>
      </c>
      <c r="N3" s="52" t="s">
        <v>466</v>
      </c>
      <c r="O3" s="52" t="s">
        <v>476</v>
      </c>
      <c r="P3" s="52" t="s">
        <v>452</v>
      </c>
      <c r="Q3" s="52" t="s">
        <v>479</v>
      </c>
      <c r="R3" s="52" t="s">
        <v>473</v>
      </c>
      <c r="S3" s="52" t="s">
        <v>438</v>
      </c>
      <c r="T3" s="52" t="s">
        <v>477</v>
      </c>
      <c r="U3" s="52" t="s">
        <v>462</v>
      </c>
      <c r="V3" s="52" t="s">
        <v>459</v>
      </c>
      <c r="W3" s="52" t="s">
        <v>467</v>
      </c>
      <c r="X3" s="52" t="s">
        <v>458</v>
      </c>
      <c r="Y3" s="52" t="s">
        <v>474</v>
      </c>
      <c r="Z3" s="52" t="s">
        <v>463</v>
      </c>
      <c r="AA3" s="52" t="s">
        <v>464</v>
      </c>
      <c r="AB3" s="52" t="s">
        <v>468</v>
      </c>
      <c r="AC3" s="52" t="s">
        <v>480</v>
      </c>
      <c r="AD3" s="52" t="s">
        <v>469</v>
      </c>
      <c r="AE3" s="52" t="s">
        <v>470</v>
      </c>
      <c r="AF3" s="52" t="s">
        <v>453</v>
      </c>
    </row>
    <row r="4" spans="1:32" x14ac:dyDescent="0.2">
      <c r="A4" s="10" t="s">
        <v>410</v>
      </c>
      <c r="B4" s="11">
        <v>0.90909090909090906</v>
      </c>
      <c r="C4" s="11">
        <v>1</v>
      </c>
      <c r="D4" s="53">
        <v>0.95348837209302328</v>
      </c>
      <c r="E4" s="53">
        <v>1</v>
      </c>
      <c r="F4" s="53">
        <v>1</v>
      </c>
      <c r="G4" s="53">
        <v>0.62790697674418605</v>
      </c>
      <c r="H4" s="53">
        <v>0.81927710843373491</v>
      </c>
      <c r="I4" s="53">
        <v>0.98837209302325579</v>
      </c>
      <c r="J4" s="53">
        <v>0.93827160493827155</v>
      </c>
      <c r="K4" s="53">
        <v>0.95294117647058818</v>
      </c>
      <c r="L4" s="53">
        <v>0.95348837209302328</v>
      </c>
      <c r="M4" s="53">
        <v>1</v>
      </c>
      <c r="N4" s="53">
        <v>0.91860465116279066</v>
      </c>
      <c r="O4" s="53">
        <v>0.97619047619047616</v>
      </c>
      <c r="P4" s="53">
        <v>0.97674418604651159</v>
      </c>
      <c r="Q4" s="53">
        <v>0.81818181818181823</v>
      </c>
      <c r="R4" s="53">
        <v>0.92682926829268297</v>
      </c>
      <c r="S4" s="53">
        <v>0.90697674418604646</v>
      </c>
      <c r="T4" s="53">
        <v>0.98809523809523814</v>
      </c>
      <c r="U4" s="53">
        <v>0.94186046511627908</v>
      </c>
      <c r="V4" s="53">
        <v>0.9642857142857143</v>
      </c>
      <c r="W4" s="53">
        <v>0.88372093023255816</v>
      </c>
      <c r="X4" s="53">
        <v>0.82926829268292679</v>
      </c>
      <c r="Y4" s="53">
        <v>0.80246913580246915</v>
      </c>
      <c r="Z4" s="53">
        <v>0.97674418604651159</v>
      </c>
      <c r="AA4" s="53">
        <v>0.97674418604651159</v>
      </c>
      <c r="AB4" s="53">
        <v>0.98780487804878048</v>
      </c>
      <c r="AC4" s="53">
        <v>0.83132530120481929</v>
      </c>
      <c r="AD4" s="53">
        <v>0.90909090909090906</v>
      </c>
      <c r="AE4" s="53">
        <v>0.92771084337349397</v>
      </c>
      <c r="AF4" s="48">
        <v>91.362386063548854</v>
      </c>
    </row>
    <row r="5" spans="1:32" x14ac:dyDescent="0.2">
      <c r="A5" s="35">
        <v>1</v>
      </c>
      <c r="B5" s="11">
        <v>0.92307692307692313</v>
      </c>
      <c r="C5" s="11">
        <v>1</v>
      </c>
      <c r="D5" s="53">
        <v>0.8928571428571429</v>
      </c>
      <c r="E5" s="53">
        <v>1</v>
      </c>
      <c r="F5" s="53">
        <v>1</v>
      </c>
      <c r="G5" s="53">
        <v>0.8571428571428571</v>
      </c>
      <c r="H5" s="53">
        <v>0.81481481481481477</v>
      </c>
      <c r="I5" s="53">
        <v>1</v>
      </c>
      <c r="J5" s="53">
        <v>0.95833333333333337</v>
      </c>
      <c r="K5" s="53">
        <v>1</v>
      </c>
      <c r="L5" s="53">
        <v>0.9285714285714286</v>
      </c>
      <c r="M5" s="53">
        <v>1</v>
      </c>
      <c r="N5" s="53">
        <v>1</v>
      </c>
      <c r="O5" s="53">
        <v>1</v>
      </c>
      <c r="P5" s="53">
        <v>0.9642857142857143</v>
      </c>
      <c r="Q5" s="53">
        <v>0.83333333333333337</v>
      </c>
      <c r="R5" s="53">
        <v>0.92592592592592593</v>
      </c>
      <c r="S5" s="53">
        <v>0.9642857142857143</v>
      </c>
      <c r="T5" s="53">
        <v>0.96296296296296291</v>
      </c>
      <c r="U5" s="53">
        <v>0.8928571428571429</v>
      </c>
      <c r="V5" s="53">
        <v>0.9642857142857143</v>
      </c>
      <c r="W5" s="53">
        <v>0.76923076923076927</v>
      </c>
      <c r="X5" s="53">
        <v>0.81481481481481477</v>
      </c>
      <c r="Y5" s="53">
        <v>0.73076923076923073</v>
      </c>
      <c r="Z5" s="53">
        <v>1</v>
      </c>
      <c r="AA5" s="53">
        <v>0.9285714285714286</v>
      </c>
      <c r="AB5" s="53">
        <v>1</v>
      </c>
      <c r="AC5" s="53">
        <v>0.77777777777777779</v>
      </c>
      <c r="AD5" s="53">
        <v>0.8</v>
      </c>
      <c r="AE5" s="53">
        <v>1</v>
      </c>
      <c r="AF5" s="48">
        <v>93.238409209837769</v>
      </c>
    </row>
    <row r="6" spans="1:32" x14ac:dyDescent="0.2">
      <c r="A6" s="35">
        <v>2</v>
      </c>
      <c r="B6" s="11">
        <v>0.8571428571428571</v>
      </c>
      <c r="C6" s="11">
        <v>1</v>
      </c>
      <c r="D6" s="53">
        <v>1</v>
      </c>
      <c r="E6" s="53">
        <v>1</v>
      </c>
      <c r="F6" s="53">
        <v>1</v>
      </c>
      <c r="G6" s="53">
        <v>0.75</v>
      </c>
      <c r="H6" s="53">
        <v>0.875</v>
      </c>
      <c r="I6" s="53">
        <v>1</v>
      </c>
      <c r="J6" s="53">
        <v>1</v>
      </c>
      <c r="K6" s="53">
        <v>1</v>
      </c>
      <c r="L6" s="53">
        <v>1</v>
      </c>
      <c r="M6" s="53">
        <v>1</v>
      </c>
      <c r="N6" s="53">
        <v>0.875</v>
      </c>
      <c r="O6" s="53">
        <v>1</v>
      </c>
      <c r="P6" s="53">
        <v>1</v>
      </c>
      <c r="Q6" s="53">
        <v>1</v>
      </c>
      <c r="R6" s="53">
        <v>0.875</v>
      </c>
      <c r="S6" s="53">
        <v>0.875</v>
      </c>
      <c r="T6" s="53">
        <v>1</v>
      </c>
      <c r="U6" s="53">
        <v>1</v>
      </c>
      <c r="V6" s="53">
        <v>1</v>
      </c>
      <c r="W6" s="53">
        <v>0.8</v>
      </c>
      <c r="X6" s="53">
        <v>0.875</v>
      </c>
      <c r="Y6" s="53">
        <v>0.875</v>
      </c>
      <c r="Z6" s="53">
        <v>1</v>
      </c>
      <c r="AA6" s="53">
        <v>1</v>
      </c>
      <c r="AB6" s="53">
        <v>0.8571428571428571</v>
      </c>
      <c r="AC6" s="53">
        <v>0.875</v>
      </c>
      <c r="AD6" s="53">
        <v>1</v>
      </c>
      <c r="AE6" s="53">
        <v>1</v>
      </c>
      <c r="AF6" s="48">
        <v>93.197916666666657</v>
      </c>
    </row>
    <row r="7" spans="1:32" x14ac:dyDescent="0.2">
      <c r="A7" s="35">
        <v>3</v>
      </c>
      <c r="B7" s="107">
        <v>0.95454545454545459</v>
      </c>
      <c r="C7" s="107">
        <v>1</v>
      </c>
      <c r="D7" s="53">
        <v>0.96153846153846156</v>
      </c>
      <c r="E7" s="53">
        <v>1</v>
      </c>
      <c r="F7" s="53">
        <v>1</v>
      </c>
      <c r="G7" s="53">
        <v>0.76923076923076927</v>
      </c>
      <c r="H7" s="53">
        <v>0.95833333333333337</v>
      </c>
      <c r="I7" s="53">
        <v>0.96153846153846156</v>
      </c>
      <c r="J7" s="53">
        <v>0.96153846153846156</v>
      </c>
      <c r="K7" s="53">
        <v>0.96153846153846156</v>
      </c>
      <c r="L7" s="53">
        <v>0.92307692307692313</v>
      </c>
      <c r="M7" s="53">
        <v>1</v>
      </c>
      <c r="N7" s="53">
        <v>0.96153846153846156</v>
      </c>
      <c r="O7" s="53">
        <v>0.96</v>
      </c>
      <c r="P7" s="53">
        <v>0.96153846153846156</v>
      </c>
      <c r="Q7" s="53">
        <v>1</v>
      </c>
      <c r="R7" s="53">
        <v>0.92</v>
      </c>
      <c r="S7" s="53">
        <v>0.84615384615384615</v>
      </c>
      <c r="T7" s="53">
        <v>1</v>
      </c>
      <c r="U7" s="53">
        <v>0.92307692307692313</v>
      </c>
      <c r="V7" s="53">
        <v>0.96</v>
      </c>
      <c r="W7" s="53">
        <v>1</v>
      </c>
      <c r="X7" s="53">
        <v>0.83333333333333337</v>
      </c>
      <c r="Y7" s="53">
        <v>0.88</v>
      </c>
      <c r="Z7" s="53">
        <v>1</v>
      </c>
      <c r="AA7" s="53">
        <v>1</v>
      </c>
      <c r="AB7" s="53">
        <v>1</v>
      </c>
      <c r="AC7" s="53">
        <v>0.84</v>
      </c>
      <c r="AD7" s="53">
        <v>0.91666666666666663</v>
      </c>
      <c r="AE7" s="53">
        <v>0.96</v>
      </c>
      <c r="AF7" s="48">
        <v>94.038708086784993</v>
      </c>
    </row>
    <row r="8" spans="1:32" x14ac:dyDescent="0.2">
      <c r="A8" s="35">
        <v>4</v>
      </c>
      <c r="B8" s="107">
        <v>0.9</v>
      </c>
      <c r="C8" s="107" t="s">
        <v>51</v>
      </c>
      <c r="D8" s="53">
        <v>1</v>
      </c>
      <c r="E8" s="53">
        <v>1</v>
      </c>
      <c r="F8" s="53">
        <v>1</v>
      </c>
      <c r="G8" s="53">
        <v>0.25</v>
      </c>
      <c r="H8" s="53">
        <v>0.75</v>
      </c>
      <c r="I8" s="53">
        <v>1</v>
      </c>
      <c r="J8" s="53">
        <v>0.90909090909090906</v>
      </c>
      <c r="K8" s="53">
        <v>1</v>
      </c>
      <c r="L8" s="53">
        <v>1</v>
      </c>
      <c r="M8" s="53">
        <v>1</v>
      </c>
      <c r="N8" s="53">
        <v>0.91666666666666663</v>
      </c>
      <c r="O8" s="53">
        <v>0.91666666666666663</v>
      </c>
      <c r="P8" s="53">
        <v>1</v>
      </c>
      <c r="Q8" s="53">
        <v>0.66666666666666663</v>
      </c>
      <c r="R8" s="53">
        <v>0.91666666666666663</v>
      </c>
      <c r="S8" s="53">
        <v>1</v>
      </c>
      <c r="T8" s="53">
        <v>1</v>
      </c>
      <c r="U8" s="53">
        <v>1</v>
      </c>
      <c r="V8" s="53">
        <v>0.91666666666666663</v>
      </c>
      <c r="W8" s="53">
        <v>1</v>
      </c>
      <c r="X8" s="53">
        <v>0.75</v>
      </c>
      <c r="Y8" s="53">
        <v>0.66666666666666663</v>
      </c>
      <c r="Z8" s="53">
        <v>0.91666666666666663</v>
      </c>
      <c r="AA8" s="53">
        <v>1</v>
      </c>
      <c r="AB8" s="53">
        <v>1</v>
      </c>
      <c r="AC8" s="53">
        <v>0.83333333333333337</v>
      </c>
      <c r="AD8" s="53">
        <v>1</v>
      </c>
      <c r="AE8" s="53">
        <v>0.83333333333333337</v>
      </c>
      <c r="AF8" s="48">
        <v>88.870833333333337</v>
      </c>
    </row>
    <row r="9" spans="1:32" x14ac:dyDescent="0.2">
      <c r="A9" s="35">
        <v>5</v>
      </c>
      <c r="B9" s="107">
        <v>0.83333333333333337</v>
      </c>
      <c r="C9" s="107" t="s">
        <v>51</v>
      </c>
      <c r="D9" s="53">
        <v>1</v>
      </c>
      <c r="E9" s="53">
        <v>1</v>
      </c>
      <c r="F9" s="53">
        <v>1</v>
      </c>
      <c r="G9" s="53">
        <v>8.3333333333333329E-2</v>
      </c>
      <c r="H9" s="53">
        <v>0.58333333333333337</v>
      </c>
      <c r="I9" s="53">
        <v>1</v>
      </c>
      <c r="J9" s="53">
        <v>0.83333333333333337</v>
      </c>
      <c r="K9" s="53">
        <v>0.75</v>
      </c>
      <c r="L9" s="53">
        <v>1</v>
      </c>
      <c r="M9" s="53">
        <v>1</v>
      </c>
      <c r="N9" s="53">
        <v>0.66666666666666663</v>
      </c>
      <c r="O9" s="53">
        <v>1</v>
      </c>
      <c r="P9" s="53">
        <v>1</v>
      </c>
      <c r="Q9" s="53" t="s">
        <v>51</v>
      </c>
      <c r="R9" s="53">
        <v>1</v>
      </c>
      <c r="S9" s="53">
        <v>0.83333333333333337</v>
      </c>
      <c r="T9" s="53">
        <v>1</v>
      </c>
      <c r="U9" s="53">
        <v>1</v>
      </c>
      <c r="V9" s="53">
        <v>1</v>
      </c>
      <c r="W9" s="53">
        <v>0.8</v>
      </c>
      <c r="X9" s="53">
        <v>0.90909090909090906</v>
      </c>
      <c r="Y9" s="53">
        <v>0.9</v>
      </c>
      <c r="Z9" s="53">
        <v>0.91666666666666663</v>
      </c>
      <c r="AA9" s="53">
        <v>1</v>
      </c>
      <c r="AB9" s="53">
        <v>1</v>
      </c>
      <c r="AC9" s="53">
        <v>0.90909090909090906</v>
      </c>
      <c r="AD9" s="53" t="s">
        <v>51</v>
      </c>
      <c r="AE9" s="53">
        <v>0.72727272727272729</v>
      </c>
      <c r="AF9" s="48">
        <v>82.454166666666666</v>
      </c>
    </row>
    <row r="10" spans="1:32" x14ac:dyDescent="0.2">
      <c r="A10" s="10" t="s">
        <v>144</v>
      </c>
      <c r="B10" s="107"/>
      <c r="C10" s="107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48"/>
    </row>
    <row r="11" spans="1:32" x14ac:dyDescent="0.2">
      <c r="A11" s="35" t="s">
        <v>144</v>
      </c>
      <c r="B11" s="107"/>
      <c r="C11" s="107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48"/>
    </row>
    <row r="12" spans="1:32" x14ac:dyDescent="0.2">
      <c r="A12" s="10" t="s">
        <v>412</v>
      </c>
      <c r="B12" s="107">
        <v>0.7567567567567568</v>
      </c>
      <c r="C12" s="107">
        <v>1</v>
      </c>
      <c r="D12" s="53">
        <v>0.97727272727272729</v>
      </c>
      <c r="E12" s="53">
        <v>1</v>
      </c>
      <c r="F12" s="53">
        <v>0.96590909090909094</v>
      </c>
      <c r="G12" s="53">
        <v>0.92045454545454541</v>
      </c>
      <c r="H12" s="53">
        <v>0.79545454545454541</v>
      </c>
      <c r="I12" s="53">
        <v>1</v>
      </c>
      <c r="J12" s="53">
        <v>0.97727272727272729</v>
      </c>
      <c r="K12" s="53">
        <v>0.98863636363636365</v>
      </c>
      <c r="L12" s="53">
        <v>1</v>
      </c>
      <c r="M12" s="53">
        <v>1</v>
      </c>
      <c r="N12" s="53">
        <v>0.97727272727272729</v>
      </c>
      <c r="O12" s="53">
        <v>1</v>
      </c>
      <c r="P12" s="53">
        <v>1</v>
      </c>
      <c r="Q12" s="53">
        <v>1</v>
      </c>
      <c r="R12" s="53">
        <v>0.94318181818181823</v>
      </c>
      <c r="S12" s="53">
        <v>1</v>
      </c>
      <c r="T12" s="53">
        <v>1</v>
      </c>
      <c r="U12" s="53">
        <v>0.97727272727272729</v>
      </c>
      <c r="V12" s="53">
        <v>0.97674418604651159</v>
      </c>
      <c r="W12" s="53">
        <v>0.91666666666666663</v>
      </c>
      <c r="X12" s="53">
        <v>0.7441860465116279</v>
      </c>
      <c r="Y12" s="53">
        <v>0.85227272727272729</v>
      </c>
      <c r="Z12" s="53">
        <v>1</v>
      </c>
      <c r="AA12" s="53">
        <v>0.96590909090909094</v>
      </c>
      <c r="AB12" s="53">
        <v>1</v>
      </c>
      <c r="AC12" s="53">
        <v>0.7816091954022989</v>
      </c>
      <c r="AD12" s="53">
        <v>1</v>
      </c>
      <c r="AE12" s="53">
        <v>0.90909090909090906</v>
      </c>
      <c r="AF12" s="48">
        <v>94.814204545454558</v>
      </c>
    </row>
    <row r="13" spans="1:32" x14ac:dyDescent="0.2">
      <c r="A13" s="35">
        <v>9</v>
      </c>
      <c r="B13" s="107">
        <v>0.42857142857142855</v>
      </c>
      <c r="C13" s="107" t="s">
        <v>51</v>
      </c>
      <c r="D13" s="53">
        <v>1</v>
      </c>
      <c r="E13" s="53">
        <v>1</v>
      </c>
      <c r="F13" s="53">
        <v>1</v>
      </c>
      <c r="G13" s="53">
        <v>0.5714285714285714</v>
      </c>
      <c r="H13" s="53">
        <v>0.5714285714285714</v>
      </c>
      <c r="I13" s="53">
        <v>1</v>
      </c>
      <c r="J13" s="53">
        <v>1</v>
      </c>
      <c r="K13" s="53">
        <v>1</v>
      </c>
      <c r="L13" s="53">
        <v>1</v>
      </c>
      <c r="M13" s="53">
        <v>1</v>
      </c>
      <c r="N13" s="53">
        <v>1</v>
      </c>
      <c r="O13" s="53">
        <v>1</v>
      </c>
      <c r="P13" s="53">
        <v>1</v>
      </c>
      <c r="Q13" s="53">
        <v>1</v>
      </c>
      <c r="R13" s="53">
        <v>1</v>
      </c>
      <c r="S13" s="53">
        <v>1</v>
      </c>
      <c r="T13" s="53">
        <v>1</v>
      </c>
      <c r="U13" s="53">
        <v>1</v>
      </c>
      <c r="V13" s="53">
        <v>1</v>
      </c>
      <c r="W13" s="53">
        <v>1</v>
      </c>
      <c r="X13" s="53">
        <v>0.5714285714285714</v>
      </c>
      <c r="Y13" s="53">
        <v>0.7142857142857143</v>
      </c>
      <c r="Z13" s="53">
        <v>1</v>
      </c>
      <c r="AA13" s="53">
        <v>1</v>
      </c>
      <c r="AB13" s="53">
        <v>1</v>
      </c>
      <c r="AC13" s="53">
        <v>0.7142857142857143</v>
      </c>
      <c r="AD13" s="53">
        <v>1</v>
      </c>
      <c r="AE13" s="53">
        <v>0.5714285714285714</v>
      </c>
      <c r="AF13" s="48">
        <v>88.357142857142861</v>
      </c>
    </row>
    <row r="14" spans="1:32" x14ac:dyDescent="0.2">
      <c r="A14" s="35">
        <v>10</v>
      </c>
      <c r="B14" s="107">
        <v>0.65</v>
      </c>
      <c r="C14" s="107" t="s">
        <v>51</v>
      </c>
      <c r="D14" s="53">
        <v>0.95238095238095233</v>
      </c>
      <c r="E14" s="53">
        <v>1</v>
      </c>
      <c r="F14" s="53">
        <v>0.90476190476190477</v>
      </c>
      <c r="G14" s="53">
        <v>0.95238095238095233</v>
      </c>
      <c r="H14" s="53">
        <v>0.8571428571428571</v>
      </c>
      <c r="I14" s="53">
        <v>1</v>
      </c>
      <c r="J14" s="53">
        <v>0.95238095238095233</v>
      </c>
      <c r="K14" s="53">
        <v>1</v>
      </c>
      <c r="L14" s="53">
        <v>1</v>
      </c>
      <c r="M14" s="53">
        <v>1</v>
      </c>
      <c r="N14" s="53">
        <v>1</v>
      </c>
      <c r="O14" s="53">
        <v>1</v>
      </c>
      <c r="P14" s="53">
        <v>1</v>
      </c>
      <c r="Q14" s="53">
        <v>1</v>
      </c>
      <c r="R14" s="53">
        <v>0.90476190476190477</v>
      </c>
      <c r="S14" s="53">
        <v>1</v>
      </c>
      <c r="T14" s="53">
        <v>1</v>
      </c>
      <c r="U14" s="53">
        <v>0.95238095238095233</v>
      </c>
      <c r="V14" s="53">
        <v>1</v>
      </c>
      <c r="W14" s="53">
        <v>1</v>
      </c>
      <c r="X14" s="53">
        <v>0.90476190476190477</v>
      </c>
      <c r="Y14" s="53">
        <v>1</v>
      </c>
      <c r="Z14" s="53">
        <v>1</v>
      </c>
      <c r="AA14" s="53">
        <v>0.90476190476190477</v>
      </c>
      <c r="AB14" s="53">
        <v>1</v>
      </c>
      <c r="AC14" s="53">
        <v>0.8571428571428571</v>
      </c>
      <c r="AD14" s="53">
        <v>1</v>
      </c>
      <c r="AE14" s="53">
        <v>0.90476190476190477</v>
      </c>
      <c r="AF14" s="48">
        <v>95.109523809523807</v>
      </c>
    </row>
    <row r="15" spans="1:32" x14ac:dyDescent="0.2">
      <c r="A15" s="35">
        <v>11</v>
      </c>
      <c r="B15" s="107">
        <v>0.8</v>
      </c>
      <c r="C15" s="107">
        <v>1</v>
      </c>
      <c r="D15" s="53">
        <v>1</v>
      </c>
      <c r="E15" s="53">
        <v>1</v>
      </c>
      <c r="F15" s="53">
        <v>1</v>
      </c>
      <c r="G15" s="53">
        <v>0.95454545454545459</v>
      </c>
      <c r="H15" s="53">
        <v>0.72727272727272729</v>
      </c>
      <c r="I15" s="53">
        <v>1</v>
      </c>
      <c r="J15" s="53">
        <v>1</v>
      </c>
      <c r="K15" s="53">
        <v>0.95454545454545459</v>
      </c>
      <c r="L15" s="53">
        <v>1</v>
      </c>
      <c r="M15" s="53">
        <v>1</v>
      </c>
      <c r="N15" s="53">
        <v>1</v>
      </c>
      <c r="O15" s="53">
        <v>1</v>
      </c>
      <c r="P15" s="53">
        <v>1</v>
      </c>
      <c r="Q15" s="53">
        <v>1</v>
      </c>
      <c r="R15" s="53">
        <v>1</v>
      </c>
      <c r="S15" s="53">
        <v>1</v>
      </c>
      <c r="T15" s="53">
        <v>1</v>
      </c>
      <c r="U15" s="53">
        <v>0.95454545454545459</v>
      </c>
      <c r="V15" s="53">
        <v>1</v>
      </c>
      <c r="W15" s="53">
        <v>0.92307692307692313</v>
      </c>
      <c r="X15" s="53">
        <v>0.59090909090909094</v>
      </c>
      <c r="Y15" s="53">
        <v>0.86363636363636365</v>
      </c>
      <c r="Z15" s="53">
        <v>1</v>
      </c>
      <c r="AA15" s="53">
        <v>0.95454545454545459</v>
      </c>
      <c r="AB15" s="53">
        <v>1</v>
      </c>
      <c r="AC15" s="53">
        <v>0.68181818181818177</v>
      </c>
      <c r="AD15" s="53">
        <v>1</v>
      </c>
      <c r="AE15" s="53">
        <v>0.95454545454545459</v>
      </c>
      <c r="AF15" s="48">
        <v>95.12045454545455</v>
      </c>
    </row>
    <row r="16" spans="1:32" x14ac:dyDescent="0.2">
      <c r="A16" s="35">
        <v>12</v>
      </c>
      <c r="B16" s="107">
        <v>0.85</v>
      </c>
      <c r="C16" s="107">
        <v>1</v>
      </c>
      <c r="D16" s="53">
        <v>0.967741935483871</v>
      </c>
      <c r="E16" s="53">
        <v>1</v>
      </c>
      <c r="F16" s="53">
        <v>0.967741935483871</v>
      </c>
      <c r="G16" s="53">
        <v>0.93548387096774188</v>
      </c>
      <c r="H16" s="53">
        <v>0.80645161290322576</v>
      </c>
      <c r="I16" s="53">
        <v>1</v>
      </c>
      <c r="J16" s="53">
        <v>0.967741935483871</v>
      </c>
      <c r="K16" s="53">
        <v>1</v>
      </c>
      <c r="L16" s="53">
        <v>1</v>
      </c>
      <c r="M16" s="53">
        <v>1</v>
      </c>
      <c r="N16" s="53">
        <v>0.93548387096774188</v>
      </c>
      <c r="O16" s="53">
        <v>1</v>
      </c>
      <c r="P16" s="53">
        <v>1</v>
      </c>
      <c r="Q16" s="53">
        <v>1</v>
      </c>
      <c r="R16" s="53">
        <v>0.93548387096774188</v>
      </c>
      <c r="S16" s="53">
        <v>1</v>
      </c>
      <c r="T16" s="53">
        <v>1</v>
      </c>
      <c r="U16" s="53">
        <v>1</v>
      </c>
      <c r="V16" s="53">
        <v>1</v>
      </c>
      <c r="W16" s="53">
        <v>0.75</v>
      </c>
      <c r="X16" s="53">
        <v>0.8</v>
      </c>
      <c r="Y16" s="53">
        <v>0.77419354838709675</v>
      </c>
      <c r="Z16" s="53">
        <v>1</v>
      </c>
      <c r="AA16" s="53">
        <v>1</v>
      </c>
      <c r="AB16" s="53">
        <v>1</v>
      </c>
      <c r="AC16" s="53">
        <v>0.8</v>
      </c>
      <c r="AD16" s="53" t="s">
        <v>51</v>
      </c>
      <c r="AE16" s="53">
        <v>0.93548387096774188</v>
      </c>
      <c r="AF16" s="48">
        <v>95.248387096774209</v>
      </c>
    </row>
    <row r="17" spans="1:32" x14ac:dyDescent="0.2">
      <c r="A17" s="35">
        <v>13</v>
      </c>
      <c r="B17" s="107">
        <v>1</v>
      </c>
      <c r="C17" s="107" t="s">
        <v>51</v>
      </c>
      <c r="D17" s="53">
        <v>1</v>
      </c>
      <c r="E17" s="53">
        <v>1</v>
      </c>
      <c r="F17" s="53">
        <v>1</v>
      </c>
      <c r="G17" s="53">
        <v>1</v>
      </c>
      <c r="H17" s="53">
        <v>1</v>
      </c>
      <c r="I17" s="53">
        <v>1</v>
      </c>
      <c r="J17" s="53">
        <v>1</v>
      </c>
      <c r="K17" s="53">
        <v>1</v>
      </c>
      <c r="L17" s="53">
        <v>1</v>
      </c>
      <c r="M17" s="53">
        <v>1</v>
      </c>
      <c r="N17" s="53">
        <v>1</v>
      </c>
      <c r="O17" s="53">
        <v>1</v>
      </c>
      <c r="P17" s="53">
        <v>1</v>
      </c>
      <c r="Q17" s="53">
        <v>1</v>
      </c>
      <c r="R17" s="53">
        <v>0.8571428571428571</v>
      </c>
      <c r="S17" s="53">
        <v>1</v>
      </c>
      <c r="T17" s="53">
        <v>1</v>
      </c>
      <c r="U17" s="53">
        <v>1</v>
      </c>
      <c r="V17" s="53">
        <v>0.7142857142857143</v>
      </c>
      <c r="W17" s="53">
        <v>1</v>
      </c>
      <c r="X17" s="53">
        <v>0.66666666666666663</v>
      </c>
      <c r="Y17" s="53">
        <v>0.8571428571428571</v>
      </c>
      <c r="Z17" s="53">
        <v>1</v>
      </c>
      <c r="AA17" s="53">
        <v>1</v>
      </c>
      <c r="AB17" s="53">
        <v>1</v>
      </c>
      <c r="AC17" s="53">
        <v>0.8571428571428571</v>
      </c>
      <c r="AD17" s="53" t="s">
        <v>51</v>
      </c>
      <c r="AE17" s="53">
        <v>1</v>
      </c>
      <c r="AF17" s="48">
        <v>97.5</v>
      </c>
    </row>
    <row r="18" spans="1:32" x14ac:dyDescent="0.2">
      <c r="A18" s="10" t="s">
        <v>411</v>
      </c>
      <c r="B18" s="107">
        <v>0.875</v>
      </c>
      <c r="C18" s="107">
        <v>1</v>
      </c>
      <c r="D18" s="53">
        <v>0.98734177215189878</v>
      </c>
      <c r="E18" s="53">
        <v>1</v>
      </c>
      <c r="F18" s="53">
        <v>1</v>
      </c>
      <c r="G18" s="53">
        <v>0.77215189873417722</v>
      </c>
      <c r="H18" s="53">
        <v>0.77922077922077926</v>
      </c>
      <c r="I18" s="53">
        <v>0.97468354430379744</v>
      </c>
      <c r="J18" s="53">
        <v>0.98684210526315785</v>
      </c>
      <c r="K18" s="53">
        <v>0.98734177215189878</v>
      </c>
      <c r="L18" s="53">
        <v>0.98734177215189878</v>
      </c>
      <c r="M18" s="53">
        <v>0.98734177215189878</v>
      </c>
      <c r="N18" s="53">
        <v>0.96103896103896103</v>
      </c>
      <c r="O18" s="53">
        <v>0.98717948717948723</v>
      </c>
      <c r="P18" s="53">
        <v>0.98734177215189878</v>
      </c>
      <c r="Q18" s="53">
        <v>1</v>
      </c>
      <c r="R18" s="53">
        <v>0.96103896103896103</v>
      </c>
      <c r="S18" s="53">
        <v>0.97368421052631582</v>
      </c>
      <c r="T18" s="53">
        <v>1</v>
      </c>
      <c r="U18" s="53">
        <v>0.92307692307692313</v>
      </c>
      <c r="V18" s="53">
        <v>0.98717948717948723</v>
      </c>
      <c r="W18" s="53">
        <v>0.91666666666666663</v>
      </c>
      <c r="X18" s="53">
        <v>0.82894736842105265</v>
      </c>
      <c r="Y18" s="53">
        <v>0.86111111111111116</v>
      </c>
      <c r="Z18" s="53">
        <v>0.98734177215189878</v>
      </c>
      <c r="AA18" s="53">
        <v>0.98734177215189878</v>
      </c>
      <c r="AB18" s="53">
        <v>0.98684210526315785</v>
      </c>
      <c r="AC18" s="53">
        <v>0.88157894736842102</v>
      </c>
      <c r="AD18" s="53">
        <v>1</v>
      </c>
      <c r="AE18" s="53">
        <v>0.92307692307692313</v>
      </c>
      <c r="AF18" s="48">
        <v>94.308596466824312</v>
      </c>
    </row>
    <row r="19" spans="1:32" x14ac:dyDescent="0.2">
      <c r="A19" s="35">
        <v>5</v>
      </c>
      <c r="B19" s="107">
        <v>0.83333333333333337</v>
      </c>
      <c r="C19" s="107" t="s">
        <v>51</v>
      </c>
      <c r="D19" s="53">
        <v>1</v>
      </c>
      <c r="E19" s="53">
        <v>1</v>
      </c>
      <c r="F19" s="53">
        <v>1</v>
      </c>
      <c r="G19" s="53">
        <v>0.7142857142857143</v>
      </c>
      <c r="H19" s="53">
        <v>0.5714285714285714</v>
      </c>
      <c r="I19" s="53">
        <v>0.8571428571428571</v>
      </c>
      <c r="J19" s="53">
        <v>0.8571428571428571</v>
      </c>
      <c r="K19" s="53">
        <v>1</v>
      </c>
      <c r="L19" s="53">
        <v>1</v>
      </c>
      <c r="M19" s="53">
        <v>0.8571428571428571</v>
      </c>
      <c r="N19" s="53">
        <v>1</v>
      </c>
      <c r="O19" s="53">
        <v>1</v>
      </c>
      <c r="P19" s="53">
        <v>1</v>
      </c>
      <c r="Q19" s="53">
        <v>1</v>
      </c>
      <c r="R19" s="53">
        <v>0.8571428571428571</v>
      </c>
      <c r="S19" s="53">
        <v>1</v>
      </c>
      <c r="T19" s="53">
        <v>1</v>
      </c>
      <c r="U19" s="53">
        <v>1</v>
      </c>
      <c r="V19" s="53">
        <v>1</v>
      </c>
      <c r="W19" s="53">
        <v>0.75</v>
      </c>
      <c r="X19" s="53">
        <v>0.7142857142857143</v>
      </c>
      <c r="Y19" s="53">
        <v>0.5714285714285714</v>
      </c>
      <c r="Z19" s="53">
        <v>1</v>
      </c>
      <c r="AA19" s="53">
        <v>1</v>
      </c>
      <c r="AB19" s="53">
        <v>1</v>
      </c>
      <c r="AC19" s="53">
        <v>0.7142857142857143</v>
      </c>
      <c r="AD19" s="53">
        <v>1</v>
      </c>
      <c r="AE19" s="53">
        <v>0.7142857142857143</v>
      </c>
      <c r="AF19" s="48">
        <v>89.976190476190467</v>
      </c>
    </row>
    <row r="20" spans="1:32" x14ac:dyDescent="0.2">
      <c r="A20" s="35">
        <v>9</v>
      </c>
      <c r="B20" s="107">
        <v>0.8</v>
      </c>
      <c r="C20" s="107" t="s">
        <v>51</v>
      </c>
      <c r="D20" s="53">
        <v>0.83333333333333337</v>
      </c>
      <c r="E20" s="53">
        <v>1</v>
      </c>
      <c r="F20" s="53">
        <v>1</v>
      </c>
      <c r="G20" s="53">
        <v>0.33333333333333331</v>
      </c>
      <c r="H20" s="53">
        <v>0.33333333333333331</v>
      </c>
      <c r="I20" s="53">
        <v>1</v>
      </c>
      <c r="J20" s="53">
        <v>1</v>
      </c>
      <c r="K20" s="53">
        <v>0.83333333333333337</v>
      </c>
      <c r="L20" s="53">
        <v>0.83333333333333337</v>
      </c>
      <c r="M20" s="53">
        <v>1</v>
      </c>
      <c r="N20" s="53">
        <v>1</v>
      </c>
      <c r="O20" s="53">
        <v>1</v>
      </c>
      <c r="P20" s="53">
        <v>1</v>
      </c>
      <c r="Q20" s="53">
        <v>1</v>
      </c>
      <c r="R20" s="53">
        <v>0.8</v>
      </c>
      <c r="S20" s="53">
        <v>0.83333333333333337</v>
      </c>
      <c r="T20" s="53">
        <v>1</v>
      </c>
      <c r="U20" s="53">
        <v>0.5</v>
      </c>
      <c r="V20" s="53">
        <v>0.83333333333333337</v>
      </c>
      <c r="W20" s="53">
        <v>0.25</v>
      </c>
      <c r="X20" s="53">
        <v>0.5</v>
      </c>
      <c r="Y20" s="53">
        <v>0.5</v>
      </c>
      <c r="Z20" s="53">
        <v>1</v>
      </c>
      <c r="AA20" s="53">
        <v>0.83333333333333337</v>
      </c>
      <c r="AB20" s="53">
        <v>1</v>
      </c>
      <c r="AC20" s="53">
        <v>0.5</v>
      </c>
      <c r="AD20" s="53">
        <v>1</v>
      </c>
      <c r="AE20" s="53">
        <v>0.5</v>
      </c>
      <c r="AF20" s="48">
        <v>75.908333333333317</v>
      </c>
    </row>
    <row r="21" spans="1:32" x14ac:dyDescent="0.2">
      <c r="A21" s="35">
        <v>6</v>
      </c>
      <c r="B21" s="107">
        <v>0.85</v>
      </c>
      <c r="C21" s="107">
        <v>1</v>
      </c>
      <c r="D21" s="53">
        <v>1</v>
      </c>
      <c r="E21" s="53">
        <v>1</v>
      </c>
      <c r="F21" s="53">
        <v>1</v>
      </c>
      <c r="G21" s="53">
        <v>0.9</v>
      </c>
      <c r="H21" s="53">
        <v>0.75</v>
      </c>
      <c r="I21" s="53">
        <v>1</v>
      </c>
      <c r="J21" s="53">
        <v>1</v>
      </c>
      <c r="K21" s="53">
        <v>1</v>
      </c>
      <c r="L21" s="53">
        <v>1</v>
      </c>
      <c r="M21" s="53">
        <v>1</v>
      </c>
      <c r="N21" s="53">
        <v>0.94736842105263153</v>
      </c>
      <c r="O21" s="53">
        <v>1</v>
      </c>
      <c r="P21" s="53">
        <v>1</v>
      </c>
      <c r="Q21" s="53">
        <v>1</v>
      </c>
      <c r="R21" s="53">
        <v>0.95</v>
      </c>
      <c r="S21" s="53">
        <v>1</v>
      </c>
      <c r="T21" s="53">
        <v>1</v>
      </c>
      <c r="U21" s="53">
        <v>0.95</v>
      </c>
      <c r="V21" s="53">
        <v>1</v>
      </c>
      <c r="W21" s="53">
        <v>1</v>
      </c>
      <c r="X21" s="53">
        <v>0.84210526315789469</v>
      </c>
      <c r="Y21" s="53">
        <v>0.94736842105263153</v>
      </c>
      <c r="Z21" s="53">
        <v>1</v>
      </c>
      <c r="AA21" s="53">
        <v>1</v>
      </c>
      <c r="AB21" s="53">
        <v>1</v>
      </c>
      <c r="AC21" s="53">
        <v>0.89473684210526316</v>
      </c>
      <c r="AD21" s="53">
        <v>1</v>
      </c>
      <c r="AE21" s="53">
        <v>1</v>
      </c>
      <c r="AF21" s="48">
        <v>96.668333333333337</v>
      </c>
    </row>
    <row r="22" spans="1:32" x14ac:dyDescent="0.2">
      <c r="A22" s="35">
        <v>7</v>
      </c>
      <c r="B22" s="107">
        <v>1</v>
      </c>
      <c r="C22" s="107" t="s">
        <v>51</v>
      </c>
      <c r="D22" s="53">
        <v>1</v>
      </c>
      <c r="E22" s="53">
        <v>1</v>
      </c>
      <c r="F22" s="53">
        <v>1</v>
      </c>
      <c r="G22" s="53">
        <v>0.8214285714285714</v>
      </c>
      <c r="H22" s="53">
        <v>0.8928571428571429</v>
      </c>
      <c r="I22" s="53">
        <v>0.9642857142857143</v>
      </c>
      <c r="J22" s="53">
        <v>1</v>
      </c>
      <c r="K22" s="53">
        <v>1</v>
      </c>
      <c r="L22" s="53">
        <v>1</v>
      </c>
      <c r="M22" s="53">
        <v>1</v>
      </c>
      <c r="N22" s="53">
        <v>1</v>
      </c>
      <c r="O22" s="53">
        <v>0.9642857142857143</v>
      </c>
      <c r="P22" s="53">
        <v>0.9642857142857143</v>
      </c>
      <c r="Q22" s="53">
        <v>1</v>
      </c>
      <c r="R22" s="53">
        <v>1</v>
      </c>
      <c r="S22" s="53">
        <v>1</v>
      </c>
      <c r="T22" s="53">
        <v>1</v>
      </c>
      <c r="U22" s="53">
        <v>0.92592592592592593</v>
      </c>
      <c r="V22" s="53">
        <v>1</v>
      </c>
      <c r="W22" s="53">
        <v>1</v>
      </c>
      <c r="X22" s="53">
        <v>0.88461538461538458</v>
      </c>
      <c r="Y22" s="53">
        <v>0.92592592592592593</v>
      </c>
      <c r="Z22" s="53">
        <v>0.9642857142857143</v>
      </c>
      <c r="AA22" s="53">
        <v>1</v>
      </c>
      <c r="AB22" s="53">
        <v>1</v>
      </c>
      <c r="AC22" s="53">
        <v>0.96153846153846156</v>
      </c>
      <c r="AD22" s="53">
        <v>1</v>
      </c>
      <c r="AE22" s="53">
        <v>0.9642857142857143</v>
      </c>
      <c r="AF22" s="48">
        <v>97.167261904761901</v>
      </c>
    </row>
    <row r="23" spans="1:32" x14ac:dyDescent="0.2">
      <c r="A23" s="35">
        <v>8</v>
      </c>
      <c r="B23" s="107">
        <v>0.75</v>
      </c>
      <c r="C23" s="107">
        <v>1</v>
      </c>
      <c r="D23" s="53">
        <v>1</v>
      </c>
      <c r="E23" s="53">
        <v>1</v>
      </c>
      <c r="F23" s="53">
        <v>1</v>
      </c>
      <c r="G23" s="53">
        <v>0.72222222222222221</v>
      </c>
      <c r="H23" s="53">
        <v>0.875</v>
      </c>
      <c r="I23" s="53">
        <v>1</v>
      </c>
      <c r="J23" s="53">
        <v>1</v>
      </c>
      <c r="K23" s="53">
        <v>1</v>
      </c>
      <c r="L23" s="53">
        <v>1</v>
      </c>
      <c r="M23" s="53">
        <v>1</v>
      </c>
      <c r="N23" s="53">
        <v>0.88888888888888884</v>
      </c>
      <c r="O23" s="53">
        <v>1</v>
      </c>
      <c r="P23" s="53">
        <v>1</v>
      </c>
      <c r="Q23" s="53">
        <v>1</v>
      </c>
      <c r="R23" s="53">
        <v>1</v>
      </c>
      <c r="S23" s="53">
        <v>0.9375</v>
      </c>
      <c r="T23" s="53">
        <v>1</v>
      </c>
      <c r="U23" s="53">
        <v>1</v>
      </c>
      <c r="V23" s="53">
        <v>1</v>
      </c>
      <c r="W23" s="53">
        <v>1</v>
      </c>
      <c r="X23" s="53">
        <v>0.88888888888888884</v>
      </c>
      <c r="Y23" s="53">
        <v>0.8666666666666667</v>
      </c>
      <c r="Z23" s="53">
        <v>1</v>
      </c>
      <c r="AA23" s="53">
        <v>1</v>
      </c>
      <c r="AB23" s="53">
        <v>0.94117647058823528</v>
      </c>
      <c r="AC23" s="53">
        <v>0.94444444444444442</v>
      </c>
      <c r="AD23" s="53">
        <v>1</v>
      </c>
      <c r="AE23" s="53">
        <v>1</v>
      </c>
      <c r="AF23" s="48">
        <v>95.058099308099315</v>
      </c>
    </row>
    <row r="24" spans="1:32" x14ac:dyDescent="0.2">
      <c r="A24" s="10" t="s">
        <v>413</v>
      </c>
      <c r="B24" s="107">
        <v>1</v>
      </c>
      <c r="C24" s="107">
        <v>1</v>
      </c>
      <c r="D24" s="53">
        <v>1</v>
      </c>
      <c r="E24" s="53">
        <v>1</v>
      </c>
      <c r="F24" s="53">
        <v>0.90909090909090906</v>
      </c>
      <c r="G24" s="53">
        <v>1</v>
      </c>
      <c r="H24" s="53">
        <v>1</v>
      </c>
      <c r="I24" s="53">
        <v>1</v>
      </c>
      <c r="J24" s="53">
        <v>1</v>
      </c>
      <c r="K24" s="53">
        <v>0.90909090909090906</v>
      </c>
      <c r="L24" s="53">
        <v>1</v>
      </c>
      <c r="M24" s="53">
        <v>1</v>
      </c>
      <c r="N24" s="53">
        <v>1</v>
      </c>
      <c r="O24" s="53">
        <v>0.90909090909090906</v>
      </c>
      <c r="P24" s="53">
        <v>1</v>
      </c>
      <c r="Q24" s="53">
        <v>1</v>
      </c>
      <c r="R24" s="53">
        <v>0.90909090909090906</v>
      </c>
      <c r="S24" s="53">
        <v>0.90909090909090906</v>
      </c>
      <c r="T24" s="53">
        <v>1</v>
      </c>
      <c r="U24" s="53">
        <v>0.90909090909090906</v>
      </c>
      <c r="V24" s="53">
        <v>1</v>
      </c>
      <c r="W24" s="53">
        <v>1</v>
      </c>
      <c r="X24" s="53">
        <v>1</v>
      </c>
      <c r="Y24" s="53">
        <v>0.54545454545454541</v>
      </c>
      <c r="Z24" s="53">
        <v>0.90909090909090906</v>
      </c>
      <c r="AA24" s="53">
        <v>1</v>
      </c>
      <c r="AB24" s="53">
        <v>0.90909090909090906</v>
      </c>
      <c r="AC24" s="53">
        <v>1</v>
      </c>
      <c r="AD24" s="53">
        <v>1</v>
      </c>
      <c r="AE24" s="53">
        <v>1</v>
      </c>
      <c r="AF24" s="48">
        <v>94.61969696969696</v>
      </c>
    </row>
    <row r="25" spans="1:32" x14ac:dyDescent="0.2">
      <c r="A25" s="35">
        <v>14</v>
      </c>
      <c r="B25" s="107">
        <v>1</v>
      </c>
      <c r="C25" s="107">
        <v>1</v>
      </c>
      <c r="D25" s="53">
        <v>1</v>
      </c>
      <c r="E25" s="53">
        <v>1</v>
      </c>
      <c r="F25" s="53">
        <v>0.90909090909090906</v>
      </c>
      <c r="G25" s="53">
        <v>1</v>
      </c>
      <c r="H25" s="53">
        <v>1</v>
      </c>
      <c r="I25" s="53">
        <v>1</v>
      </c>
      <c r="J25" s="53">
        <v>1</v>
      </c>
      <c r="K25" s="53">
        <v>0.90909090909090906</v>
      </c>
      <c r="L25" s="53">
        <v>1</v>
      </c>
      <c r="M25" s="53">
        <v>1</v>
      </c>
      <c r="N25" s="53">
        <v>1</v>
      </c>
      <c r="O25" s="53">
        <v>0.90909090909090906</v>
      </c>
      <c r="P25" s="53">
        <v>1</v>
      </c>
      <c r="Q25" s="53">
        <v>1</v>
      </c>
      <c r="R25" s="53">
        <v>0.90909090909090906</v>
      </c>
      <c r="S25" s="53">
        <v>0.90909090909090906</v>
      </c>
      <c r="T25" s="53">
        <v>1</v>
      </c>
      <c r="U25" s="53">
        <v>0.90909090909090906</v>
      </c>
      <c r="V25" s="53">
        <v>1</v>
      </c>
      <c r="W25" s="53">
        <v>1</v>
      </c>
      <c r="X25" s="53">
        <v>1</v>
      </c>
      <c r="Y25" s="53">
        <v>0.54545454545454541</v>
      </c>
      <c r="Z25" s="53">
        <v>0.90909090909090906</v>
      </c>
      <c r="AA25" s="53">
        <v>1</v>
      </c>
      <c r="AB25" s="53">
        <v>0.90909090909090906</v>
      </c>
      <c r="AC25" s="53">
        <v>1</v>
      </c>
      <c r="AD25" s="53">
        <v>1</v>
      </c>
      <c r="AE25" s="53">
        <v>1</v>
      </c>
      <c r="AF25" s="48">
        <v>94.61969696969696</v>
      </c>
    </row>
    <row r="26" spans="1:32" x14ac:dyDescent="0.2">
      <c r="A26" s="10" t="s">
        <v>141</v>
      </c>
      <c r="B26" s="107">
        <v>0.85470085470085466</v>
      </c>
      <c r="C26" s="107">
        <v>1</v>
      </c>
      <c r="D26" s="53">
        <v>0.97348484848484851</v>
      </c>
      <c r="E26" s="53">
        <v>1</v>
      </c>
      <c r="F26" s="53">
        <v>0.98479087452471481</v>
      </c>
      <c r="G26" s="53">
        <v>0.78409090909090906</v>
      </c>
      <c r="H26" s="53">
        <v>0.806949806949807</v>
      </c>
      <c r="I26" s="53">
        <v>0.98863636363636365</v>
      </c>
      <c r="J26" s="53">
        <v>0.96850393700787396</v>
      </c>
      <c r="K26" s="53">
        <v>0.97338403041825095</v>
      </c>
      <c r="L26" s="53">
        <v>0.98106060606060608</v>
      </c>
      <c r="M26" s="53">
        <v>0.99621212121212122</v>
      </c>
      <c r="N26" s="53">
        <v>0.95419847328244278</v>
      </c>
      <c r="O26" s="53">
        <v>0.98467432950191569</v>
      </c>
      <c r="P26" s="53">
        <v>0.98863636363636365</v>
      </c>
      <c r="Q26" s="53">
        <v>0.96491228070175439</v>
      </c>
      <c r="R26" s="53">
        <v>0.94186046511627908</v>
      </c>
      <c r="S26" s="53">
        <v>0.95785440613026818</v>
      </c>
      <c r="T26" s="53">
        <v>0.99616858237547889</v>
      </c>
      <c r="U26" s="53">
        <v>0.94676806083650189</v>
      </c>
      <c r="V26" s="53">
        <v>0.97683397683397688</v>
      </c>
      <c r="W26" s="53">
        <v>0.90833333333333333</v>
      </c>
      <c r="X26" s="53">
        <v>0.80784313725490198</v>
      </c>
      <c r="Y26" s="53">
        <v>0.82539682539682535</v>
      </c>
      <c r="Z26" s="53">
        <v>0.98484848484848486</v>
      </c>
      <c r="AA26" s="53">
        <v>0.97727272727272729</v>
      </c>
      <c r="AB26" s="53">
        <v>0.98828125</v>
      </c>
      <c r="AC26" s="53">
        <v>0.83657587548638135</v>
      </c>
      <c r="AD26" s="53">
        <v>0.94285714285714284</v>
      </c>
      <c r="AE26" s="53">
        <v>0.92307692307692313</v>
      </c>
      <c r="AF26" s="48">
        <v>93.530344655344678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4"/>
  <sheetViews>
    <sheetView workbookViewId="0">
      <selection activeCell="A15" sqref="A15"/>
    </sheetView>
  </sheetViews>
  <sheetFormatPr baseColWidth="10" defaultRowHeight="12.75" x14ac:dyDescent="0.2"/>
  <cols>
    <col min="1" max="1" width="20.85546875" style="28" bestFit="1" customWidth="1"/>
    <col min="2" max="4" width="11.42578125" style="28"/>
    <col min="5" max="5" width="19.42578125" style="28" bestFit="1" customWidth="1"/>
    <col min="6" max="9" width="11.42578125" style="28"/>
    <col min="10" max="10" width="24.28515625" style="28" customWidth="1"/>
    <col min="11" max="16384" width="11.42578125" style="28"/>
  </cols>
  <sheetData>
    <row r="2" spans="1:10" x14ac:dyDescent="0.2">
      <c r="A2" s="27" t="s">
        <v>253</v>
      </c>
      <c r="B2" s="27" t="s">
        <v>333</v>
      </c>
      <c r="D2" s="134" t="s">
        <v>143</v>
      </c>
      <c r="E2" s="134"/>
      <c r="F2" s="56" t="s">
        <v>482</v>
      </c>
      <c r="G2" s="56" t="s">
        <v>483</v>
      </c>
      <c r="I2" s="135" t="s">
        <v>1</v>
      </c>
      <c r="J2" s="134"/>
    </row>
    <row r="3" spans="1:10" x14ac:dyDescent="0.2">
      <c r="A3" s="25" t="s">
        <v>41</v>
      </c>
      <c r="B3" s="27" t="s">
        <v>254</v>
      </c>
      <c r="D3" s="25">
        <v>1</v>
      </c>
      <c r="E3" s="26" t="s">
        <v>410</v>
      </c>
      <c r="F3" s="25">
        <v>12</v>
      </c>
      <c r="G3" s="25">
        <v>11</v>
      </c>
      <c r="I3" s="25" t="s">
        <v>74</v>
      </c>
      <c r="J3" s="26" t="s">
        <v>555</v>
      </c>
    </row>
    <row r="4" spans="1:10" x14ac:dyDescent="0.2">
      <c r="A4" s="25" t="s">
        <v>52</v>
      </c>
      <c r="B4" s="27" t="s">
        <v>254</v>
      </c>
      <c r="D4" s="25">
        <v>2</v>
      </c>
      <c r="E4" s="26" t="s">
        <v>411</v>
      </c>
      <c r="F4" s="25">
        <v>1</v>
      </c>
      <c r="G4" s="25">
        <v>12</v>
      </c>
      <c r="I4" s="25" t="s">
        <v>99</v>
      </c>
      <c r="J4" s="26" t="s">
        <v>556</v>
      </c>
    </row>
    <row r="5" spans="1:10" x14ac:dyDescent="0.2">
      <c r="A5" s="25" t="s">
        <v>61</v>
      </c>
      <c r="B5" s="27" t="s">
        <v>254</v>
      </c>
      <c r="D5" s="25">
        <v>3</v>
      </c>
      <c r="E5" s="26" t="s">
        <v>412</v>
      </c>
      <c r="F5" s="25">
        <v>2</v>
      </c>
      <c r="G5" s="25">
        <v>1</v>
      </c>
      <c r="I5" s="25" t="s">
        <v>175</v>
      </c>
      <c r="J5" s="26" t="s">
        <v>557</v>
      </c>
    </row>
    <row r="6" spans="1:10" x14ac:dyDescent="0.2">
      <c r="A6" s="25" t="s">
        <v>255</v>
      </c>
      <c r="B6" s="29" t="s">
        <v>288</v>
      </c>
      <c r="D6" s="25">
        <v>4</v>
      </c>
      <c r="E6" s="26" t="s">
        <v>413</v>
      </c>
      <c r="F6" s="25">
        <v>3</v>
      </c>
      <c r="G6" s="25">
        <v>2</v>
      </c>
      <c r="I6" s="25" t="s">
        <v>47</v>
      </c>
      <c r="J6" s="26" t="s">
        <v>47</v>
      </c>
    </row>
    <row r="7" spans="1:10" x14ac:dyDescent="0.2">
      <c r="A7" s="25" t="s">
        <v>277</v>
      </c>
      <c r="B7" s="29" t="s">
        <v>288</v>
      </c>
      <c r="D7" s="25">
        <v>5</v>
      </c>
      <c r="E7" s="26" t="s">
        <v>414</v>
      </c>
      <c r="F7" s="25">
        <v>4</v>
      </c>
      <c r="G7" s="25">
        <v>3</v>
      </c>
    </row>
    <row r="8" spans="1:10" x14ac:dyDescent="0.2">
      <c r="A8" s="25" t="s">
        <v>291</v>
      </c>
      <c r="B8" s="29" t="s">
        <v>288</v>
      </c>
      <c r="D8" s="25">
        <v>6</v>
      </c>
      <c r="E8" s="26" t="s">
        <v>415</v>
      </c>
      <c r="F8" s="25">
        <v>5</v>
      </c>
      <c r="G8" s="25">
        <v>4</v>
      </c>
    </row>
    <row r="9" spans="1:10" x14ac:dyDescent="0.2">
      <c r="A9" s="25" t="s">
        <v>352</v>
      </c>
      <c r="B9" s="29" t="s">
        <v>288</v>
      </c>
      <c r="D9" s="25">
        <v>7</v>
      </c>
      <c r="E9" s="26" t="s">
        <v>416</v>
      </c>
      <c r="F9" s="25">
        <v>6</v>
      </c>
      <c r="G9" s="25">
        <v>5</v>
      </c>
    </row>
    <row r="10" spans="1:10" x14ac:dyDescent="0.2">
      <c r="A10" s="25" t="s">
        <v>359</v>
      </c>
      <c r="B10" s="29" t="s">
        <v>288</v>
      </c>
      <c r="D10" s="25">
        <v>8</v>
      </c>
      <c r="E10" s="26" t="s">
        <v>417</v>
      </c>
      <c r="F10" s="25">
        <v>7</v>
      </c>
      <c r="G10" s="25">
        <v>6</v>
      </c>
    </row>
    <row r="11" spans="1:10" x14ac:dyDescent="0.2">
      <c r="A11" s="25" t="s">
        <v>1333</v>
      </c>
      <c r="B11" s="29" t="s">
        <v>288</v>
      </c>
      <c r="D11" s="25">
        <v>9</v>
      </c>
      <c r="E11" s="26" t="s">
        <v>418</v>
      </c>
      <c r="F11" s="25">
        <v>8</v>
      </c>
      <c r="G11" s="25">
        <v>7</v>
      </c>
    </row>
    <row r="12" spans="1:10" x14ac:dyDescent="0.2">
      <c r="D12" s="25">
        <v>10</v>
      </c>
      <c r="E12" s="26" t="s">
        <v>419</v>
      </c>
      <c r="F12" s="25">
        <v>9</v>
      </c>
      <c r="G12" s="25">
        <v>8</v>
      </c>
    </row>
    <row r="13" spans="1:10" x14ac:dyDescent="0.2">
      <c r="D13" s="25">
        <v>11</v>
      </c>
      <c r="E13" s="26" t="s">
        <v>420</v>
      </c>
      <c r="F13" s="25">
        <v>10</v>
      </c>
      <c r="G13" s="25">
        <v>9</v>
      </c>
    </row>
    <row r="14" spans="1:10" x14ac:dyDescent="0.2">
      <c r="D14" s="25">
        <v>12</v>
      </c>
      <c r="E14" s="26" t="s">
        <v>421</v>
      </c>
      <c r="F14" s="25">
        <v>11</v>
      </c>
      <c r="G14" s="25">
        <v>10</v>
      </c>
    </row>
  </sheetData>
  <mergeCells count="2">
    <mergeCell ref="D2:E2"/>
    <mergeCell ref="I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Param</vt:lpstr>
      <vt:lpstr>Bilan Trimestiel par Item</vt:lpstr>
      <vt:lpstr>Bilan mensuel COPIL</vt:lpstr>
      <vt:lpstr>Bilan mensuel sur 3 mois</vt:lpstr>
      <vt:lpstr>Bilan Hebdomadaire</vt:lpstr>
      <vt:lpstr>RESULTATS BO</vt:lpstr>
      <vt:lpstr>Moyenne globale BO</vt:lpstr>
      <vt:lpstr>TCD BO par CC</vt:lpstr>
      <vt:lpstr>TCD BO par titre</vt:lpstr>
      <vt:lpstr>TCD BO</vt:lpstr>
      <vt:lpstr>RESULTATS FO</vt:lpstr>
      <vt:lpstr>Moyenne globale FO</vt:lpstr>
      <vt:lpstr>TCD FO par CC</vt:lpstr>
      <vt:lpstr>TCD FO par titre</vt:lpstr>
      <vt:lpstr>TCD FO</vt:lpstr>
      <vt:lpstr>Correspondance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2018-01-08T16:23:04Z</dcterms:created>
  <dcterms:modified xsi:type="dcterms:W3CDTF">2018-04-09T08:37:51Z</dcterms:modified>
</cp:coreProperties>
</file>