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ufiane\OneDrive\TFE ISB othmane - Copie\Programme Excel pertes de charge\"/>
    </mc:Choice>
  </mc:AlternateContent>
  <xr:revisionPtr revIDLastSave="0" documentId="8_{C97C88C4-E2E3-4B37-9C08-0CFC55D1FA7E}" xr6:coauthVersionLast="31" xr6:coauthVersionMax="31" xr10:uidLastSave="{00000000-0000-0000-0000-000000000000}"/>
  <bookViews>
    <workbookView xWindow="0" yWindow="0" windowWidth="23040" windowHeight="9072" xr2:uid="{5FE77BCA-EE19-43EA-99E3-AF43D54E024B}"/>
  </bookViews>
  <sheets>
    <sheet name="Feuille de calculs" sheetId="1" r:id="rId1"/>
    <sheet name="Autres" sheetId="2" r:id="rId2"/>
    <sheet name="Coudes" sheetId="3" r:id="rId3"/>
  </sheets>
  <externalReferences>
    <externalReference r:id="rId4"/>
  </externalReferences>
  <definedNames>
    <definedName name="Angle_ccc">[1]Coudes!$M$24:$M$25</definedName>
    <definedName name="Angle_segments">[1]Coudes!$Q$96:$Q$98</definedName>
    <definedName name="anglecouderec">[1]Coudes!$S$73:$S$76</definedName>
    <definedName name="montageSTU">[1]Autres!$N$4:$N$6</definedName>
    <definedName name="Nbr_Segments">[1]Coudes!$R$96:$R$98</definedName>
    <definedName name="ref_sing">[1]Autres!$C$16:$C$43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3" i="3" l="1"/>
  <c r="C192" i="3"/>
  <c r="C190" i="3"/>
  <c r="C189" i="3"/>
  <c r="F188" i="3"/>
  <c r="C188" i="3"/>
  <c r="C194" i="3" s="1"/>
  <c r="C187" i="3"/>
  <c r="C170" i="3"/>
  <c r="P169" i="3"/>
  <c r="P172" i="3" s="1"/>
  <c r="P168" i="3"/>
  <c r="P171" i="3" s="1"/>
  <c r="I138" i="3"/>
  <c r="I139" i="3" s="1"/>
  <c r="S137" i="3"/>
  <c r="S134" i="3"/>
  <c r="I133" i="3"/>
  <c r="C124" i="3"/>
  <c r="C125" i="3" s="1"/>
  <c r="C123" i="3"/>
  <c r="C122" i="3"/>
  <c r="C121" i="3"/>
  <c r="C120" i="3"/>
  <c r="I128" i="3" s="1"/>
  <c r="C119" i="3"/>
  <c r="L99" i="3"/>
  <c r="L98" i="3"/>
  <c r="F98" i="3"/>
  <c r="L97" i="3"/>
  <c r="L96" i="3"/>
  <c r="O95" i="3"/>
  <c r="F97" i="3" s="1"/>
  <c r="F90" i="3" s="1"/>
  <c r="F91" i="3" s="1"/>
  <c r="L95" i="3"/>
  <c r="F76" i="3"/>
  <c r="Q74" i="3"/>
  <c r="F75" i="3" s="1"/>
  <c r="F73" i="3"/>
  <c r="Q73" i="3" s="1"/>
  <c r="F74" i="3" s="1"/>
  <c r="K52" i="3"/>
  <c r="J52" i="3"/>
  <c r="H51" i="3"/>
  <c r="K50" i="3"/>
  <c r="J50" i="3"/>
  <c r="N48" i="3" s="1"/>
  <c r="H50" i="3"/>
  <c r="J54" i="3" s="1"/>
  <c r="H49" i="3"/>
  <c r="H48" i="3"/>
  <c r="N49" i="3" s="1"/>
  <c r="N50" i="3" s="1"/>
  <c r="H42" i="3" s="1"/>
  <c r="H43" i="3" s="1"/>
  <c r="K27" i="3"/>
  <c r="J27" i="3"/>
  <c r="K25" i="3"/>
  <c r="J25" i="3"/>
  <c r="F25" i="3"/>
  <c r="F23" i="3"/>
  <c r="F24" i="3" s="1"/>
  <c r="F16" i="3" s="1"/>
  <c r="F17" i="3" s="1"/>
  <c r="K77" i="3" l="1"/>
  <c r="K74" i="3"/>
  <c r="K76" i="3"/>
  <c r="K75" i="3"/>
  <c r="K73" i="3"/>
  <c r="N73" i="3"/>
  <c r="G124" i="3"/>
  <c r="P175" i="3"/>
  <c r="F187" i="3" s="1"/>
  <c r="J124" i="3"/>
  <c r="I134" i="3"/>
  <c r="J123" i="3"/>
  <c r="K145" i="3" s="1"/>
  <c r="G119" i="3"/>
  <c r="J120" i="3" s="1"/>
  <c r="G122" i="3"/>
  <c r="J122" i="3" s="1"/>
  <c r="G125" i="3"/>
  <c r="S135" i="3"/>
  <c r="S138" i="3" s="1"/>
  <c r="G120" i="3"/>
  <c r="J121" i="3" s="1"/>
  <c r="K132" i="3" s="1"/>
  <c r="D175" i="3"/>
  <c r="C191" i="3"/>
  <c r="C171" i="3" s="1"/>
  <c r="G123" i="3"/>
  <c r="I129" i="3"/>
  <c r="E175" i="3"/>
  <c r="I175" i="3"/>
  <c r="J175" i="3" s="1"/>
  <c r="G121" i="3"/>
  <c r="K136" i="3" l="1"/>
  <c r="L132" i="3"/>
  <c r="L139" i="3" s="1"/>
  <c r="K138" i="3"/>
  <c r="K139" i="3"/>
  <c r="N74" i="3"/>
  <c r="F67" i="3"/>
  <c r="F68" i="3" s="1"/>
  <c r="N75" i="3"/>
  <c r="B178" i="3"/>
  <c r="B177" i="3"/>
  <c r="G177" i="3" s="1"/>
  <c r="E185" i="3"/>
  <c r="S141" i="3"/>
  <c r="D177" i="3" l="1"/>
  <c r="E177" i="3"/>
  <c r="H181" i="3" s="1"/>
  <c r="G178" i="3"/>
  <c r="L136" i="3"/>
  <c r="N142" i="3" s="1"/>
  <c r="L138" i="3"/>
  <c r="N144" i="3" l="1"/>
  <c r="N145" i="3" s="1"/>
  <c r="G111" i="3" s="1"/>
  <c r="G112" i="3" s="1"/>
  <c r="E178" i="3"/>
  <c r="H182" i="3" s="1"/>
  <c r="C184" i="3" s="1"/>
  <c r="F189" i="3" s="1"/>
  <c r="H160" i="3" s="1"/>
  <c r="H161" i="3" s="1"/>
  <c r="D178" i="3"/>
  <c r="N141" i="3"/>
</calcChain>
</file>

<file path=xl/sharedStrings.xml><?xml version="1.0" encoding="utf-8"?>
<sst xmlns="http://schemas.openxmlformats.org/spreadsheetml/2006/main" count="334" uniqueCount="208">
  <si>
    <t>Type de singularité</t>
  </si>
  <si>
    <t>Référence</t>
  </si>
  <si>
    <t>Pertes de charges singulières</t>
  </si>
  <si>
    <t>Aucun</t>
  </si>
  <si>
    <t>Gaine droite</t>
  </si>
  <si>
    <t>Autre</t>
  </si>
  <si>
    <t>CC</t>
  </si>
  <si>
    <t>Coude à section circulaire</t>
  </si>
  <si>
    <t>CR</t>
  </si>
  <si>
    <t>Coude à section rectangulaire</t>
  </si>
  <si>
    <t>CSC</t>
  </si>
  <si>
    <t>Coude en segments à section circulaire</t>
  </si>
  <si>
    <t>CBR</t>
  </si>
  <si>
    <t>Coude brusque 90° à section rectangulaire avec élargissement ou rétrécissement de la section de sortie</t>
  </si>
  <si>
    <t>CTR</t>
  </si>
  <si>
    <t>Coude de transformation à section rectangulaire</t>
  </si>
  <si>
    <t>CSTU</t>
  </si>
  <si>
    <t>Coude montage en S, T ou U</t>
  </si>
  <si>
    <t>RLC</t>
  </si>
  <si>
    <t>Réunion des courants latéraux à section circulaire</t>
  </si>
  <si>
    <t>RTC</t>
  </si>
  <si>
    <t>Réunion des courants en T à section circulaire</t>
  </si>
  <si>
    <t>RLR</t>
  </si>
  <si>
    <t>Réunion des courants latéraux à section rectangulaire</t>
  </si>
  <si>
    <t>RTR</t>
  </si>
  <si>
    <t>Réunion des courants en T à section rectangulaire</t>
  </si>
  <si>
    <t>SLC</t>
  </si>
  <si>
    <t>Séparation des courants latéraux à section circulaire</t>
  </si>
  <si>
    <t>STC</t>
  </si>
  <si>
    <t>Séparation des courants en T à section circulaire</t>
  </si>
  <si>
    <t>SLR</t>
  </si>
  <si>
    <t>Séparation des courants latéraux à section rectangulaire</t>
  </si>
  <si>
    <t>STR</t>
  </si>
  <si>
    <t>Séparation des courants en T à section rectangulaire</t>
  </si>
  <si>
    <t>TDC</t>
  </si>
  <si>
    <t>Tranformation divergent à section circulaire</t>
  </si>
  <si>
    <t>TCC</t>
  </si>
  <si>
    <t>Tranformation convergent à section circulaire</t>
  </si>
  <si>
    <t>TDR</t>
  </si>
  <si>
    <t>Tranformation divergents à section rectangulaire</t>
  </si>
  <si>
    <t>TCR</t>
  </si>
  <si>
    <t>Tranformation convergents à section rectangulaire</t>
  </si>
  <si>
    <t>TMRC</t>
  </si>
  <si>
    <t>Transformation section rectangulaire à section circulaire</t>
  </si>
  <si>
    <t>TMCR</t>
  </si>
  <si>
    <t>Transformation section circulaire à section rectangulaire</t>
  </si>
  <si>
    <t>EDC</t>
  </si>
  <si>
    <t>Entrée droite dans un conduit à section circulaire</t>
  </si>
  <si>
    <t>EDR</t>
  </si>
  <si>
    <t>Entrée droite dans un conduit à section rectangulaire</t>
  </si>
  <si>
    <t>SC</t>
  </si>
  <si>
    <t>Sortie libre d'un conduit à section circulaire</t>
  </si>
  <si>
    <t>SR</t>
  </si>
  <si>
    <t>Sortie libre d'un conduit à section rectangulaire</t>
  </si>
  <si>
    <t>SPC</t>
  </si>
  <si>
    <t>Sortie libre d'un conduit placé dans une paroi à section circulaire</t>
  </si>
  <si>
    <t>SPR</t>
  </si>
  <si>
    <t>Sortie libre d'un conduit placé dans une paroi à section rectangulaire</t>
  </si>
  <si>
    <t xml:space="preserve">CALCUL DES PERTES DE CHARGE AERAULIQUES </t>
  </si>
  <si>
    <t>coude en forme de Z pag 212</t>
  </si>
  <si>
    <t>Calcul des coefficients ξ (Ksi) des Coudes</t>
  </si>
  <si>
    <t>CC : Coude à section circulaire</t>
  </si>
  <si>
    <t>Coude cintrés à 90°</t>
  </si>
  <si>
    <t>Angle [°]</t>
  </si>
  <si>
    <t xml:space="preserve"> ξ</t>
  </si>
  <si>
    <t>Rm/D</t>
  </si>
  <si>
    <t>Débit [m³/h]</t>
  </si>
  <si>
    <t>D [mm]</t>
  </si>
  <si>
    <t>Ø D [mm]</t>
  </si>
  <si>
    <t xml:space="preserve"> ξ Ksi =</t>
  </si>
  <si>
    <t>Coude cintrés à 45°</t>
  </si>
  <si>
    <t xml:space="preserve"> ΔP [Pa] =</t>
  </si>
  <si>
    <t>Compteur :</t>
  </si>
  <si>
    <t>Rm [mm]</t>
  </si>
  <si>
    <t>90°</t>
  </si>
  <si>
    <t>45°</t>
  </si>
  <si>
    <t xml:space="preserve"> ξ si Rm/D=1</t>
  </si>
  <si>
    <t xml:space="preserve"> ξ si Rm/D=1,6</t>
  </si>
  <si>
    <t>Vitesse [m/s]</t>
  </si>
  <si>
    <t xml:space="preserve"> ξ si Rm/D=1,5</t>
  </si>
  <si>
    <t xml:space="preserve"> ξ si Rm/D=autre</t>
  </si>
  <si>
    <t>CSTU : Coude montage en S, T ou U</t>
  </si>
  <si>
    <t>Montage S</t>
  </si>
  <si>
    <t>Montage T</t>
  </si>
  <si>
    <t>Montage U</t>
  </si>
  <si>
    <t>L/D</t>
  </si>
  <si>
    <t>k</t>
  </si>
  <si>
    <t>Longueur L [mm]</t>
  </si>
  <si>
    <t>ξ d'un coude =</t>
  </si>
  <si>
    <t>CR : Coude à section rectangulaire</t>
  </si>
  <si>
    <t>Coudes cintrés à 90°</t>
  </si>
  <si>
    <t>r/a</t>
  </si>
  <si>
    <t>b/a</t>
  </si>
  <si>
    <t>b [mm]</t>
  </si>
  <si>
    <t>a [mm]</t>
  </si>
  <si>
    <t>r [mm]</t>
  </si>
  <si>
    <t>Si r/a = 0,5</t>
  </si>
  <si>
    <t>Ksi 90°</t>
  </si>
  <si>
    <t>Si r/a =0,75</t>
  </si>
  <si>
    <t>Ksi 45°</t>
  </si>
  <si>
    <t>Si r/a = 1</t>
  </si>
  <si>
    <t>Ksi 30°</t>
  </si>
  <si>
    <t>Si r/a = 1,5</t>
  </si>
  <si>
    <t>Si r/a =2</t>
  </si>
  <si>
    <t>CSC : Coude en segments à section circulaire</t>
  </si>
  <si>
    <t>Segments</t>
  </si>
  <si>
    <t>rm/D</t>
  </si>
  <si>
    <t>nbr Segments</t>
  </si>
  <si>
    <t>rm [mm]</t>
  </si>
  <si>
    <t>Si 45°</t>
  </si>
  <si>
    <t>rm/D = 1,5</t>
  </si>
  <si>
    <t>Nbr Segments</t>
  </si>
  <si>
    <t>Si 60°</t>
  </si>
  <si>
    <t>Si 90°</t>
  </si>
  <si>
    <t>rm/D = 1</t>
  </si>
  <si>
    <t>rm/D = 2,5</t>
  </si>
  <si>
    <t>CBR : Coude brusque 90° à section rectangulaire avec élargissement ou rétrécissement de la section de sortie</t>
  </si>
  <si>
    <t>A0/B0</t>
  </si>
  <si>
    <t>Coté B1 [mm]</t>
  </si>
  <si>
    <t>B1/B0</t>
  </si>
  <si>
    <t>&gt;4</t>
  </si>
  <si>
    <t>Ksi s'applique à la vitesse maximale (section étroite)</t>
  </si>
  <si>
    <t>A0 [mm]</t>
  </si>
  <si>
    <t>B0 [mm]</t>
  </si>
  <si>
    <t>A0 Hauteur entré = A1 Hauteur sortie</t>
  </si>
  <si>
    <t>CELLULES DE CALCUL INTERMEDIAIRES</t>
  </si>
  <si>
    <t>Coté A1 [mm]</t>
  </si>
  <si>
    <t>Test logique a0/b0&lt;0,25</t>
  </si>
  <si>
    <t>index de colonne correspondant</t>
  </si>
  <si>
    <t>Test logique a0/b0=0,25</t>
  </si>
  <si>
    <t>Test logique 0,25&lt;a0/b0&lt;1</t>
  </si>
  <si>
    <t>Test logique 0,25&lt;=a0/b0&lt;1</t>
  </si>
  <si>
    <t>Vitesse entrée</t>
  </si>
  <si>
    <t>Test logique a0/b0=1</t>
  </si>
  <si>
    <t>Test logique 1&lt;=a0/b0&lt;4</t>
  </si>
  <si>
    <t>Vitesse sortie</t>
  </si>
  <si>
    <t>Test logique 1&lt;a0/b0&lt;4</t>
  </si>
  <si>
    <t>Test logique a0/b0=4</t>
  </si>
  <si>
    <t>Coté B étroit [mm]</t>
  </si>
  <si>
    <t>Test logique a0/b0&gt;4</t>
  </si>
  <si>
    <t>Vitesse max [m/s]</t>
  </si>
  <si>
    <t>b1/b0 défaut</t>
  </si>
  <si>
    <t>b1/b0 excès</t>
  </si>
  <si>
    <t>Valeurs arrondies de b1/b0 et a0/b0</t>
  </si>
  <si>
    <t xml:space="preserve">b1/b0 </t>
  </si>
  <si>
    <t xml:space="preserve">a0/b0 </t>
  </si>
  <si>
    <t>Cas où a0/b0 &lt;=4</t>
  </si>
  <si>
    <t>N°col. défaut</t>
  </si>
  <si>
    <t>N° col. excès</t>
  </si>
  <si>
    <t>Cas où a0/b0&gt;4</t>
  </si>
  <si>
    <t>N° de colonne retenu</t>
  </si>
  <si>
    <t>N° ligne défaut</t>
  </si>
  <si>
    <t>N° ligne excès</t>
  </si>
  <si>
    <t>a0/b0 défaut</t>
  </si>
  <si>
    <t>a0/b0 excès</t>
  </si>
  <si>
    <t>col. défaut</t>
  </si>
  <si>
    <t>col. excès</t>
  </si>
  <si>
    <t>valeur défaut</t>
  </si>
  <si>
    <t>ligne défaut</t>
  </si>
  <si>
    <t>valeur excès</t>
  </si>
  <si>
    <t>ligne excès</t>
  </si>
  <si>
    <t>interpolation entre deux colonnes consécutives pour la ligne valeur par défaut</t>
  </si>
  <si>
    <t>interpolation linéaire entre</t>
  </si>
  <si>
    <t>interpolation entre deux colonnes consécutives pour la ligne valeur par excès</t>
  </si>
  <si>
    <t>lignes sucessives</t>
  </si>
  <si>
    <t>interpolation linéaire entre les deux lignes consécutives</t>
  </si>
  <si>
    <t>Test logique a0/b0=4 et b1/b0&gt;=2</t>
  </si>
  <si>
    <t>Ksi résultat</t>
  </si>
  <si>
    <t>CTR : Coude de transformation à section rectangulaire</t>
  </si>
  <si>
    <t>Angle</t>
  </si>
  <si>
    <r>
      <t>A</t>
    </r>
    <r>
      <rPr>
        <vertAlign val="subscript"/>
        <sz val="10"/>
        <rFont val="Tahoma"/>
        <family val="2"/>
      </rPr>
      <t>1</t>
    </r>
  </si>
  <si>
    <r>
      <t>B</t>
    </r>
    <r>
      <rPr>
        <vertAlign val="subscript"/>
        <sz val="10"/>
        <rFont val="Tahoma"/>
        <family val="2"/>
      </rPr>
      <t>1</t>
    </r>
  </si>
  <si>
    <t>S1/S0</t>
  </si>
  <si>
    <t>Rayon / Coté B ét.</t>
  </si>
  <si>
    <t>Coté A0 [mm]</t>
  </si>
  <si>
    <t>Coté B0 [mm]</t>
  </si>
  <si>
    <t>CELLULES DE CALCUL INTERMEDIAIRES POUR LE CALCUL DE C1</t>
  </si>
  <si>
    <t>Delta0 défaut</t>
  </si>
  <si>
    <t>Delta0 excès</t>
  </si>
  <si>
    <t>valeur Delta0 défaut</t>
  </si>
  <si>
    <t>valeur a0/b0 défaut</t>
  </si>
  <si>
    <t>Valeurs arrondies</t>
  </si>
  <si>
    <t>valeur Delta0 excès</t>
  </si>
  <si>
    <t>valeur a0/b0 excès</t>
  </si>
  <si>
    <t>r/bétroit</t>
  </si>
  <si>
    <t>valeur A1 défaut</t>
  </si>
  <si>
    <t>valeur B1 défaut</t>
  </si>
  <si>
    <t>valeur A1 excès</t>
  </si>
  <si>
    <t>valeur B1 excès</t>
  </si>
  <si>
    <t>Interpolation dans le tableau</t>
  </si>
  <si>
    <t>index colonne</t>
  </si>
  <si>
    <t xml:space="preserve">interpolation linéaire entre </t>
  </si>
  <si>
    <t>les deux valeurs de A1</t>
  </si>
  <si>
    <t>les deux valeurs de B1</t>
  </si>
  <si>
    <t>colonne défaut</t>
  </si>
  <si>
    <t>colonne excès</t>
  </si>
  <si>
    <t>index ligne</t>
  </si>
  <si>
    <t xml:space="preserve">ligne défaut </t>
  </si>
  <si>
    <t>Test logique S1/S0&gt;=5 et r/bétroit&gt;=1</t>
  </si>
  <si>
    <t>A1</t>
  </si>
  <si>
    <t>B1</t>
  </si>
  <si>
    <t>C1</t>
  </si>
  <si>
    <t xml:space="preserve">S1/S0 </t>
  </si>
  <si>
    <t xml:space="preserve">R / (Coté B étroit) </t>
  </si>
  <si>
    <t>Vitesse max</t>
  </si>
  <si>
    <t>lorsque je sélectionne "Coude montage en S,T ou U", je veux directement être envoyé à la cellule A30 de la feuille Coudes</t>
  </si>
  <si>
    <t>lorsque je sélectionne "Coude à section rectangularie", je veux directement être envoyé à la cellule A56 de la feuille Coudes</t>
  </si>
  <si>
    <t>lorsque je sélectionne "Coude à section circulaire", je veux directement être envoyé à la cellule A7 de la feuille Coudes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</si>
</sst>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</font>
    <font>
      <b/>
      <sz val="16"/>
      <color indexed="52"/>
      <name val="Tahoma"/>
      <family val="2"/>
    </font>
    <font>
      <b/>
      <sz val="12"/>
      <color indexed="52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4"/>
      <color theme="4"/>
      <name val="Calibri"/>
      <family val="2"/>
      <scheme val="minor"/>
    </font>
    <font>
      <u/>
      <sz val="14"/>
      <name val="Calibri"/>
      <family val="2"/>
      <scheme val="minor"/>
    </font>
    <font>
      <sz val="10"/>
      <name val="Tahoma"/>
      <family val="2"/>
    </font>
    <font>
      <b/>
      <sz val="10"/>
      <name val="Tahoma"/>
      <family val="2"/>
    </font>
    <font>
      <sz val="10"/>
      <color rgb="FFFF0000"/>
      <name val="Tahoma"/>
      <family val="2"/>
    </font>
    <font>
      <vertAlign val="subscript"/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75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4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6" fillId="0" borderId="6" xfId="1" applyFont="1" applyBorder="1" applyAlignment="1">
      <alignment horizontal="left" vertical="top"/>
    </xf>
    <xf numFmtId="0" fontId="6" fillId="0" borderId="7" xfId="1" applyFont="1" applyBorder="1" applyAlignment="1">
      <alignment horizontal="left" vertical="top"/>
    </xf>
    <xf numFmtId="0" fontId="6" fillId="0" borderId="8" xfId="1" applyFont="1" applyBorder="1" applyAlignment="1">
      <alignment horizontal="left" vertical="top"/>
    </xf>
    <xf numFmtId="0" fontId="6" fillId="0" borderId="9" xfId="1" applyFont="1" applyBorder="1" applyAlignment="1">
      <alignment horizontal="left"/>
    </xf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6" fillId="0" borderId="10" xfId="1" applyFont="1" applyBorder="1" applyAlignment="1">
      <alignment horizontal="left" vertical="top" wrapText="1"/>
    </xf>
    <xf numFmtId="0" fontId="6" fillId="0" borderId="11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 wrapText="1"/>
    </xf>
    <xf numFmtId="0" fontId="6" fillId="0" borderId="10" xfId="1" applyFont="1" applyBorder="1" applyAlignment="1">
      <alignment horizontal="left" vertical="top"/>
    </xf>
    <xf numFmtId="0" fontId="6" fillId="0" borderId="11" xfId="1" applyFont="1" applyBorder="1" applyAlignment="1">
      <alignment horizontal="left" vertical="top"/>
    </xf>
    <xf numFmtId="0" fontId="6" fillId="0" borderId="12" xfId="1" applyFont="1" applyBorder="1" applyAlignment="1">
      <alignment horizontal="left" vertical="top"/>
    </xf>
    <xf numFmtId="0" fontId="6" fillId="0" borderId="13" xfId="1" applyFont="1" applyFill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8" fillId="0" borderId="0" xfId="1" applyFont="1" applyFill="1" applyAlignment="1">
      <alignment horizontal="center"/>
    </xf>
    <xf numFmtId="0" fontId="9" fillId="0" borderId="0" xfId="1" applyFont="1" applyFill="1" applyAlignment="1">
      <alignment horizontal="center"/>
    </xf>
    <xf numFmtId="0" fontId="9" fillId="0" borderId="0" xfId="1" applyFont="1" applyFill="1" applyAlignment="1"/>
    <xf numFmtId="0" fontId="10" fillId="0" borderId="0" xfId="0" applyFont="1"/>
    <xf numFmtId="0" fontId="1" fillId="0" borderId="0" xfId="0" applyFont="1"/>
    <xf numFmtId="0" fontId="11" fillId="3" borderId="0" xfId="1" applyFont="1" applyFill="1" applyAlignment="1">
      <alignment horizontal="center"/>
    </xf>
    <xf numFmtId="0" fontId="12" fillId="3" borderId="0" xfId="1" applyFont="1" applyFill="1" applyAlignment="1"/>
    <xf numFmtId="0" fontId="0" fillId="0" borderId="0" xfId="0"/>
    <xf numFmtId="2" fontId="0" fillId="0" borderId="0" xfId="0" applyNumberFormat="1"/>
    <xf numFmtId="0" fontId="13" fillId="2" borderId="11" xfId="1" applyFont="1" applyFill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/>
    </xf>
    <xf numFmtId="0" fontId="13" fillId="3" borderId="0" xfId="1" applyFont="1" applyFill="1"/>
    <xf numFmtId="0" fontId="13" fillId="3" borderId="17" xfId="1" applyFont="1" applyFill="1" applyBorder="1"/>
    <xf numFmtId="0" fontId="13" fillId="4" borderId="1" xfId="1" applyFont="1" applyFill="1" applyBorder="1" applyAlignment="1" applyProtection="1">
      <alignment horizontal="center"/>
      <protection locked="0"/>
    </xf>
    <xf numFmtId="0" fontId="13" fillId="3" borderId="0" xfId="1" applyFont="1" applyFill="1" applyBorder="1"/>
    <xf numFmtId="0" fontId="14" fillId="3" borderId="1" xfId="1" applyFont="1" applyFill="1" applyBorder="1" applyAlignment="1">
      <alignment horizontal="center"/>
    </xf>
    <xf numFmtId="0" fontId="14" fillId="0" borderId="18" xfId="1" applyFont="1" applyFill="1" applyBorder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3" fillId="3" borderId="19" xfId="1" applyFont="1" applyFill="1" applyBorder="1" applyAlignment="1">
      <alignment horizontal="center"/>
    </xf>
    <xf numFmtId="0" fontId="13" fillId="3" borderId="20" xfId="1" applyFont="1" applyFill="1" applyBorder="1" applyAlignment="1">
      <alignment horizontal="center"/>
    </xf>
    <xf numFmtId="0" fontId="14" fillId="0" borderId="2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/>
    </xf>
    <xf numFmtId="0" fontId="13" fillId="3" borderId="22" xfId="1" applyFont="1" applyFill="1" applyBorder="1" applyAlignment="1">
      <alignment horizontal="center"/>
    </xf>
    <xf numFmtId="0" fontId="13" fillId="3" borderId="23" xfId="1" applyFont="1" applyFill="1" applyBorder="1" applyAlignment="1">
      <alignment horizontal="center"/>
    </xf>
    <xf numFmtId="0" fontId="13" fillId="0" borderId="24" xfId="1" applyFont="1" applyFill="1" applyBorder="1" applyAlignment="1">
      <alignment horizontal="center"/>
    </xf>
    <xf numFmtId="2" fontId="13" fillId="3" borderId="25" xfId="1" applyNumberFormat="1" applyFont="1" applyFill="1" applyBorder="1" applyAlignment="1">
      <alignment horizontal="center"/>
    </xf>
    <xf numFmtId="0" fontId="13" fillId="3" borderId="25" xfId="1" applyFont="1" applyFill="1" applyBorder="1" applyAlignment="1">
      <alignment horizontal="center"/>
    </xf>
    <xf numFmtId="0" fontId="13" fillId="0" borderId="26" xfId="1" applyFont="1" applyFill="1" applyBorder="1" applyAlignment="1">
      <alignment horizontal="center"/>
    </xf>
    <xf numFmtId="2" fontId="13" fillId="3" borderId="27" xfId="1" applyNumberFormat="1" applyFont="1" applyFill="1" applyBorder="1" applyAlignment="1">
      <alignment horizontal="center"/>
    </xf>
    <xf numFmtId="0" fontId="13" fillId="3" borderId="27" xfId="1" applyFont="1" applyFill="1" applyBorder="1" applyAlignment="1">
      <alignment horizontal="center"/>
    </xf>
    <xf numFmtId="0" fontId="13" fillId="3" borderId="28" xfId="1" applyFont="1" applyFill="1" applyBorder="1" applyAlignment="1">
      <alignment horizontal="center"/>
    </xf>
    <xf numFmtId="0" fontId="13" fillId="3" borderId="29" xfId="1" applyFont="1" applyFill="1" applyBorder="1" applyAlignment="1">
      <alignment horizontal="center"/>
    </xf>
    <xf numFmtId="0" fontId="13" fillId="3" borderId="30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>
      <alignment horizontal="center"/>
    </xf>
    <xf numFmtId="2" fontId="13" fillId="3" borderId="0" xfId="1" applyNumberFormat="1" applyFont="1" applyFill="1" applyBorder="1" applyAlignment="1">
      <alignment horizontal="center"/>
    </xf>
    <xf numFmtId="0" fontId="14" fillId="3" borderId="31" xfId="1" applyFont="1" applyFill="1" applyBorder="1"/>
    <xf numFmtId="2" fontId="14" fillId="5" borderId="32" xfId="1" applyNumberFormat="1" applyFont="1" applyFill="1" applyBorder="1" applyAlignment="1">
      <alignment horizontal="center"/>
    </xf>
    <xf numFmtId="0" fontId="14" fillId="0" borderId="3" xfId="1" applyFont="1" applyFill="1" applyBorder="1" applyAlignment="1">
      <alignment horizontal="center"/>
    </xf>
    <xf numFmtId="0" fontId="14" fillId="3" borderId="0" xfId="1" applyFont="1" applyFill="1"/>
    <xf numFmtId="0" fontId="13" fillId="3" borderId="0" xfId="1" applyFont="1" applyFill="1" applyAlignment="1">
      <alignment horizontal="center"/>
    </xf>
    <xf numFmtId="0" fontId="14" fillId="3" borderId="33" xfId="1" applyFont="1" applyFill="1" applyBorder="1"/>
    <xf numFmtId="0" fontId="13" fillId="3" borderId="33" xfId="1" applyFont="1" applyFill="1" applyBorder="1" applyAlignment="1">
      <alignment horizontal="center"/>
    </xf>
    <xf numFmtId="0" fontId="13" fillId="3" borderId="33" xfId="1" applyFont="1" applyFill="1" applyBorder="1"/>
    <xf numFmtId="0" fontId="13" fillId="5" borderId="33" xfId="1" applyFont="1" applyFill="1" applyBorder="1" applyAlignment="1" applyProtection="1">
      <alignment horizontal="center"/>
    </xf>
    <xf numFmtId="0" fontId="0" fillId="0" borderId="0" xfId="0" applyFill="1"/>
    <xf numFmtId="0" fontId="13" fillId="0" borderId="33" xfId="1" applyFont="1" applyFill="1" applyBorder="1"/>
    <xf numFmtId="0" fontId="13" fillId="5" borderId="33" xfId="1" applyFont="1" applyFill="1" applyBorder="1" applyAlignment="1">
      <alignment horizontal="center"/>
    </xf>
    <xf numFmtId="2" fontId="13" fillId="5" borderId="33" xfId="1" applyNumberFormat="1" applyFont="1" applyFill="1" applyBorder="1" applyAlignment="1">
      <alignment horizontal="center"/>
    </xf>
    <xf numFmtId="0" fontId="13" fillId="6" borderId="0" xfId="1" applyFont="1" applyFill="1" applyBorder="1"/>
    <xf numFmtId="0" fontId="0" fillId="6" borderId="0" xfId="0" applyFill="1" applyBorder="1"/>
    <xf numFmtId="0" fontId="13" fillId="4" borderId="1" xfId="1" applyFont="1" applyFill="1" applyBorder="1" applyAlignment="1">
      <alignment horizontal="center"/>
    </xf>
    <xf numFmtId="0" fontId="14" fillId="6" borderId="2" xfId="1" applyFont="1" applyFill="1" applyBorder="1" applyAlignment="1">
      <alignment horizontal="center"/>
    </xf>
    <xf numFmtId="0" fontId="14" fillId="6" borderId="4" xfId="1" applyFont="1" applyFill="1" applyBorder="1" applyAlignment="1">
      <alignment horizontal="center"/>
    </xf>
    <xf numFmtId="0" fontId="13" fillId="6" borderId="0" xfId="1" applyFont="1" applyFill="1" applyBorder="1" applyAlignment="1">
      <alignment horizontal="center"/>
    </xf>
    <xf numFmtId="0" fontId="14" fillId="6" borderId="1" xfId="1" applyFont="1" applyFill="1" applyBorder="1" applyAlignment="1">
      <alignment horizontal="center"/>
    </xf>
    <xf numFmtId="0" fontId="13" fillId="6" borderId="19" xfId="1" applyFont="1" applyFill="1" applyBorder="1"/>
    <xf numFmtId="0" fontId="13" fillId="6" borderId="20" xfId="1" applyFont="1" applyFill="1" applyBorder="1"/>
    <xf numFmtId="0" fontId="13" fillId="6" borderId="20" xfId="1" applyFont="1" applyFill="1" applyBorder="1" applyAlignment="1">
      <alignment horizontal="right"/>
    </xf>
    <xf numFmtId="0" fontId="13" fillId="6" borderId="22" xfId="1" applyFont="1" applyFill="1" applyBorder="1"/>
    <xf numFmtId="0" fontId="13" fillId="6" borderId="23" xfId="1" applyFont="1" applyFill="1" applyBorder="1"/>
    <xf numFmtId="0" fontId="13" fillId="6" borderId="23" xfId="1" applyFont="1" applyFill="1" applyBorder="1" applyAlignment="1">
      <alignment horizontal="right"/>
    </xf>
    <xf numFmtId="0" fontId="13" fillId="6" borderId="0" xfId="1" applyFont="1" applyFill="1" applyBorder="1" applyAlignment="1" applyProtection="1">
      <alignment horizontal="center"/>
      <protection locked="0"/>
    </xf>
    <xf numFmtId="0" fontId="15" fillId="0" borderId="0" xfId="1" applyFont="1" applyFill="1" applyBorder="1"/>
    <xf numFmtId="2" fontId="13" fillId="0" borderId="0" xfId="1" applyNumberFormat="1" applyFont="1" applyFill="1" applyBorder="1" applyAlignment="1">
      <alignment horizontal="center"/>
    </xf>
    <xf numFmtId="0" fontId="13" fillId="6" borderId="29" xfId="1" applyFont="1" applyFill="1" applyBorder="1"/>
    <xf numFmtId="0" fontId="13" fillId="6" borderId="28" xfId="1" applyFont="1" applyFill="1" applyBorder="1" applyAlignment="1">
      <alignment horizontal="right"/>
    </xf>
    <xf numFmtId="2" fontId="14" fillId="6" borderId="33" xfId="1" applyNumberFormat="1" applyFont="1" applyFill="1" applyBorder="1" applyAlignment="1">
      <alignment horizontal="center"/>
    </xf>
    <xf numFmtId="0" fontId="13" fillId="6" borderId="33" xfId="1" applyFont="1" applyFill="1" applyBorder="1" applyAlignment="1" applyProtection="1">
      <alignment horizontal="center"/>
    </xf>
    <xf numFmtId="0" fontId="14" fillId="0" borderId="0" xfId="1" applyFont="1" applyFill="1" applyBorder="1"/>
    <xf numFmtId="0" fontId="14" fillId="0" borderId="2" xfId="1" applyFont="1" applyFill="1" applyBorder="1" applyAlignment="1">
      <alignment horizontal="center"/>
    </xf>
    <xf numFmtId="0" fontId="13" fillId="0" borderId="34" xfId="1" applyFont="1" applyFill="1" applyBorder="1" applyAlignment="1">
      <alignment horizontal="center"/>
    </xf>
    <xf numFmtId="2" fontId="13" fillId="3" borderId="35" xfId="1" applyNumberFormat="1" applyFont="1" applyFill="1" applyBorder="1" applyAlignment="1">
      <alignment horizontal="center"/>
    </xf>
    <xf numFmtId="0" fontId="13" fillId="3" borderId="35" xfId="1" applyFont="1" applyFill="1" applyBorder="1" applyAlignment="1">
      <alignment horizontal="center"/>
    </xf>
    <xf numFmtId="0" fontId="13" fillId="3" borderId="8" xfId="1" applyFont="1" applyFill="1" applyBorder="1" applyAlignment="1">
      <alignment horizontal="center"/>
    </xf>
    <xf numFmtId="0" fontId="13" fillId="0" borderId="36" xfId="1" applyFont="1" applyFill="1" applyBorder="1" applyAlignment="1">
      <alignment horizontal="center"/>
    </xf>
    <xf numFmtId="2" fontId="13" fillId="3" borderId="37" xfId="1" applyNumberFormat="1" applyFont="1" applyFill="1" applyBorder="1" applyAlignment="1">
      <alignment horizontal="center"/>
    </xf>
    <xf numFmtId="0" fontId="13" fillId="3" borderId="37" xfId="1" applyFont="1" applyFill="1" applyBorder="1" applyAlignment="1">
      <alignment horizontal="center"/>
    </xf>
    <xf numFmtId="0" fontId="13" fillId="3" borderId="38" xfId="1" applyFont="1" applyFill="1" applyBorder="1" applyAlignment="1">
      <alignment horizontal="center"/>
    </xf>
    <xf numFmtId="0" fontId="13" fillId="0" borderId="22" xfId="1" applyFont="1" applyFill="1" applyBorder="1" applyAlignment="1">
      <alignment horizontal="center"/>
    </xf>
    <xf numFmtId="2" fontId="13" fillId="3" borderId="33" xfId="1" applyNumberFormat="1" applyFont="1" applyFill="1" applyBorder="1" applyAlignment="1">
      <alignment horizontal="center"/>
    </xf>
    <xf numFmtId="0" fontId="13" fillId="0" borderId="29" xfId="1" applyFont="1" applyFill="1" applyBorder="1" applyAlignment="1">
      <alignment horizontal="center"/>
    </xf>
    <xf numFmtId="0" fontId="13" fillId="3" borderId="39" xfId="1" applyFont="1" applyFill="1" applyBorder="1" applyAlignment="1">
      <alignment horizontal="center"/>
    </xf>
    <xf numFmtId="2" fontId="14" fillId="5" borderId="40" xfId="1" applyNumberFormat="1" applyFont="1" applyFill="1" applyBorder="1" applyAlignment="1">
      <alignment horizontal="center"/>
    </xf>
    <xf numFmtId="0" fontId="14" fillId="3" borderId="0" xfId="1" applyFont="1" applyFill="1" applyBorder="1"/>
    <xf numFmtId="2" fontId="14" fillId="6" borderId="0" xfId="1" applyNumberFormat="1" applyFont="1" applyFill="1" applyBorder="1" applyAlignment="1">
      <alignment horizontal="center"/>
    </xf>
    <xf numFmtId="1" fontId="13" fillId="5" borderId="33" xfId="1" applyNumberFormat="1" applyFont="1" applyFill="1" applyBorder="1" applyAlignment="1">
      <alignment horizontal="center"/>
    </xf>
    <xf numFmtId="0" fontId="13" fillId="6" borderId="33" xfId="1" applyFont="1" applyFill="1" applyBorder="1"/>
    <xf numFmtId="2" fontId="13" fillId="6" borderId="33" xfId="1" applyNumberFormat="1" applyFont="1" applyFill="1" applyBorder="1" applyAlignment="1">
      <alignment horizontal="center"/>
    </xf>
    <xf numFmtId="2" fontId="13" fillId="5" borderId="25" xfId="1" applyNumberFormat="1" applyFont="1" applyFill="1" applyBorder="1" applyAlignment="1">
      <alignment horizontal="center"/>
    </xf>
    <xf numFmtId="2" fontId="13" fillId="0" borderId="33" xfId="1" applyNumberFormat="1" applyFont="1" applyFill="1" applyBorder="1"/>
    <xf numFmtId="0" fontId="0" fillId="0" borderId="33" xfId="0" applyBorder="1"/>
    <xf numFmtId="0" fontId="14" fillId="3" borderId="18" xfId="1" applyFont="1" applyFill="1" applyBorder="1" applyAlignment="1">
      <alignment horizontal="center" vertical="center"/>
    </xf>
    <xf numFmtId="0" fontId="14" fillId="3" borderId="21" xfId="1" applyFont="1" applyFill="1" applyBorder="1" applyAlignment="1">
      <alignment horizontal="center" vertical="center"/>
    </xf>
    <xf numFmtId="164" fontId="14" fillId="3" borderId="1" xfId="1" applyNumberFormat="1" applyFont="1" applyFill="1" applyBorder="1" applyAlignment="1">
      <alignment horizontal="center"/>
    </xf>
    <xf numFmtId="0" fontId="13" fillId="0" borderId="41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0" fontId="13" fillId="0" borderId="42" xfId="1" applyFont="1" applyFill="1" applyBorder="1" applyAlignment="1">
      <alignment horizontal="center"/>
    </xf>
    <xf numFmtId="0" fontId="13" fillId="0" borderId="43" xfId="1" applyFont="1" applyFill="1" applyBorder="1" applyAlignment="1">
      <alignment horizontal="center"/>
    </xf>
    <xf numFmtId="0" fontId="13" fillId="0" borderId="44" xfId="1" applyFont="1" applyFill="1" applyBorder="1" applyAlignment="1">
      <alignment horizontal="center"/>
    </xf>
    <xf numFmtId="0" fontId="13" fillId="0" borderId="33" xfId="1" applyFont="1" applyFill="1" applyBorder="1" applyAlignment="1">
      <alignment horizontal="center"/>
    </xf>
    <xf numFmtId="0" fontId="13" fillId="0" borderId="23" xfId="1" applyFont="1" applyFill="1" applyBorder="1" applyAlignment="1">
      <alignment horizontal="center"/>
    </xf>
    <xf numFmtId="0" fontId="13" fillId="0" borderId="27" xfId="1" applyFont="1" applyFill="1" applyBorder="1" applyAlignment="1">
      <alignment horizontal="center"/>
    </xf>
    <xf numFmtId="0" fontId="13" fillId="0" borderId="28" xfId="1" applyFont="1" applyFill="1" applyBorder="1" applyAlignment="1">
      <alignment horizontal="center"/>
    </xf>
    <xf numFmtId="2" fontId="13" fillId="6" borderId="0" xfId="1" applyNumberFormat="1" applyFont="1" applyFill="1" applyBorder="1" applyAlignment="1">
      <alignment horizontal="center"/>
    </xf>
    <xf numFmtId="0" fontId="0" fillId="0" borderId="0" xfId="0" applyFill="1" applyBorder="1"/>
    <xf numFmtId="0" fontId="13" fillId="0" borderId="0" xfId="1" applyFont="1" applyFill="1" applyBorder="1" applyAlignment="1">
      <alignment horizontal="left"/>
    </xf>
    <xf numFmtId="0" fontId="1" fillId="0" borderId="0" xfId="0" applyFont="1" applyFill="1" applyBorder="1"/>
    <xf numFmtId="0" fontId="13" fillId="3" borderId="18" xfId="1" applyFont="1" applyFill="1" applyBorder="1"/>
    <xf numFmtId="0" fontId="14" fillId="3" borderId="41" xfId="1" applyFont="1" applyFill="1" applyBorder="1" applyAlignment="1">
      <alignment horizontal="center"/>
    </xf>
    <xf numFmtId="0" fontId="14" fillId="3" borderId="45" xfId="1" applyFont="1" applyFill="1" applyBorder="1" applyAlignment="1">
      <alignment horizontal="center"/>
    </xf>
    <xf numFmtId="0" fontId="14" fillId="3" borderId="21" xfId="1" applyFont="1" applyFill="1" applyBorder="1" applyAlignment="1">
      <alignment horizontal="center" vertical="center"/>
    </xf>
    <xf numFmtId="0" fontId="14" fillId="3" borderId="26" xfId="1" applyFont="1" applyFill="1" applyBorder="1" applyAlignment="1">
      <alignment horizontal="center"/>
    </xf>
    <xf numFmtId="0" fontId="14" fillId="3" borderId="27" xfId="1" applyFont="1" applyFill="1" applyBorder="1" applyAlignment="1">
      <alignment horizontal="center"/>
    </xf>
    <xf numFmtId="0" fontId="14" fillId="3" borderId="28" xfId="1" applyFont="1" applyFill="1" applyBorder="1" applyAlignment="1">
      <alignment horizontal="center"/>
    </xf>
    <xf numFmtId="0" fontId="13" fillId="3" borderId="46" xfId="1" applyFont="1" applyFill="1" applyBorder="1" applyAlignment="1">
      <alignment horizontal="center"/>
    </xf>
    <xf numFmtId="0" fontId="13" fillId="3" borderId="24" xfId="1" applyFont="1" applyFill="1" applyBorder="1" applyAlignment="1">
      <alignment horizontal="center"/>
    </xf>
    <xf numFmtId="0" fontId="13" fillId="3" borderId="9" xfId="1" applyFont="1" applyFill="1" applyBorder="1" applyAlignment="1">
      <alignment horizontal="center"/>
    </xf>
    <xf numFmtId="0" fontId="13" fillId="3" borderId="47" xfId="1" applyFont="1" applyFill="1" applyBorder="1" applyAlignment="1">
      <alignment horizontal="center"/>
    </xf>
    <xf numFmtId="2" fontId="13" fillId="3" borderId="23" xfId="1" applyNumberFormat="1" applyFont="1" applyFill="1" applyBorder="1" applyAlignment="1">
      <alignment horizontal="center"/>
    </xf>
    <xf numFmtId="2" fontId="14" fillId="5" borderId="40" xfId="1" applyNumberFormat="1" applyFont="1" applyFill="1" applyBorder="1" applyAlignment="1" applyProtection="1">
      <alignment horizontal="center"/>
    </xf>
    <xf numFmtId="0" fontId="13" fillId="3" borderId="13" xfId="1" applyFont="1" applyFill="1" applyBorder="1" applyAlignment="1">
      <alignment horizontal="center"/>
    </xf>
    <xf numFmtId="0" fontId="13" fillId="3" borderId="26" xfId="1" applyFont="1" applyFill="1" applyBorder="1" applyAlignment="1">
      <alignment horizontal="center"/>
    </xf>
    <xf numFmtId="0" fontId="13" fillId="5" borderId="37" xfId="1" applyFont="1" applyFill="1" applyBorder="1" applyAlignment="1" applyProtection="1">
      <alignment horizontal="center"/>
    </xf>
    <xf numFmtId="0" fontId="13" fillId="3" borderId="0" xfId="1" applyFont="1" applyFill="1" applyAlignment="1">
      <alignment horizontal="left"/>
    </xf>
    <xf numFmtId="0" fontId="13" fillId="3" borderId="18" xfId="1" applyFont="1" applyFill="1" applyBorder="1" applyAlignment="1">
      <alignment wrapText="1"/>
    </xf>
    <xf numFmtId="0" fontId="14" fillId="3" borderId="21" xfId="1" applyFont="1" applyFill="1" applyBorder="1" applyAlignment="1">
      <alignment wrapText="1"/>
    </xf>
    <xf numFmtId="0" fontId="14" fillId="3" borderId="46" xfId="1" applyFont="1" applyFill="1" applyBorder="1" applyAlignment="1">
      <alignment horizontal="center"/>
    </xf>
    <xf numFmtId="2" fontId="13" fillId="3" borderId="24" xfId="1" applyNumberFormat="1" applyFont="1" applyFill="1" applyBorder="1" applyAlignment="1">
      <alignment horizontal="center"/>
    </xf>
    <xf numFmtId="2" fontId="13" fillId="3" borderId="20" xfId="1" applyNumberFormat="1" applyFont="1" applyFill="1" applyBorder="1" applyAlignment="1">
      <alignment horizontal="center"/>
    </xf>
    <xf numFmtId="0" fontId="14" fillId="3" borderId="9" xfId="1" applyFont="1" applyFill="1" applyBorder="1" applyAlignment="1">
      <alignment horizontal="center"/>
    </xf>
    <xf numFmtId="2" fontId="13" fillId="3" borderId="47" xfId="1" applyNumberFormat="1" applyFont="1" applyFill="1" applyBorder="1" applyAlignment="1">
      <alignment horizontal="center"/>
    </xf>
    <xf numFmtId="0" fontId="14" fillId="3" borderId="13" xfId="1" applyFont="1" applyFill="1" applyBorder="1" applyAlignment="1">
      <alignment horizontal="center"/>
    </xf>
    <xf numFmtId="2" fontId="13" fillId="3" borderId="26" xfId="1" applyNumberFormat="1" applyFont="1" applyFill="1" applyBorder="1" applyAlignment="1">
      <alignment horizontal="center"/>
    </xf>
    <xf numFmtId="2" fontId="13" fillId="3" borderId="28" xfId="1" applyNumberFormat="1" applyFont="1" applyFill="1" applyBorder="1" applyAlignment="1">
      <alignment horizontal="center"/>
    </xf>
    <xf numFmtId="2" fontId="13" fillId="5" borderId="33" xfId="1" applyNumberFormat="1" applyFont="1" applyFill="1" applyBorder="1" applyAlignment="1" applyProtection="1">
      <alignment horizontal="center"/>
    </xf>
    <xf numFmtId="0" fontId="14" fillId="3" borderId="6" xfId="1" applyFont="1" applyFill="1" applyBorder="1" applyAlignment="1">
      <alignment horizontal="center"/>
    </xf>
    <xf numFmtId="0" fontId="14" fillId="3" borderId="8" xfId="1" applyFont="1" applyFill="1" applyBorder="1" applyAlignment="1">
      <alignment horizontal="center"/>
    </xf>
    <xf numFmtId="0" fontId="14" fillId="5" borderId="29" xfId="1" applyFont="1" applyFill="1" applyBorder="1" applyAlignment="1">
      <alignment horizontal="center"/>
    </xf>
    <xf numFmtId="0" fontId="14" fillId="5" borderId="28" xfId="1" applyFont="1" applyFill="1" applyBorder="1" applyAlignment="1">
      <alignment horizontal="center"/>
    </xf>
    <xf numFmtId="0" fontId="14" fillId="3" borderId="18" xfId="1" applyFont="1" applyFill="1" applyBorder="1" applyAlignment="1">
      <alignment horizontal="center"/>
    </xf>
    <xf numFmtId="0" fontId="14" fillId="5" borderId="9" xfId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/>
    </xf>
    <xf numFmtId="1" fontId="13" fillId="3" borderId="33" xfId="1" applyNumberFormat="1" applyFont="1" applyFill="1" applyBorder="1" applyAlignment="1">
      <alignment horizontal="center"/>
    </xf>
    <xf numFmtId="1" fontId="13" fillId="3" borderId="0" xfId="1" applyNumberFormat="1" applyFont="1" applyFill="1" applyBorder="1" applyAlignment="1">
      <alignment horizontal="center"/>
    </xf>
    <xf numFmtId="2" fontId="14" fillId="5" borderId="33" xfId="1" applyNumberFormat="1" applyFont="1" applyFill="1" applyBorder="1" applyAlignment="1">
      <alignment horizontal="center"/>
    </xf>
  </cellXfs>
  <cellStyles count="2">
    <cellStyle name="Normal" xfId="0" builtinId="0"/>
    <cellStyle name="Normal 2 2" xfId="1" xr:uid="{318A5FF7-7BCE-42A5-8BE8-5437F005CB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22489</xdr:colOff>
      <xdr:row>9</xdr:row>
      <xdr:rowOff>32829</xdr:rowOff>
    </xdr:from>
    <xdr:to>
      <xdr:col>3</xdr:col>
      <xdr:colOff>262424</xdr:colOff>
      <xdr:row>18</xdr:row>
      <xdr:rowOff>68259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A9DAC5-92BB-4436-A7DF-BF02748AD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7349" y="1907349"/>
          <a:ext cx="1893475" cy="1772790"/>
        </a:xfrm>
        <a:prstGeom prst="rect">
          <a:avLst/>
        </a:prstGeom>
      </xdr:spPr>
    </xdr:pic>
    <xdr:clientData/>
  </xdr:twoCellAnchor>
  <xdr:twoCellAnchor editAs="oneCell">
    <xdr:from>
      <xdr:col>0</xdr:col>
      <xdr:colOff>87259</xdr:colOff>
      <xdr:row>57</xdr:row>
      <xdr:rowOff>190003</xdr:rowOff>
    </xdr:from>
    <xdr:to>
      <xdr:col>3</xdr:col>
      <xdr:colOff>690077</xdr:colOff>
      <xdr:row>67</xdr:row>
      <xdr:rowOff>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4DA9E01-53DE-4B90-9842-8EF75C17E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7259" y="8686303"/>
          <a:ext cx="3041218" cy="1723442"/>
        </a:xfrm>
        <a:prstGeom prst="rect">
          <a:avLst/>
        </a:prstGeom>
      </xdr:spPr>
    </xdr:pic>
    <xdr:clientData/>
  </xdr:twoCellAnchor>
  <xdr:twoCellAnchor editAs="oneCell">
    <xdr:from>
      <xdr:col>1</xdr:col>
      <xdr:colOff>42334</xdr:colOff>
      <xdr:row>80</xdr:row>
      <xdr:rowOff>89260</xdr:rowOff>
    </xdr:from>
    <xdr:to>
      <xdr:col>3</xdr:col>
      <xdr:colOff>72146</xdr:colOff>
      <xdr:row>90</xdr:row>
      <xdr:rowOff>61823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8FDCA4E-5077-44B1-9347-F2F745644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7194" y="11808820"/>
          <a:ext cx="1683352" cy="1885183"/>
        </a:xfrm>
        <a:prstGeom prst="rect">
          <a:avLst/>
        </a:prstGeom>
      </xdr:spPr>
    </xdr:pic>
    <xdr:clientData/>
  </xdr:twoCellAnchor>
  <xdr:twoCellAnchor editAs="oneCell">
    <xdr:from>
      <xdr:col>0</xdr:col>
      <xdr:colOff>727235</xdr:colOff>
      <xdr:row>101</xdr:row>
      <xdr:rowOff>17045</xdr:rowOff>
    </xdr:from>
    <xdr:to>
      <xdr:col>4</xdr:col>
      <xdr:colOff>738673</xdr:colOff>
      <xdr:row>110</xdr:row>
      <xdr:rowOff>102854</xdr:rowOff>
    </xdr:to>
    <xdr:pic>
      <xdr:nvPicPr>
        <xdr:cNvPr id="5" name="Picture 43" descr="Coude Cube droit">
          <a:extLst>
            <a:ext uri="{FF2B5EF4-FFF2-40B4-BE49-F238E27FC236}">
              <a16:creationId xmlns:a16="http://schemas.microsoft.com/office/drawing/2014/main" id="{0B85A553-B666-4AC2-A2F0-9DFCCCC370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235" y="14769365"/>
          <a:ext cx="3234698" cy="17622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16</xdr:row>
          <xdr:rowOff>7620</xdr:rowOff>
        </xdr:from>
        <xdr:to>
          <xdr:col>8</xdr:col>
          <xdr:colOff>419100</xdr:colOff>
          <xdr:row>17</xdr:row>
          <xdr:rowOff>68580</xdr:rowOff>
        </xdr:to>
        <xdr:sp macro="" textlink="">
          <xdr:nvSpPr>
            <xdr:cNvPr id="3073" name="Bou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CE8E7FF6-BF51-4CF3-9252-BB79520C1B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valeur de  ΔP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</xdr:colOff>
          <xdr:row>17</xdr:row>
          <xdr:rowOff>152400</xdr:rowOff>
        </xdr:from>
        <xdr:to>
          <xdr:col>8</xdr:col>
          <xdr:colOff>731520</xdr:colOff>
          <xdr:row>19</xdr:row>
          <xdr:rowOff>7620</xdr:rowOff>
        </xdr:to>
        <xdr:sp macro="" textlink="">
          <xdr:nvSpPr>
            <xdr:cNvPr id="3074" name="Bouton 3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D762EECC-8CC2-4973-BE0D-5D52EE39C29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du compteur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</xdr:colOff>
          <xdr:row>17</xdr:row>
          <xdr:rowOff>152400</xdr:rowOff>
        </xdr:from>
        <xdr:to>
          <xdr:col>6</xdr:col>
          <xdr:colOff>731520</xdr:colOff>
          <xdr:row>19</xdr:row>
          <xdr:rowOff>22860</xdr:rowOff>
        </xdr:to>
        <xdr:sp macro="" textlink="">
          <xdr:nvSpPr>
            <xdr:cNvPr id="3075" name="Bouton 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1F9E3FD7-C25C-4015-B1C6-0807A96481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236220</xdr:colOff>
          <xdr:row>66</xdr:row>
          <xdr:rowOff>114300</xdr:rowOff>
        </xdr:from>
        <xdr:to>
          <xdr:col>8</xdr:col>
          <xdr:colOff>502920</xdr:colOff>
          <xdr:row>67</xdr:row>
          <xdr:rowOff>160020</xdr:rowOff>
        </xdr:to>
        <xdr:sp macro="" textlink="">
          <xdr:nvSpPr>
            <xdr:cNvPr id="3076" name="Bouton 1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EC5766F4-B7C0-47E7-8596-42D599044E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valeur de  ΔP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99060</xdr:colOff>
          <xdr:row>68</xdr:row>
          <xdr:rowOff>106680</xdr:rowOff>
        </xdr:from>
        <xdr:to>
          <xdr:col>9</xdr:col>
          <xdr:colOff>45720</xdr:colOff>
          <xdr:row>69</xdr:row>
          <xdr:rowOff>175260</xdr:rowOff>
        </xdr:to>
        <xdr:sp macro="" textlink="">
          <xdr:nvSpPr>
            <xdr:cNvPr id="3077" name="Bouton 12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32095573-9AD8-4F7C-BD58-9D46C20F6D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du compteur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121920</xdr:colOff>
          <xdr:row>68</xdr:row>
          <xdr:rowOff>106680</xdr:rowOff>
        </xdr:from>
        <xdr:to>
          <xdr:col>7</xdr:col>
          <xdr:colOff>45720</xdr:colOff>
          <xdr:row>69</xdr:row>
          <xdr:rowOff>175260</xdr:rowOff>
        </xdr:to>
        <xdr:sp macro="" textlink="">
          <xdr:nvSpPr>
            <xdr:cNvPr id="3078" name="Bouton 13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86D7CE15-9A04-49B0-B1E1-0E5EB6C7FC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220980</xdr:colOff>
          <xdr:row>89</xdr:row>
          <xdr:rowOff>175260</xdr:rowOff>
        </xdr:from>
        <xdr:to>
          <xdr:col>8</xdr:col>
          <xdr:colOff>487680</xdr:colOff>
          <xdr:row>91</xdr:row>
          <xdr:rowOff>7620</xdr:rowOff>
        </xdr:to>
        <xdr:sp macro="" textlink="">
          <xdr:nvSpPr>
            <xdr:cNvPr id="3079" name="Bouton 1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FE810914-8990-4D11-9917-BDA185CA292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valeur de  ΔP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91</xdr:row>
          <xdr:rowOff>160020</xdr:rowOff>
        </xdr:from>
        <xdr:to>
          <xdr:col>9</xdr:col>
          <xdr:colOff>30480</xdr:colOff>
          <xdr:row>93</xdr:row>
          <xdr:rowOff>38100</xdr:rowOff>
        </xdr:to>
        <xdr:sp macro="" textlink="">
          <xdr:nvSpPr>
            <xdr:cNvPr id="3080" name="Bouton 1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8AF3FF40-A7D4-43FE-881D-4449A0EEE18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du compteur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</xdr:colOff>
          <xdr:row>91</xdr:row>
          <xdr:rowOff>160020</xdr:rowOff>
        </xdr:from>
        <xdr:to>
          <xdr:col>7</xdr:col>
          <xdr:colOff>30480</xdr:colOff>
          <xdr:row>93</xdr:row>
          <xdr:rowOff>38100</xdr:rowOff>
        </xdr:to>
        <xdr:sp macro="" textlink="">
          <xdr:nvSpPr>
            <xdr:cNvPr id="3081" name="Bouton 1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A0E0A255-3F49-470D-B3A6-73E8D7BA36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485969</xdr:colOff>
      <xdr:row>148</xdr:row>
      <xdr:rowOff>99804</xdr:rowOff>
    </xdr:from>
    <xdr:to>
      <xdr:col>5</xdr:col>
      <xdr:colOff>738674</xdr:colOff>
      <xdr:row>158</xdr:row>
      <xdr:rowOff>127163</xdr:rowOff>
    </xdr:to>
    <xdr:pic>
      <xdr:nvPicPr>
        <xdr:cNvPr id="15" name="Picture 44" descr="coude carré en transformation">
          <a:extLst>
            <a:ext uri="{FF2B5EF4-FFF2-40B4-BE49-F238E27FC236}">
              <a16:creationId xmlns:a16="http://schemas.microsoft.com/office/drawing/2014/main" id="{1288F2D7-8C63-4259-B7FB-205C1A015E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969" y="18220164"/>
          <a:ext cx="4260825" cy="1909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144780</xdr:colOff>
          <xdr:row>111</xdr:row>
          <xdr:rowOff>38100</xdr:rowOff>
        </xdr:from>
        <xdr:to>
          <xdr:col>9</xdr:col>
          <xdr:colOff>579120</xdr:colOff>
          <xdr:row>112</xdr:row>
          <xdr:rowOff>99060</xdr:rowOff>
        </xdr:to>
        <xdr:sp macro="" textlink="">
          <xdr:nvSpPr>
            <xdr:cNvPr id="3082" name="Bouton 17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489DEE1E-13E0-4AAA-AF9A-75E58C150D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valeur de  ΔP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</xdr:colOff>
          <xdr:row>112</xdr:row>
          <xdr:rowOff>182880</xdr:rowOff>
        </xdr:from>
        <xdr:to>
          <xdr:col>10</xdr:col>
          <xdr:colOff>0</xdr:colOff>
          <xdr:row>114</xdr:row>
          <xdr:rowOff>45720</xdr:rowOff>
        </xdr:to>
        <xdr:sp macro="" textlink="">
          <xdr:nvSpPr>
            <xdr:cNvPr id="3083" name="Bouton 18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8DFDFDAD-E6E1-40A0-A148-8B0458B688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du compteur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112</xdr:row>
          <xdr:rowOff>182880</xdr:rowOff>
        </xdr:from>
        <xdr:to>
          <xdr:col>8</xdr:col>
          <xdr:colOff>0</xdr:colOff>
          <xdr:row>114</xdr:row>
          <xdr:rowOff>45720</xdr:rowOff>
        </xdr:to>
        <xdr:sp macro="" textlink="">
          <xdr:nvSpPr>
            <xdr:cNvPr id="3084" name="Bouton 19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6E2F339C-E2E2-4DF9-BB2A-780865F3A3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220980</xdr:colOff>
          <xdr:row>160</xdr:row>
          <xdr:rowOff>45720</xdr:rowOff>
        </xdr:from>
        <xdr:to>
          <xdr:col>10</xdr:col>
          <xdr:colOff>655320</xdr:colOff>
          <xdr:row>161</xdr:row>
          <xdr:rowOff>106680</xdr:rowOff>
        </xdr:to>
        <xdr:sp macro="" textlink="">
          <xdr:nvSpPr>
            <xdr:cNvPr id="3085" name="Bouton 17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62AC055A-D3F5-44B4-A54E-FE7E43DCED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valeur de  ΔP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161</xdr:row>
          <xdr:rowOff>160020</xdr:rowOff>
        </xdr:from>
        <xdr:to>
          <xdr:col>11</xdr:col>
          <xdr:colOff>30480</xdr:colOff>
          <xdr:row>163</xdr:row>
          <xdr:rowOff>38100</xdr:rowOff>
        </xdr:to>
        <xdr:sp macro="" textlink="">
          <xdr:nvSpPr>
            <xdr:cNvPr id="3086" name="Bouton 18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D3D10DAC-8A44-4B99-AA92-B5A29C862B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du compteur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161</xdr:row>
          <xdr:rowOff>160020</xdr:rowOff>
        </xdr:from>
        <xdr:to>
          <xdr:col>9</xdr:col>
          <xdr:colOff>30480</xdr:colOff>
          <xdr:row>163</xdr:row>
          <xdr:rowOff>38100</xdr:rowOff>
        </xdr:to>
        <xdr:sp macro="" textlink="">
          <xdr:nvSpPr>
            <xdr:cNvPr id="3087" name="Bouton 19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EF61E57A-5585-4319-A532-93A7096508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48596</xdr:colOff>
      <xdr:row>32</xdr:row>
      <xdr:rowOff>197698</xdr:rowOff>
    </xdr:from>
    <xdr:to>
      <xdr:col>5</xdr:col>
      <xdr:colOff>680357</xdr:colOff>
      <xdr:row>43</xdr:row>
      <xdr:rowOff>68035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4240ABBB-B7C7-4E9C-884B-E85CEEA8D2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96" y="5303098"/>
          <a:ext cx="4639881" cy="19582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41</xdr:row>
          <xdr:rowOff>182880</xdr:rowOff>
        </xdr:from>
        <xdr:to>
          <xdr:col>10</xdr:col>
          <xdr:colOff>632460</xdr:colOff>
          <xdr:row>43</xdr:row>
          <xdr:rowOff>22860</xdr:rowOff>
        </xdr:to>
        <xdr:sp macro="" textlink="">
          <xdr:nvSpPr>
            <xdr:cNvPr id="3088" name="Bouton 11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9BDD3DD8-41C4-46F9-9FF7-474A51A0CC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la valeur de  ΔP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</xdr:colOff>
          <xdr:row>43</xdr:row>
          <xdr:rowOff>144780</xdr:rowOff>
        </xdr:from>
        <xdr:to>
          <xdr:col>10</xdr:col>
          <xdr:colOff>754380</xdr:colOff>
          <xdr:row>45</xdr:row>
          <xdr:rowOff>22860</xdr:rowOff>
        </xdr:to>
        <xdr:sp macro="" textlink="">
          <xdr:nvSpPr>
            <xdr:cNvPr id="3089" name="Bouton 12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3EC2887A-545C-43AB-B936-2EA118E5F5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zéro du compteur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43</xdr:row>
          <xdr:rowOff>144780</xdr:rowOff>
        </xdr:from>
        <xdr:to>
          <xdr:col>8</xdr:col>
          <xdr:colOff>754380</xdr:colOff>
          <xdr:row>45</xdr:row>
          <xdr:rowOff>22860</xdr:rowOff>
        </xdr:to>
        <xdr:sp macro="" textlink="">
          <xdr:nvSpPr>
            <xdr:cNvPr id="3090" name="Bouton 13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AAB1D1DC-6459-4CCA-B03C-7DFDA61E665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perte%20de%20charge%20r&#233;seau%20a&#233;raul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calculs"/>
      <sheetName val="Coudes"/>
      <sheetName val="Réunions"/>
      <sheetName val="Séparations"/>
      <sheetName val="Transformations"/>
      <sheetName val="Autres"/>
      <sheetName val="Entrées et sorties"/>
    </sheetNames>
    <definedNames>
      <definedName name="envoyer_valeur_CBR"/>
      <definedName name="envoyer_valeur_ccc"/>
      <definedName name="envoyer_valeur_couderectangulaire"/>
      <definedName name="envoyer_valeur_coudesegments"/>
      <definedName name="envoyer_valeur_CSTU"/>
      <definedName name="envoyer_valeur_CTR"/>
      <definedName name="mise_zero_compteur_CBR"/>
      <definedName name="mise_zero_compteur_ccc"/>
      <definedName name="mise_zero_compteur_couderectangulaire"/>
      <definedName name="mise_zero_compteur_coudesegments"/>
      <definedName name="mise_zero_compteur_CSTU"/>
      <definedName name="mise_zero_compteur_CTR"/>
      <definedName name="retour_compteur_CBR"/>
      <definedName name="retour_compteur_ccc"/>
      <definedName name="retour_compteur_couderectangulaire"/>
      <definedName name="retour_compteur_coudesegments"/>
      <definedName name="retour_compteur_CSTU"/>
      <definedName name="retour_compteur_CTR"/>
    </definedNames>
    <sheetDataSet>
      <sheetData sheetId="0">
        <row r="8">
          <cell r="L8">
            <v>1.200978367954884</v>
          </cell>
        </row>
      </sheetData>
      <sheetData sheetId="1">
        <row r="24">
          <cell r="M24">
            <v>90</v>
          </cell>
        </row>
        <row r="25">
          <cell r="M25">
            <v>45</v>
          </cell>
        </row>
        <row r="73">
          <cell r="S73" t="str">
            <v>Angle [°]</v>
          </cell>
        </row>
        <row r="74">
          <cell r="S74">
            <v>90</v>
          </cell>
        </row>
        <row r="75">
          <cell r="S75">
            <v>45</v>
          </cell>
        </row>
        <row r="76">
          <cell r="S76">
            <v>30</v>
          </cell>
        </row>
        <row r="96">
          <cell r="Q96">
            <v>90</v>
          </cell>
          <cell r="R96">
            <v>3</v>
          </cell>
        </row>
        <row r="97">
          <cell r="Q97">
            <v>60</v>
          </cell>
          <cell r="R97">
            <v>5</v>
          </cell>
        </row>
        <row r="98">
          <cell r="Q98">
            <v>45</v>
          </cell>
          <cell r="R98">
            <v>7</v>
          </cell>
        </row>
      </sheetData>
      <sheetData sheetId="2"/>
      <sheetData sheetId="3"/>
      <sheetData sheetId="4"/>
      <sheetData sheetId="5">
        <row r="4">
          <cell r="N4" t="str">
            <v>Montage S</v>
          </cell>
        </row>
        <row r="5">
          <cell r="N5" t="str">
            <v>Montage T</v>
          </cell>
        </row>
        <row r="6">
          <cell r="N6" t="str">
            <v>Montage U</v>
          </cell>
        </row>
        <row r="16">
          <cell r="C16" t="str">
            <v>Gaine droite</v>
          </cell>
        </row>
        <row r="17">
          <cell r="C17" t="str">
            <v>Autre</v>
          </cell>
        </row>
        <row r="18">
          <cell r="C18" t="str">
            <v>Coude à section circulaire</v>
          </cell>
        </row>
        <row r="19">
          <cell r="C19" t="str">
            <v>Coude à section rectangulaire</v>
          </cell>
        </row>
        <row r="20">
          <cell r="C20" t="str">
            <v>Coude en segments à section circulaire</v>
          </cell>
        </row>
        <row r="21">
          <cell r="C21" t="str">
            <v>Coude brusque 90° à section rectangulaire avec élargissement ou rétrécissement de la section de sortie</v>
          </cell>
        </row>
        <row r="22">
          <cell r="C22" t="str">
            <v>Coude de transformation à section rectangulaire</v>
          </cell>
        </row>
        <row r="23">
          <cell r="C23" t="str">
            <v>Coude montage en S, T ou U</v>
          </cell>
        </row>
        <row r="24">
          <cell r="C24" t="str">
            <v>Réunion des courants latéraux à section circulaire</v>
          </cell>
        </row>
        <row r="25">
          <cell r="C25" t="str">
            <v>Réunion des courants en T à section circulaire</v>
          </cell>
        </row>
        <row r="26">
          <cell r="C26" t="str">
            <v>Réunion des courants latéraux à section rectangulaire</v>
          </cell>
        </row>
        <row r="27">
          <cell r="C27" t="str">
            <v>Réunion des courants en T à section rectangulaire</v>
          </cell>
        </row>
        <row r="28">
          <cell r="C28" t="str">
            <v>Séparation des courants latéraux à section circulaire</v>
          </cell>
        </row>
        <row r="29">
          <cell r="C29" t="str">
            <v>Séparation des courants en T à section circulaire</v>
          </cell>
        </row>
        <row r="30">
          <cell r="C30" t="str">
            <v>Séparation des courants latéraux à section rectangulaire</v>
          </cell>
        </row>
        <row r="31">
          <cell r="C31" t="str">
            <v>Séparation des courants en T à section rectangulaire</v>
          </cell>
        </row>
        <row r="32">
          <cell r="C32" t="str">
            <v>Tranformation divergent à section circulaire</v>
          </cell>
        </row>
        <row r="33">
          <cell r="C33" t="str">
            <v>Tranformation convergent à section circulaire</v>
          </cell>
        </row>
        <row r="34">
          <cell r="C34" t="str">
            <v>Tranformation divergents à section rectangulaire</v>
          </cell>
        </row>
        <row r="35">
          <cell r="C35" t="str">
            <v>Tranformation convergents à section rectangulaire</v>
          </cell>
        </row>
        <row r="36">
          <cell r="C36" t="str">
            <v>Transformation section rectangulaire à section circulaire</v>
          </cell>
        </row>
        <row r="37">
          <cell r="C37" t="str">
            <v>Transformation section circulaire à section rectangulaire</v>
          </cell>
        </row>
        <row r="38">
          <cell r="C38" t="str">
            <v>Entrée droite dans un conduit à section circulaire</v>
          </cell>
        </row>
        <row r="39">
          <cell r="C39" t="str">
            <v>Entrée droite dans un conduit à section rectangulaire</v>
          </cell>
        </row>
        <row r="40">
          <cell r="C40" t="str">
            <v>Sortie libre d'un conduit à section circulaire</v>
          </cell>
        </row>
        <row r="41">
          <cell r="C41" t="str">
            <v>Sortie libre d'un conduit à section rectangulaire</v>
          </cell>
        </row>
        <row r="42">
          <cell r="C42" t="str">
            <v>Sortie libre d'un conduit placé dans une paroi à section circulaire</v>
          </cell>
        </row>
        <row r="43">
          <cell r="C43" t="str">
            <v>Sortie libre d'un conduit placé dans une paroi à section rectangulaire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04F27-14D7-4B10-84DB-19E4D61C2856}">
  <dimension ref="C3:E80"/>
  <sheetViews>
    <sheetView tabSelected="1" topLeftCell="A7" workbookViewId="0">
      <selection activeCell="C13" sqref="C13"/>
    </sheetView>
  </sheetViews>
  <sheetFormatPr baseColWidth="10" defaultRowHeight="14.4" x14ac:dyDescent="0.3"/>
  <cols>
    <col min="3" max="3" width="20.77734375" customWidth="1"/>
  </cols>
  <sheetData>
    <row r="3" spans="3:5" x14ac:dyDescent="0.3">
      <c r="E3" t="s">
        <v>207</v>
      </c>
    </row>
    <row r="4" spans="3:5" x14ac:dyDescent="0.3">
      <c r="E4" t="s">
        <v>205</v>
      </c>
    </row>
    <row r="5" spans="3:5" x14ac:dyDescent="0.3">
      <c r="E5" t="s">
        <v>206</v>
      </c>
    </row>
    <row r="11" spans="3:5" ht="15" thickBot="1" x14ac:dyDescent="0.35"/>
    <row r="12" spans="3:5" ht="28.2" thickBot="1" x14ac:dyDescent="0.35">
      <c r="C12" s="1" t="s">
        <v>0</v>
      </c>
    </row>
    <row r="13" spans="3:5" x14ac:dyDescent="0.3">
      <c r="C13" s="2"/>
    </row>
    <row r="14" spans="3:5" x14ac:dyDescent="0.3">
      <c r="C14" s="2"/>
    </row>
    <row r="15" spans="3:5" x14ac:dyDescent="0.3">
      <c r="C15" s="2" t="s">
        <v>7</v>
      </c>
    </row>
    <row r="16" spans="3:5" x14ac:dyDescent="0.3">
      <c r="C16" s="2"/>
    </row>
    <row r="17" spans="3:3" x14ac:dyDescent="0.3">
      <c r="C17" s="2"/>
    </row>
    <row r="18" spans="3:3" x14ac:dyDescent="0.3">
      <c r="C18" s="2"/>
    </row>
    <row r="19" spans="3:3" x14ac:dyDescent="0.3">
      <c r="C19" s="2"/>
    </row>
    <row r="20" spans="3:3" x14ac:dyDescent="0.3">
      <c r="C20" s="2"/>
    </row>
    <row r="21" spans="3:3" x14ac:dyDescent="0.3">
      <c r="C21" s="2"/>
    </row>
    <row r="22" spans="3:3" x14ac:dyDescent="0.3">
      <c r="C22" s="2"/>
    </row>
    <row r="23" spans="3:3" x14ac:dyDescent="0.3">
      <c r="C23" s="2"/>
    </row>
    <row r="24" spans="3:3" x14ac:dyDescent="0.3">
      <c r="C24" s="2"/>
    </row>
    <row r="25" spans="3:3" x14ac:dyDescent="0.3">
      <c r="C25" s="2"/>
    </row>
    <row r="26" spans="3:3" x14ac:dyDescent="0.3">
      <c r="C26" s="2"/>
    </row>
    <row r="27" spans="3:3" x14ac:dyDescent="0.3">
      <c r="C27" s="2"/>
    </row>
    <row r="28" spans="3:3" x14ac:dyDescent="0.3">
      <c r="C28" s="2"/>
    </row>
    <row r="29" spans="3:3" x14ac:dyDescent="0.3">
      <c r="C29" s="2"/>
    </row>
    <row r="30" spans="3:3" x14ac:dyDescent="0.3">
      <c r="C30" s="2"/>
    </row>
    <row r="31" spans="3:3" x14ac:dyDescent="0.3">
      <c r="C31" s="2"/>
    </row>
    <row r="32" spans="3:3" x14ac:dyDescent="0.3">
      <c r="C32" s="2"/>
    </row>
    <row r="33" spans="3:3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  <row r="37" spans="3:3" x14ac:dyDescent="0.3">
      <c r="C37" s="2"/>
    </row>
    <row r="38" spans="3:3" x14ac:dyDescent="0.3">
      <c r="C38" s="2"/>
    </row>
    <row r="39" spans="3:3" x14ac:dyDescent="0.3">
      <c r="C39" s="2"/>
    </row>
    <row r="40" spans="3:3" x14ac:dyDescent="0.3">
      <c r="C40" s="2"/>
    </row>
    <row r="41" spans="3:3" x14ac:dyDescent="0.3">
      <c r="C41" s="2"/>
    </row>
    <row r="42" spans="3:3" x14ac:dyDescent="0.3">
      <c r="C42" s="2"/>
    </row>
    <row r="43" spans="3:3" x14ac:dyDescent="0.3">
      <c r="C43" s="2"/>
    </row>
    <row r="44" spans="3:3" x14ac:dyDescent="0.3">
      <c r="C44" s="2"/>
    </row>
    <row r="45" spans="3:3" x14ac:dyDescent="0.3">
      <c r="C45" s="2"/>
    </row>
    <row r="46" spans="3:3" x14ac:dyDescent="0.3">
      <c r="C46" s="2"/>
    </row>
    <row r="47" spans="3:3" x14ac:dyDescent="0.3">
      <c r="C47" s="2"/>
    </row>
    <row r="48" spans="3:3" x14ac:dyDescent="0.3">
      <c r="C48" s="2"/>
    </row>
    <row r="49" spans="3:3" x14ac:dyDescent="0.3">
      <c r="C49" s="2"/>
    </row>
    <row r="50" spans="3:3" x14ac:dyDescent="0.3">
      <c r="C50" s="2"/>
    </row>
    <row r="51" spans="3:3" x14ac:dyDescent="0.3">
      <c r="C51" s="2"/>
    </row>
    <row r="52" spans="3:3" x14ac:dyDescent="0.3">
      <c r="C52" s="2"/>
    </row>
    <row r="53" spans="3:3" x14ac:dyDescent="0.3">
      <c r="C53" s="2"/>
    </row>
    <row r="54" spans="3:3" x14ac:dyDescent="0.3">
      <c r="C54" s="2"/>
    </row>
    <row r="55" spans="3:3" x14ac:dyDescent="0.3">
      <c r="C55" s="2"/>
    </row>
    <row r="56" spans="3:3" x14ac:dyDescent="0.3">
      <c r="C56" s="2"/>
    </row>
    <row r="57" spans="3:3" x14ac:dyDescent="0.3">
      <c r="C57" s="2"/>
    </row>
    <row r="58" spans="3:3" x14ac:dyDescent="0.3">
      <c r="C58" s="2"/>
    </row>
    <row r="59" spans="3:3" x14ac:dyDescent="0.3">
      <c r="C59" s="2"/>
    </row>
    <row r="60" spans="3:3" x14ac:dyDescent="0.3">
      <c r="C60" s="2"/>
    </row>
    <row r="61" spans="3:3" x14ac:dyDescent="0.3">
      <c r="C61" s="2"/>
    </row>
    <row r="62" spans="3:3" x14ac:dyDescent="0.3">
      <c r="C62" s="2"/>
    </row>
    <row r="63" spans="3:3" x14ac:dyDescent="0.3">
      <c r="C63" s="2"/>
    </row>
    <row r="64" spans="3:3" x14ac:dyDescent="0.3">
      <c r="C64" s="2"/>
    </row>
    <row r="65" spans="3:3" x14ac:dyDescent="0.3">
      <c r="C65" s="2"/>
    </row>
    <row r="66" spans="3:3" x14ac:dyDescent="0.3">
      <c r="C66" s="2"/>
    </row>
    <row r="67" spans="3:3" x14ac:dyDescent="0.3">
      <c r="C67" s="2"/>
    </row>
    <row r="68" spans="3:3" x14ac:dyDescent="0.3">
      <c r="C68" s="2"/>
    </row>
    <row r="69" spans="3:3" x14ac:dyDescent="0.3">
      <c r="C69" s="2"/>
    </row>
    <row r="70" spans="3:3" x14ac:dyDescent="0.3">
      <c r="C70" s="2"/>
    </row>
    <row r="71" spans="3:3" x14ac:dyDescent="0.3">
      <c r="C71" s="2"/>
    </row>
    <row r="72" spans="3:3" x14ac:dyDescent="0.3">
      <c r="C72" s="2"/>
    </row>
    <row r="73" spans="3:3" x14ac:dyDescent="0.3">
      <c r="C73" s="2"/>
    </row>
    <row r="74" spans="3:3" x14ac:dyDescent="0.3">
      <c r="C74" s="2"/>
    </row>
    <row r="75" spans="3:3" x14ac:dyDescent="0.3">
      <c r="C75" s="2"/>
    </row>
    <row r="76" spans="3:3" x14ac:dyDescent="0.3">
      <c r="C76" s="2"/>
    </row>
    <row r="77" spans="3:3" x14ac:dyDescent="0.3">
      <c r="C77" s="2"/>
    </row>
    <row r="78" spans="3:3" x14ac:dyDescent="0.3">
      <c r="C78" s="2"/>
    </row>
    <row r="79" spans="3:3" x14ac:dyDescent="0.3">
      <c r="C79" s="2"/>
    </row>
    <row r="80" spans="3:3" x14ac:dyDescent="0.3">
      <c r="C80" s="2"/>
    </row>
  </sheetData>
  <dataValidations count="1">
    <dataValidation type="list" sqref="C13:C80" xr:uid="{8092396C-7FC7-46B0-BB5E-904155D36D87}">
      <formula1>ref_sing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42A59-B1DD-477F-80FD-368D56D7F26F}">
  <dimension ref="B14:E44"/>
  <sheetViews>
    <sheetView topLeftCell="A19" workbookViewId="0">
      <selection activeCell="J37" sqref="J37"/>
    </sheetView>
  </sheetViews>
  <sheetFormatPr baseColWidth="10" defaultRowHeight="14.4" x14ac:dyDescent="0.3"/>
  <sheetData>
    <row r="14" spans="2:5" ht="15" thickBot="1" x14ac:dyDescent="0.35"/>
    <row r="15" spans="2:5" ht="15" thickBot="1" x14ac:dyDescent="0.35">
      <c r="B15" s="3" t="s">
        <v>1</v>
      </c>
      <c r="C15" s="4" t="s">
        <v>2</v>
      </c>
      <c r="D15" s="5"/>
      <c r="E15" s="6"/>
    </row>
    <row r="16" spans="2:5" x14ac:dyDescent="0.3">
      <c r="B16" s="7" t="s">
        <v>3</v>
      </c>
      <c r="C16" s="8" t="s">
        <v>4</v>
      </c>
      <c r="D16" s="9"/>
      <c r="E16" s="10"/>
    </row>
    <row r="17" spans="2:5" x14ac:dyDescent="0.3">
      <c r="B17" s="11" t="s">
        <v>5</v>
      </c>
      <c r="C17" s="12" t="s">
        <v>5</v>
      </c>
      <c r="D17" s="13"/>
      <c r="E17" s="14"/>
    </row>
    <row r="18" spans="2:5" x14ac:dyDescent="0.3">
      <c r="B18" s="11" t="s">
        <v>6</v>
      </c>
      <c r="C18" s="12" t="s">
        <v>7</v>
      </c>
      <c r="D18" s="13"/>
      <c r="E18" s="14"/>
    </row>
    <row r="19" spans="2:5" x14ac:dyDescent="0.3">
      <c r="B19" s="11" t="s">
        <v>8</v>
      </c>
      <c r="C19" s="12" t="s">
        <v>9</v>
      </c>
      <c r="D19" s="13"/>
      <c r="E19" s="14"/>
    </row>
    <row r="20" spans="2:5" x14ac:dyDescent="0.3">
      <c r="B20" s="11" t="s">
        <v>10</v>
      </c>
      <c r="C20" s="15" t="s">
        <v>11</v>
      </c>
      <c r="D20" s="16"/>
      <c r="E20" s="17"/>
    </row>
    <row r="21" spans="2:5" x14ac:dyDescent="0.3">
      <c r="B21" s="11" t="s">
        <v>12</v>
      </c>
      <c r="C21" s="15" t="s">
        <v>13</v>
      </c>
      <c r="D21" s="16"/>
      <c r="E21" s="17"/>
    </row>
    <row r="22" spans="2:5" x14ac:dyDescent="0.3">
      <c r="B22" s="11" t="s">
        <v>14</v>
      </c>
      <c r="C22" s="15" t="s">
        <v>15</v>
      </c>
      <c r="D22" s="16"/>
      <c r="E22" s="17"/>
    </row>
    <row r="23" spans="2:5" x14ac:dyDescent="0.3">
      <c r="B23" s="11" t="s">
        <v>16</v>
      </c>
      <c r="C23" s="15" t="s">
        <v>17</v>
      </c>
      <c r="D23" s="16"/>
      <c r="E23" s="17"/>
    </row>
    <row r="24" spans="2:5" x14ac:dyDescent="0.3">
      <c r="B24" s="11" t="s">
        <v>18</v>
      </c>
      <c r="C24" s="15" t="s">
        <v>19</v>
      </c>
      <c r="D24" s="16"/>
      <c r="E24" s="17"/>
    </row>
    <row r="25" spans="2:5" x14ac:dyDescent="0.3">
      <c r="B25" s="11" t="s">
        <v>20</v>
      </c>
      <c r="C25" s="18" t="s">
        <v>21</v>
      </c>
      <c r="D25" s="19"/>
      <c r="E25" s="20"/>
    </row>
    <row r="26" spans="2:5" x14ac:dyDescent="0.3">
      <c r="B26" s="11" t="s">
        <v>22</v>
      </c>
      <c r="C26" s="18" t="s">
        <v>23</v>
      </c>
      <c r="D26" s="19"/>
      <c r="E26" s="20"/>
    </row>
    <row r="27" spans="2:5" x14ac:dyDescent="0.3">
      <c r="B27" s="11" t="s">
        <v>24</v>
      </c>
      <c r="C27" s="18" t="s">
        <v>25</v>
      </c>
      <c r="D27" s="19"/>
      <c r="E27" s="20"/>
    </row>
    <row r="28" spans="2:5" x14ac:dyDescent="0.3">
      <c r="B28" s="11" t="s">
        <v>26</v>
      </c>
      <c r="C28" s="18" t="s">
        <v>27</v>
      </c>
      <c r="D28" s="19"/>
      <c r="E28" s="20"/>
    </row>
    <row r="29" spans="2:5" x14ac:dyDescent="0.3">
      <c r="B29" s="11" t="s">
        <v>28</v>
      </c>
      <c r="C29" s="18" t="s">
        <v>29</v>
      </c>
      <c r="D29" s="19"/>
      <c r="E29" s="20"/>
    </row>
    <row r="30" spans="2:5" x14ac:dyDescent="0.3">
      <c r="B30" s="11" t="s">
        <v>30</v>
      </c>
      <c r="C30" s="18" t="s">
        <v>31</v>
      </c>
      <c r="D30" s="19"/>
      <c r="E30" s="20"/>
    </row>
    <row r="31" spans="2:5" x14ac:dyDescent="0.3">
      <c r="B31" s="11" t="s">
        <v>32</v>
      </c>
      <c r="C31" s="18" t="s">
        <v>33</v>
      </c>
      <c r="D31" s="19"/>
      <c r="E31" s="20"/>
    </row>
    <row r="32" spans="2:5" x14ac:dyDescent="0.3">
      <c r="B32" s="11" t="s">
        <v>34</v>
      </c>
      <c r="C32" s="18" t="s">
        <v>35</v>
      </c>
      <c r="D32" s="19"/>
      <c r="E32" s="20"/>
    </row>
    <row r="33" spans="2:5" x14ac:dyDescent="0.3">
      <c r="B33" s="11" t="s">
        <v>36</v>
      </c>
      <c r="C33" s="18" t="s">
        <v>37</v>
      </c>
      <c r="D33" s="19"/>
      <c r="E33" s="20"/>
    </row>
    <row r="34" spans="2:5" x14ac:dyDescent="0.3">
      <c r="B34" s="11" t="s">
        <v>38</v>
      </c>
      <c r="C34" s="18" t="s">
        <v>39</v>
      </c>
      <c r="D34" s="19"/>
      <c r="E34" s="20"/>
    </row>
    <row r="35" spans="2:5" x14ac:dyDescent="0.3">
      <c r="B35" s="11" t="s">
        <v>40</v>
      </c>
      <c r="C35" s="18" t="s">
        <v>41</v>
      </c>
      <c r="D35" s="19"/>
      <c r="E35" s="20"/>
    </row>
    <row r="36" spans="2:5" x14ac:dyDescent="0.3">
      <c r="B36" s="11" t="s">
        <v>42</v>
      </c>
      <c r="C36" s="18" t="s">
        <v>43</v>
      </c>
      <c r="D36" s="19"/>
      <c r="E36" s="20"/>
    </row>
    <row r="37" spans="2:5" x14ac:dyDescent="0.3">
      <c r="B37" s="11" t="s">
        <v>44</v>
      </c>
      <c r="C37" s="18" t="s">
        <v>45</v>
      </c>
      <c r="D37" s="19"/>
      <c r="E37" s="20"/>
    </row>
    <row r="38" spans="2:5" x14ac:dyDescent="0.3">
      <c r="B38" s="11" t="s">
        <v>46</v>
      </c>
      <c r="C38" s="18" t="s">
        <v>47</v>
      </c>
      <c r="D38" s="19"/>
      <c r="E38" s="20"/>
    </row>
    <row r="39" spans="2:5" x14ac:dyDescent="0.3">
      <c r="B39" s="11" t="s">
        <v>48</v>
      </c>
      <c r="C39" s="18" t="s">
        <v>49</v>
      </c>
      <c r="D39" s="19"/>
      <c r="E39" s="20"/>
    </row>
    <row r="40" spans="2:5" x14ac:dyDescent="0.3">
      <c r="B40" s="11" t="s">
        <v>50</v>
      </c>
      <c r="C40" s="18" t="s">
        <v>51</v>
      </c>
      <c r="D40" s="19"/>
      <c r="E40" s="20"/>
    </row>
    <row r="41" spans="2:5" x14ac:dyDescent="0.3">
      <c r="B41" s="11" t="s">
        <v>52</v>
      </c>
      <c r="C41" s="18" t="s">
        <v>53</v>
      </c>
      <c r="D41" s="19"/>
      <c r="E41" s="20"/>
    </row>
    <row r="42" spans="2:5" x14ac:dyDescent="0.3">
      <c r="B42" s="11" t="s">
        <v>54</v>
      </c>
      <c r="C42" s="18" t="s">
        <v>55</v>
      </c>
      <c r="D42" s="19"/>
      <c r="E42" s="20"/>
    </row>
    <row r="43" spans="2:5" x14ac:dyDescent="0.3">
      <c r="B43" s="11" t="s">
        <v>56</v>
      </c>
      <c r="C43" s="18" t="s">
        <v>57</v>
      </c>
      <c r="D43" s="19"/>
      <c r="E43" s="20"/>
    </row>
    <row r="44" spans="2:5" ht="15" thickBot="1" x14ac:dyDescent="0.35">
      <c r="B44" s="21"/>
      <c r="C44" s="22" t="s">
        <v>4</v>
      </c>
      <c r="D44" s="23"/>
      <c r="E44" s="24"/>
    </row>
  </sheetData>
  <mergeCells count="10">
    <mergeCell ref="C21:E21"/>
    <mergeCell ref="C22:E22"/>
    <mergeCell ref="C23:E23"/>
    <mergeCell ref="C24:E24"/>
    <mergeCell ref="C15:E15"/>
    <mergeCell ref="C16:E16"/>
    <mergeCell ref="C17:E17"/>
    <mergeCell ref="C18:E18"/>
    <mergeCell ref="C19:E19"/>
    <mergeCell ref="C20:E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472E7-639D-43DC-9628-ECE27891B375}">
  <dimension ref="A1:AC220"/>
  <sheetViews>
    <sheetView workbookViewId="0">
      <selection activeCell="L2" sqref="L2:L4"/>
    </sheetView>
  </sheetViews>
  <sheetFormatPr baseColWidth="10" defaultRowHeight="14.4" outlineLevelRow="1" x14ac:dyDescent="0.3"/>
  <cols>
    <col min="1" max="2" width="11.44140625" customWidth="1"/>
    <col min="3" max="3" width="12.6640625" customWidth="1"/>
    <col min="4" max="5" width="11.44140625" customWidth="1"/>
    <col min="7" max="7" width="14" customWidth="1"/>
  </cols>
  <sheetData>
    <row r="1" spans="1:26" ht="20.399999999999999" x14ac:dyDescent="0.35">
      <c r="E1" s="25"/>
      <c r="F1" s="25"/>
      <c r="G1" s="25"/>
      <c r="H1" s="25"/>
      <c r="I1" s="25"/>
      <c r="J1" s="25"/>
    </row>
    <row r="2" spans="1:26" ht="15.6" x14ac:dyDescent="0.3">
      <c r="D2" s="26" t="s">
        <v>58</v>
      </c>
      <c r="E2" s="26"/>
      <c r="F2" s="26"/>
      <c r="G2" s="26"/>
      <c r="H2" s="27"/>
      <c r="I2" s="27"/>
    </row>
    <row r="3" spans="1:26" ht="20.399999999999999" x14ac:dyDescent="0.35">
      <c r="D3" s="25"/>
      <c r="E3" s="25"/>
      <c r="F3" s="25"/>
      <c r="G3" s="25"/>
      <c r="H3" s="25"/>
      <c r="I3" s="25"/>
      <c r="J3" s="28"/>
      <c r="K3" s="28"/>
    </row>
    <row r="4" spans="1:26" ht="18" x14ac:dyDescent="0.35">
      <c r="A4" s="29" t="s">
        <v>59</v>
      </c>
      <c r="D4" s="30" t="s">
        <v>60</v>
      </c>
      <c r="E4" s="30"/>
      <c r="F4" s="30"/>
      <c r="G4" s="30"/>
      <c r="H4" s="31"/>
      <c r="I4" s="31"/>
      <c r="J4" s="32"/>
      <c r="K4" s="32"/>
    </row>
    <row r="5" spans="1:26" x14ac:dyDescent="0.3">
      <c r="J5" s="32"/>
      <c r="K5" s="32"/>
      <c r="L5" s="33"/>
    </row>
    <row r="7" spans="1:26" x14ac:dyDescent="0.3">
      <c r="A7" s="34"/>
      <c r="B7" s="34" t="s">
        <v>61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ht="15" thickBot="1" x14ac:dyDescent="0.35"/>
    <row r="9" spans="1:26" ht="15" thickBot="1" x14ac:dyDescent="0.35">
      <c r="N9" s="35" t="s">
        <v>62</v>
      </c>
      <c r="O9" s="36"/>
      <c r="P9" s="36"/>
      <c r="Q9" s="36"/>
      <c r="R9" s="36"/>
      <c r="S9" s="36"/>
      <c r="T9" s="36"/>
      <c r="U9" s="37"/>
      <c r="W9" s="38" t="s">
        <v>62</v>
      </c>
      <c r="X9" s="39"/>
    </row>
    <row r="10" spans="1:26" ht="15" thickBot="1" x14ac:dyDescent="0.35">
      <c r="D10" s="40"/>
      <c r="E10" s="41" t="s">
        <v>63</v>
      </c>
      <c r="F10" s="42">
        <v>90</v>
      </c>
      <c r="G10" s="43"/>
      <c r="N10" s="35" t="s">
        <v>64</v>
      </c>
      <c r="O10" s="36"/>
      <c r="P10" s="36"/>
      <c r="Q10" s="36"/>
      <c r="R10" s="36"/>
      <c r="S10" s="36"/>
      <c r="T10" s="36"/>
      <c r="U10" s="37"/>
      <c r="V10" s="43"/>
      <c r="W10" s="44" t="s">
        <v>65</v>
      </c>
      <c r="X10" s="44" t="s">
        <v>64</v>
      </c>
    </row>
    <row r="11" spans="1:26" ht="15" thickBot="1" x14ac:dyDescent="0.35">
      <c r="D11" s="40"/>
      <c r="E11" s="41" t="s">
        <v>66</v>
      </c>
      <c r="F11" s="42">
        <v>120</v>
      </c>
      <c r="G11" s="43"/>
      <c r="N11" s="45" t="s">
        <v>65</v>
      </c>
      <c r="O11" s="35" t="s">
        <v>67</v>
      </c>
      <c r="P11" s="36"/>
      <c r="Q11" s="36"/>
      <c r="R11" s="36"/>
      <c r="S11" s="36"/>
      <c r="T11" s="36"/>
      <c r="U11" s="37"/>
      <c r="V11" s="46"/>
      <c r="W11" s="47">
        <v>0.5</v>
      </c>
      <c r="X11" s="48">
        <v>0.71</v>
      </c>
    </row>
    <row r="12" spans="1:26" ht="15" thickBot="1" x14ac:dyDescent="0.35">
      <c r="D12" s="40"/>
      <c r="E12" s="41" t="s">
        <v>68</v>
      </c>
      <c r="F12" s="42">
        <v>160</v>
      </c>
      <c r="G12" s="43"/>
      <c r="N12" s="49"/>
      <c r="O12" s="50">
        <v>75</v>
      </c>
      <c r="P12" s="44">
        <v>80</v>
      </c>
      <c r="Q12" s="44">
        <v>100</v>
      </c>
      <c r="R12" s="44">
        <v>125</v>
      </c>
      <c r="S12" s="44">
        <v>160</v>
      </c>
      <c r="T12" s="44">
        <v>200</v>
      </c>
      <c r="U12" s="44">
        <v>250</v>
      </c>
      <c r="V12" s="46"/>
      <c r="W12" s="51">
        <v>0.75</v>
      </c>
      <c r="X12" s="52">
        <v>0.33</v>
      </c>
    </row>
    <row r="13" spans="1:26" ht="15" thickBot="1" x14ac:dyDescent="0.35">
      <c r="D13" s="40"/>
      <c r="G13" s="43"/>
      <c r="N13" s="50">
        <v>1</v>
      </c>
      <c r="O13" s="53">
        <v>0.44</v>
      </c>
      <c r="P13" s="54">
        <v>0.43</v>
      </c>
      <c r="Q13" s="55">
        <v>0.37</v>
      </c>
      <c r="R13" s="55">
        <v>0.3</v>
      </c>
      <c r="S13" s="55">
        <v>0.25</v>
      </c>
      <c r="T13" s="55">
        <v>0.24</v>
      </c>
      <c r="U13" s="48">
        <v>0.24</v>
      </c>
      <c r="V13" s="46"/>
      <c r="W13" s="51">
        <v>2</v>
      </c>
      <c r="X13" s="52">
        <v>0.13</v>
      </c>
    </row>
    <row r="14" spans="1:26" ht="15" thickBot="1" x14ac:dyDescent="0.35">
      <c r="D14" s="40"/>
      <c r="G14" s="43"/>
      <c r="N14" s="50">
        <v>1.5</v>
      </c>
      <c r="O14" s="56">
        <v>0.3</v>
      </c>
      <c r="P14" s="57">
        <v>0.28000000000000003</v>
      </c>
      <c r="Q14" s="58">
        <v>0.16</v>
      </c>
      <c r="R14" s="58">
        <v>0.16</v>
      </c>
      <c r="S14" s="58">
        <v>0.13</v>
      </c>
      <c r="T14" s="58">
        <v>0.11</v>
      </c>
      <c r="U14" s="59">
        <v>0.11</v>
      </c>
      <c r="V14" s="46"/>
      <c r="W14" s="60">
        <v>2.5</v>
      </c>
      <c r="X14" s="59">
        <v>0.12</v>
      </c>
    </row>
    <row r="15" spans="1:26" ht="15" thickBot="1" x14ac:dyDescent="0.35">
      <c r="D15" s="40"/>
      <c r="E15" s="40"/>
      <c r="F15" s="61"/>
      <c r="G15" s="43"/>
      <c r="H15" s="62"/>
      <c r="I15" s="63"/>
      <c r="N15" s="62"/>
      <c r="O15" s="63"/>
      <c r="P15" s="64"/>
      <c r="Q15" s="43"/>
      <c r="R15" s="46"/>
      <c r="S15" s="46"/>
      <c r="T15" s="43"/>
      <c r="U15" s="46"/>
      <c r="V15" s="46"/>
      <c r="W15" s="43"/>
      <c r="X15" s="43"/>
    </row>
    <row r="16" spans="1:26" ht="15.6" thickTop="1" thickBot="1" x14ac:dyDescent="0.35">
      <c r="D16" s="40"/>
      <c r="E16" s="65" t="s">
        <v>69</v>
      </c>
      <c r="F16" s="66">
        <f>IF(AND(F10=90,F24=1),J25,IF(AND(F10=90,F24=1.5),J27,IF(AND(F10=90,F24&lt;&gt;1,F24&lt;&gt;1.5),#REF!,IF(AND(F10=45,F24=1),K25,IF(AND(F10=45,F24=1.5),K27)))))</f>
        <v>0.25</v>
      </c>
      <c r="G16" s="43"/>
      <c r="H16" s="62"/>
      <c r="I16" s="63"/>
      <c r="N16" s="38" t="s">
        <v>70</v>
      </c>
      <c r="O16" s="67"/>
      <c r="P16" s="67"/>
      <c r="Q16" s="67"/>
      <c r="R16" s="67"/>
      <c r="S16" s="67"/>
      <c r="T16" s="67"/>
      <c r="U16" s="39"/>
      <c r="V16" s="46"/>
      <c r="W16" s="43"/>
      <c r="X16" s="43"/>
    </row>
    <row r="17" spans="1:26" ht="15.6" thickTop="1" thickBot="1" x14ac:dyDescent="0.35">
      <c r="D17" s="40"/>
      <c r="E17" s="65" t="s">
        <v>71</v>
      </c>
      <c r="F17" s="66">
        <f>0.5*F16*(F25^2)*'[1]Feuille de calculs'!$L$8</f>
        <v>0.41261308380137768</v>
      </c>
      <c r="G17" s="43"/>
      <c r="H17" s="43"/>
      <c r="I17" s="46"/>
      <c r="N17" s="35" t="s">
        <v>64</v>
      </c>
      <c r="O17" s="36"/>
      <c r="P17" s="36"/>
      <c r="Q17" s="36"/>
      <c r="R17" s="36"/>
      <c r="S17" s="36"/>
      <c r="T17" s="36"/>
      <c r="U17" s="37"/>
      <c r="V17" s="46"/>
      <c r="W17" s="43"/>
      <c r="X17" s="43"/>
    </row>
    <row r="18" spans="1:26" ht="15.6" thickTop="1" thickBot="1" x14ac:dyDescent="0.35">
      <c r="D18" s="40"/>
      <c r="E18" s="68"/>
      <c r="F18" s="69"/>
      <c r="G18" s="43"/>
      <c r="H18" s="43"/>
      <c r="I18" s="46"/>
      <c r="N18" s="45" t="s">
        <v>65</v>
      </c>
      <c r="O18" s="35" t="s">
        <v>67</v>
      </c>
      <c r="P18" s="36"/>
      <c r="Q18" s="36"/>
      <c r="R18" s="36"/>
      <c r="S18" s="36"/>
      <c r="T18" s="36"/>
      <c r="U18" s="37"/>
      <c r="V18" s="46"/>
      <c r="W18" s="43"/>
      <c r="X18" s="43"/>
    </row>
    <row r="19" spans="1:26" ht="15" thickBot="1" x14ac:dyDescent="0.35">
      <c r="D19" s="40"/>
      <c r="E19" s="70" t="s">
        <v>72</v>
      </c>
      <c r="F19" s="71">
        <v>1</v>
      </c>
      <c r="G19" s="43"/>
      <c r="H19" s="43"/>
      <c r="I19" s="46"/>
      <c r="N19" s="49"/>
      <c r="O19" s="50">
        <v>75</v>
      </c>
      <c r="P19" s="44">
        <v>80</v>
      </c>
      <c r="Q19" s="44">
        <v>100</v>
      </c>
      <c r="R19" s="44">
        <v>125</v>
      </c>
      <c r="S19" s="44">
        <v>160</v>
      </c>
      <c r="T19" s="44">
        <v>200</v>
      </c>
      <c r="U19" s="44">
        <v>250</v>
      </c>
      <c r="V19" s="46"/>
      <c r="W19" s="43"/>
      <c r="X19" s="43"/>
    </row>
    <row r="20" spans="1:26" ht="15" thickBot="1" x14ac:dyDescent="0.35">
      <c r="D20" s="40"/>
      <c r="N20" s="50">
        <v>1</v>
      </c>
      <c r="O20" s="53">
        <v>0.2</v>
      </c>
      <c r="P20" s="54">
        <v>0.19</v>
      </c>
      <c r="Q20" s="55">
        <v>0.17</v>
      </c>
      <c r="R20" s="55">
        <v>0.14000000000000001</v>
      </c>
      <c r="S20" s="55">
        <v>0.11</v>
      </c>
      <c r="T20" s="55">
        <v>0.11</v>
      </c>
      <c r="U20" s="48">
        <v>0.11</v>
      </c>
      <c r="V20" s="46"/>
      <c r="W20" s="43"/>
      <c r="X20" s="43"/>
    </row>
    <row r="21" spans="1:26" ht="15" thickBot="1" x14ac:dyDescent="0.35">
      <c r="D21" s="40"/>
      <c r="E21" s="68"/>
      <c r="F21" s="69"/>
      <c r="G21" s="43"/>
      <c r="H21" s="43"/>
      <c r="I21" s="46"/>
      <c r="N21" s="50">
        <v>1.5</v>
      </c>
      <c r="O21" s="56">
        <v>0.18</v>
      </c>
      <c r="P21" s="57">
        <v>0.17</v>
      </c>
      <c r="Q21" s="58">
        <v>0.13</v>
      </c>
      <c r="R21" s="58">
        <v>0.1</v>
      </c>
      <c r="S21" s="58">
        <v>7.0000000000000007E-2</v>
      </c>
      <c r="T21" s="58">
        <v>7.0000000000000007E-2</v>
      </c>
      <c r="U21" s="59">
        <v>7.0000000000000007E-2</v>
      </c>
      <c r="V21" s="46"/>
      <c r="W21" s="43"/>
      <c r="X21" s="43"/>
    </row>
    <row r="22" spans="1:26" x14ac:dyDescent="0.3">
      <c r="D22" s="40"/>
      <c r="J22" s="43"/>
      <c r="K22" s="46"/>
      <c r="L22" s="64"/>
      <c r="M22" s="43"/>
      <c r="N22" s="43"/>
      <c r="O22" s="43"/>
      <c r="P22" s="43"/>
      <c r="Q22" s="46"/>
      <c r="R22" s="46"/>
      <c r="S22" s="43"/>
      <c r="T22" s="43"/>
      <c r="U22" s="43"/>
      <c r="V22" s="43"/>
    </row>
    <row r="23" spans="1:26" hidden="1" outlineLevel="1" x14ac:dyDescent="0.3">
      <c r="D23" s="40"/>
      <c r="E23" s="72" t="s">
        <v>73</v>
      </c>
      <c r="F23" s="73">
        <f>F12</f>
        <v>160</v>
      </c>
      <c r="G23" s="43"/>
      <c r="H23" s="43"/>
      <c r="I23" s="46"/>
      <c r="J23" s="74" t="s">
        <v>74</v>
      </c>
      <c r="K23" s="74" t="s">
        <v>75</v>
      </c>
      <c r="L23" s="64"/>
      <c r="M23" s="75" t="s">
        <v>63</v>
      </c>
      <c r="N23" s="43"/>
      <c r="O23" s="43"/>
      <c r="P23" s="43"/>
      <c r="Q23" s="46"/>
      <c r="R23" s="46"/>
      <c r="S23" s="43"/>
      <c r="T23" s="43"/>
      <c r="U23" s="43"/>
      <c r="V23" s="43"/>
    </row>
    <row r="24" spans="1:26" hidden="1" outlineLevel="1" x14ac:dyDescent="0.3">
      <c r="D24" s="40"/>
      <c r="E24" s="72" t="s">
        <v>65</v>
      </c>
      <c r="F24" s="76">
        <f>F23/F12</f>
        <v>1</v>
      </c>
      <c r="G24" s="43"/>
      <c r="H24" s="43"/>
      <c r="I24" s="46"/>
      <c r="J24" s="62" t="s">
        <v>76</v>
      </c>
      <c r="K24" s="62" t="s">
        <v>77</v>
      </c>
      <c r="L24" s="64"/>
      <c r="M24" s="75">
        <v>90</v>
      </c>
      <c r="N24" s="43"/>
      <c r="O24" s="43"/>
      <c r="P24" s="43"/>
      <c r="Q24" s="46"/>
      <c r="R24" s="46"/>
      <c r="S24" s="43"/>
      <c r="T24" s="43"/>
      <c r="U24" s="43"/>
      <c r="V24" s="43"/>
    </row>
    <row r="25" spans="1:26" hidden="1" outlineLevel="1" x14ac:dyDescent="0.3">
      <c r="D25" s="40"/>
      <c r="E25" s="72" t="s">
        <v>78</v>
      </c>
      <c r="F25" s="77">
        <f>F11/3600*4/PI()/(F12*0.001)^2</f>
        <v>1.6578639905405763</v>
      </c>
      <c r="G25" s="43"/>
      <c r="H25" s="43"/>
      <c r="I25" s="46"/>
      <c r="J25" s="62">
        <f>HLOOKUP($F$12,$O$12:$U$14,2,FALSE)</f>
        <v>0.25</v>
      </c>
      <c r="K25" s="62">
        <f>HLOOKUP($F$12,$O$19:$U$21,2,FALSE)</f>
        <v>0.11</v>
      </c>
      <c r="L25" s="64"/>
      <c r="M25" s="72">
        <v>45</v>
      </c>
      <c r="N25" s="43"/>
      <c r="O25" s="43"/>
      <c r="P25" s="43"/>
      <c r="Q25" s="46"/>
      <c r="R25" s="46"/>
      <c r="S25" s="43"/>
      <c r="T25" s="43"/>
      <c r="U25" s="43"/>
      <c r="V25" s="43"/>
    </row>
    <row r="26" spans="1:26" hidden="1" outlineLevel="1" x14ac:dyDescent="0.3">
      <c r="D26" s="40"/>
      <c r="G26" s="43"/>
      <c r="H26" s="43"/>
      <c r="I26" s="46"/>
      <c r="J26" s="62" t="s">
        <v>79</v>
      </c>
      <c r="K26" s="62" t="s">
        <v>79</v>
      </c>
      <c r="L26" s="64"/>
      <c r="M26" s="43"/>
      <c r="N26" s="43"/>
      <c r="O26" s="43"/>
      <c r="P26" s="43"/>
      <c r="Q26" s="46"/>
      <c r="R26" s="46"/>
      <c r="S26" s="43"/>
      <c r="T26" s="43"/>
      <c r="U26" s="43"/>
      <c r="V26" s="43"/>
    </row>
    <row r="27" spans="1:26" hidden="1" outlineLevel="1" x14ac:dyDescent="0.3">
      <c r="D27" s="40"/>
      <c r="E27" s="68"/>
      <c r="F27" s="69"/>
      <c r="G27" s="43"/>
      <c r="H27" s="43"/>
      <c r="I27" s="46"/>
      <c r="J27" s="62">
        <f>HLOOKUP($F$12,$O$12:$U$14,3,FALSE)</f>
        <v>0.13</v>
      </c>
      <c r="K27" s="62">
        <f>HLOOKUP($F$12,$O$19:$U$21,3,FALSE)</f>
        <v>7.0000000000000007E-2</v>
      </c>
      <c r="L27" s="64"/>
      <c r="M27" s="43"/>
      <c r="N27" s="43"/>
      <c r="O27" s="43"/>
      <c r="P27" s="43"/>
      <c r="Q27" s="46"/>
      <c r="R27" s="46"/>
      <c r="S27" s="43"/>
      <c r="T27" s="43"/>
      <c r="U27" s="43"/>
      <c r="V27" s="43"/>
    </row>
    <row r="28" spans="1:26" hidden="1" outlineLevel="1" x14ac:dyDescent="0.3">
      <c r="D28" s="40"/>
      <c r="E28" s="68"/>
      <c r="F28" s="69"/>
      <c r="G28" s="43"/>
      <c r="H28" s="43"/>
      <c r="I28" s="46"/>
      <c r="J28" s="62" t="s">
        <v>80</v>
      </c>
      <c r="K28" s="62"/>
      <c r="L28" s="64"/>
      <c r="M28" s="43"/>
      <c r="N28" s="43"/>
      <c r="O28" s="43"/>
      <c r="P28" s="43"/>
      <c r="Q28" s="46"/>
      <c r="R28" s="46"/>
      <c r="S28" s="43"/>
      <c r="T28" s="43"/>
      <c r="U28" s="43"/>
      <c r="V28" s="43"/>
    </row>
    <row r="29" spans="1:26" collapsed="1" x14ac:dyDescent="0.3">
      <c r="D29" s="40"/>
      <c r="E29" s="40"/>
      <c r="F29" s="40"/>
      <c r="G29" s="43"/>
      <c r="H29" s="43"/>
      <c r="I29" s="43"/>
      <c r="J29" s="62"/>
      <c r="K29" s="62"/>
      <c r="L29" s="64"/>
      <c r="M29" s="43"/>
      <c r="N29" s="43"/>
      <c r="O29" s="43"/>
      <c r="P29" s="43"/>
      <c r="Q29" s="46"/>
      <c r="R29" s="46"/>
      <c r="S29" s="43"/>
      <c r="T29" s="43"/>
      <c r="U29" s="43"/>
      <c r="V29" s="43"/>
    </row>
    <row r="30" spans="1:26" x14ac:dyDescent="0.3">
      <c r="A30" s="34"/>
      <c r="B30" s="34" t="s">
        <v>81</v>
      </c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ht="15" thickBot="1" x14ac:dyDescent="0.35">
      <c r="A31" s="78"/>
      <c r="B31" s="79"/>
      <c r="C31" s="78"/>
      <c r="D31" s="78"/>
      <c r="E31" s="78"/>
      <c r="F31" s="78"/>
      <c r="G31" s="78"/>
      <c r="H31" s="78"/>
      <c r="I31" s="78"/>
      <c r="J31" s="78"/>
      <c r="K31" s="79"/>
      <c r="L31" s="79"/>
      <c r="M31" s="79"/>
      <c r="N31" s="79"/>
      <c r="V31" s="78"/>
      <c r="W31" s="78"/>
      <c r="X31" s="78"/>
      <c r="Y31" s="78"/>
      <c r="Z31" s="40"/>
    </row>
    <row r="32" spans="1:26" ht="15" thickBot="1" x14ac:dyDescent="0.35">
      <c r="A32" s="79"/>
      <c r="B32" s="79"/>
      <c r="C32" s="80" t="s">
        <v>82</v>
      </c>
      <c r="D32" s="79"/>
      <c r="E32" s="79"/>
      <c r="F32" s="79"/>
      <c r="I32" s="79"/>
      <c r="J32" s="79"/>
      <c r="K32" s="79"/>
      <c r="L32" s="79"/>
      <c r="M32" s="79"/>
      <c r="N32" s="81" t="s">
        <v>82</v>
      </c>
      <c r="O32" s="82"/>
      <c r="P32" s="81" t="s">
        <v>83</v>
      </c>
      <c r="Q32" s="82"/>
      <c r="R32" s="81" t="s">
        <v>84</v>
      </c>
      <c r="S32" s="82"/>
      <c r="V32" s="78"/>
      <c r="W32" s="78"/>
      <c r="X32" s="78"/>
      <c r="Y32" s="78"/>
      <c r="Z32" s="40"/>
    </row>
    <row r="33" spans="1:26" ht="15" thickBot="1" x14ac:dyDescent="0.35">
      <c r="A33" s="78"/>
      <c r="B33" s="78"/>
      <c r="C33" s="78"/>
      <c r="D33" s="78"/>
      <c r="E33" s="78"/>
      <c r="F33" s="78"/>
      <c r="G33" s="41" t="s">
        <v>63</v>
      </c>
      <c r="H33" s="42">
        <v>90</v>
      </c>
      <c r="I33" s="78"/>
      <c r="J33" s="78"/>
      <c r="K33" s="78"/>
      <c r="L33" s="83"/>
      <c r="N33" s="84" t="s">
        <v>85</v>
      </c>
      <c r="O33" s="84" t="s">
        <v>86</v>
      </c>
      <c r="P33" s="84" t="s">
        <v>85</v>
      </c>
      <c r="Q33" s="84" t="s">
        <v>86</v>
      </c>
      <c r="R33" s="84" t="s">
        <v>85</v>
      </c>
      <c r="S33" s="84" t="s">
        <v>86</v>
      </c>
      <c r="W33" s="78"/>
      <c r="X33" s="78"/>
      <c r="Y33" s="78"/>
      <c r="Z33" s="40"/>
    </row>
    <row r="34" spans="1:26" ht="15" thickBot="1" x14ac:dyDescent="0.35">
      <c r="A34" s="78"/>
      <c r="B34" s="78"/>
      <c r="C34" s="78"/>
      <c r="D34" s="78"/>
      <c r="G34" s="41" t="s">
        <v>66</v>
      </c>
      <c r="H34" s="42">
        <v>159</v>
      </c>
      <c r="I34" s="62"/>
      <c r="J34" s="62"/>
      <c r="K34" s="63"/>
      <c r="L34" s="83"/>
      <c r="N34" s="85">
        <v>0.25</v>
      </c>
      <c r="O34" s="86">
        <v>2.64</v>
      </c>
      <c r="P34" s="85">
        <v>0.25</v>
      </c>
      <c r="Q34" s="87">
        <v>1.92</v>
      </c>
      <c r="R34" s="85">
        <v>0.25</v>
      </c>
      <c r="S34" s="86">
        <v>1.18</v>
      </c>
      <c r="W34" s="78"/>
      <c r="X34" s="78"/>
      <c r="Y34" s="78"/>
      <c r="Z34" s="40"/>
    </row>
    <row r="35" spans="1:26" ht="15" thickBot="1" x14ac:dyDescent="0.35">
      <c r="A35" s="78"/>
      <c r="B35" s="78"/>
      <c r="C35" s="78"/>
      <c r="D35" s="78"/>
      <c r="G35" s="41" t="s">
        <v>68</v>
      </c>
      <c r="H35" s="42">
        <v>160</v>
      </c>
      <c r="K35" s="63"/>
      <c r="L35" s="83"/>
      <c r="N35" s="88">
        <v>0.3</v>
      </c>
      <c r="O35" s="89">
        <v>2.52</v>
      </c>
      <c r="P35" s="88">
        <v>0.3</v>
      </c>
      <c r="Q35" s="87">
        <v>1.92</v>
      </c>
      <c r="R35" s="88">
        <v>0.3</v>
      </c>
      <c r="S35" s="89">
        <v>1.2</v>
      </c>
      <c r="W35" s="78"/>
      <c r="X35" s="78"/>
      <c r="Y35" s="79"/>
    </row>
    <row r="36" spans="1:26" ht="15" thickBot="1" x14ac:dyDescent="0.35">
      <c r="A36" s="78"/>
      <c r="B36" s="78"/>
      <c r="C36" s="78"/>
      <c r="D36" s="78"/>
      <c r="G36" s="41" t="s">
        <v>87</v>
      </c>
      <c r="H36" s="42">
        <v>1000</v>
      </c>
      <c r="L36" s="83"/>
      <c r="N36" s="88">
        <v>0.4</v>
      </c>
      <c r="O36" s="89">
        <v>2.44</v>
      </c>
      <c r="P36" s="88">
        <v>0.4</v>
      </c>
      <c r="Q36" s="90">
        <v>1.9</v>
      </c>
      <c r="R36" s="88">
        <v>0.4</v>
      </c>
      <c r="S36" s="89">
        <v>1.22</v>
      </c>
      <c r="W36" s="79"/>
      <c r="X36" s="79"/>
      <c r="Y36" s="79"/>
    </row>
    <row r="37" spans="1:26" x14ac:dyDescent="0.3">
      <c r="A37" s="78"/>
      <c r="B37" s="78"/>
      <c r="C37" s="78"/>
      <c r="D37" s="78"/>
      <c r="G37" s="78"/>
      <c r="H37" s="91"/>
      <c r="I37" s="62"/>
      <c r="J37" s="62"/>
      <c r="K37" s="63"/>
      <c r="L37" s="83"/>
      <c r="N37" s="88">
        <v>0.5</v>
      </c>
      <c r="O37" s="89">
        <v>2.36</v>
      </c>
      <c r="P37" s="88">
        <v>0.5</v>
      </c>
      <c r="Q37" s="90">
        <v>1.8</v>
      </c>
      <c r="R37" s="88">
        <v>0.5</v>
      </c>
      <c r="S37" s="89">
        <v>1.24</v>
      </c>
    </row>
    <row r="38" spans="1:26" x14ac:dyDescent="0.3">
      <c r="A38" s="78"/>
      <c r="B38" s="78"/>
      <c r="C38" s="78"/>
      <c r="D38" s="78"/>
      <c r="J38" s="62"/>
      <c r="K38" s="63"/>
      <c r="L38" s="83"/>
      <c r="N38" s="88">
        <v>1</v>
      </c>
      <c r="O38" s="89">
        <v>2.16</v>
      </c>
      <c r="P38" s="88">
        <v>1</v>
      </c>
      <c r="Q38" s="90">
        <v>1.82</v>
      </c>
      <c r="R38" s="88">
        <v>1</v>
      </c>
      <c r="S38" s="89">
        <v>1.32</v>
      </c>
    </row>
    <row r="39" spans="1:26" x14ac:dyDescent="0.3">
      <c r="A39" s="78"/>
      <c r="B39" s="78"/>
      <c r="C39" s="78"/>
      <c r="D39" s="78"/>
      <c r="L39" s="83"/>
      <c r="N39" s="88">
        <v>2</v>
      </c>
      <c r="O39" s="89">
        <v>1.98</v>
      </c>
      <c r="P39" s="88">
        <v>2</v>
      </c>
      <c r="Q39" s="90">
        <v>1.72</v>
      </c>
      <c r="R39" s="88">
        <v>2</v>
      </c>
      <c r="S39" s="89">
        <v>1.44</v>
      </c>
    </row>
    <row r="40" spans="1:26" x14ac:dyDescent="0.3">
      <c r="A40" s="78"/>
      <c r="B40" s="78"/>
      <c r="C40" s="78"/>
      <c r="D40" s="78"/>
      <c r="I40" s="92"/>
      <c r="J40" s="62"/>
      <c r="K40" s="62"/>
      <c r="L40" s="83"/>
      <c r="N40" s="88">
        <v>3</v>
      </c>
      <c r="O40" s="89">
        <v>1.88</v>
      </c>
      <c r="P40" s="88">
        <v>3</v>
      </c>
      <c r="Q40" s="90">
        <v>1.68</v>
      </c>
      <c r="R40" s="88">
        <v>3</v>
      </c>
      <c r="S40" s="89">
        <v>1.54</v>
      </c>
    </row>
    <row r="41" spans="1:26" ht="15" thickBot="1" x14ac:dyDescent="0.35">
      <c r="A41" s="78"/>
      <c r="B41" s="78"/>
      <c r="C41" s="78"/>
      <c r="D41" s="78"/>
      <c r="G41" s="40"/>
      <c r="H41" s="61"/>
      <c r="I41" s="62"/>
      <c r="J41" s="62"/>
      <c r="K41" s="93"/>
      <c r="L41" s="83"/>
      <c r="N41" s="88">
        <v>4</v>
      </c>
      <c r="O41" s="89">
        <v>1.84</v>
      </c>
      <c r="P41" s="88">
        <v>4</v>
      </c>
      <c r="Q41" s="90">
        <v>1.72</v>
      </c>
      <c r="R41" s="88">
        <v>4</v>
      </c>
      <c r="S41" s="89">
        <v>1.64</v>
      </c>
    </row>
    <row r="42" spans="1:26" ht="15.6" thickTop="1" thickBot="1" x14ac:dyDescent="0.35">
      <c r="A42" s="78"/>
      <c r="B42" s="78"/>
      <c r="C42" s="78"/>
      <c r="D42" s="78"/>
      <c r="G42" s="65" t="s">
        <v>69</v>
      </c>
      <c r="H42" s="66">
        <f>$N$50*$N$48</f>
        <v>0.45500000000000002</v>
      </c>
      <c r="I42" s="62"/>
      <c r="J42" s="62"/>
      <c r="K42" s="62"/>
      <c r="L42" s="83"/>
      <c r="N42" s="88">
        <v>5</v>
      </c>
      <c r="O42" s="89">
        <v>1.82</v>
      </c>
      <c r="P42" s="88">
        <v>5</v>
      </c>
      <c r="Q42" s="90">
        <v>1.78</v>
      </c>
      <c r="R42" s="88">
        <v>5</v>
      </c>
      <c r="S42" s="89">
        <v>1.72</v>
      </c>
    </row>
    <row r="43" spans="1:26" ht="15.6" thickTop="1" thickBot="1" x14ac:dyDescent="0.35">
      <c r="A43" s="78"/>
      <c r="B43" s="78"/>
      <c r="C43" s="78"/>
      <c r="D43" s="78"/>
      <c r="G43" s="65" t="s">
        <v>71</v>
      </c>
      <c r="H43" s="66">
        <f>0.5*H42*(H51^2)*'[1]Feuille de calculs'!$L$8</f>
        <v>1.3183967983528047</v>
      </c>
      <c r="I43" s="62"/>
      <c r="J43" s="62"/>
      <c r="K43" s="62"/>
      <c r="L43" s="78"/>
      <c r="N43" s="88">
        <v>10</v>
      </c>
      <c r="O43" s="90">
        <v>1.9</v>
      </c>
      <c r="P43" s="88">
        <v>10</v>
      </c>
      <c r="Q43" s="90">
        <v>1.88</v>
      </c>
      <c r="R43" s="88">
        <v>10</v>
      </c>
      <c r="S43" s="90">
        <v>1.88</v>
      </c>
    </row>
    <row r="44" spans="1:26" ht="15" thickTop="1" x14ac:dyDescent="0.3">
      <c r="A44" s="78"/>
      <c r="B44" s="78"/>
      <c r="C44" s="78"/>
      <c r="D44" s="78"/>
      <c r="G44" s="68"/>
      <c r="H44" s="69"/>
      <c r="I44" s="62"/>
      <c r="J44" s="62"/>
      <c r="K44" s="62"/>
      <c r="L44" s="78"/>
      <c r="N44" s="88">
        <v>20</v>
      </c>
      <c r="O44" s="90">
        <v>1.98</v>
      </c>
      <c r="P44" s="88">
        <v>20</v>
      </c>
      <c r="Q44" s="90">
        <v>1.98</v>
      </c>
      <c r="R44" s="88">
        <v>20</v>
      </c>
      <c r="S44" s="90">
        <v>1.96</v>
      </c>
    </row>
    <row r="45" spans="1:26" x14ac:dyDescent="0.3">
      <c r="A45" s="78"/>
      <c r="B45" s="78"/>
      <c r="C45" s="78"/>
      <c r="D45" s="78"/>
      <c r="G45" s="70" t="s">
        <v>72</v>
      </c>
      <c r="H45" s="71">
        <v>1</v>
      </c>
      <c r="I45" s="62"/>
      <c r="J45" s="62"/>
      <c r="K45" s="62"/>
      <c r="L45" s="78"/>
      <c r="N45" s="88">
        <v>30</v>
      </c>
      <c r="O45" s="90">
        <v>2</v>
      </c>
      <c r="P45" s="88">
        <v>30</v>
      </c>
      <c r="Q45" s="90">
        <v>2</v>
      </c>
      <c r="R45" s="88">
        <v>30</v>
      </c>
      <c r="S45" s="90">
        <v>1.98</v>
      </c>
    </row>
    <row r="46" spans="1:26" ht="15" thickBot="1" x14ac:dyDescent="0.35">
      <c r="A46" s="78"/>
      <c r="B46" s="78"/>
      <c r="C46" s="78"/>
      <c r="D46" s="78"/>
      <c r="L46" s="78"/>
      <c r="N46" s="94">
        <v>40</v>
      </c>
      <c r="O46" s="95">
        <v>2</v>
      </c>
      <c r="P46" s="94">
        <v>40</v>
      </c>
      <c r="Q46" s="95">
        <v>2</v>
      </c>
      <c r="R46" s="94">
        <v>40</v>
      </c>
      <c r="S46" s="95">
        <v>2</v>
      </c>
    </row>
    <row r="47" spans="1:26" x14ac:dyDescent="0.3">
      <c r="A47" s="78"/>
      <c r="B47" s="78"/>
      <c r="C47" s="78"/>
      <c r="D47" s="78"/>
      <c r="E47" s="78"/>
      <c r="F47" s="83"/>
      <c r="K47" s="78"/>
      <c r="L47" s="78"/>
      <c r="M47" s="78"/>
      <c r="N47" s="78"/>
      <c r="P47" s="79"/>
      <c r="Q47" s="79"/>
      <c r="R47" s="79"/>
      <c r="S47" s="79"/>
      <c r="T47" s="79"/>
      <c r="U47" s="79"/>
    </row>
    <row r="48" spans="1:26" hidden="1" outlineLevel="1" x14ac:dyDescent="0.3">
      <c r="D48" s="40"/>
      <c r="E48" s="40"/>
      <c r="F48" s="40"/>
      <c r="G48" s="72" t="s">
        <v>85</v>
      </c>
      <c r="H48" s="73">
        <f>$H$36/$H$35</f>
        <v>6.25</v>
      </c>
      <c r="I48" s="43"/>
      <c r="J48" s="74" t="s">
        <v>74</v>
      </c>
      <c r="K48" s="74" t="s">
        <v>75</v>
      </c>
      <c r="L48" s="64"/>
      <c r="M48" s="70" t="s">
        <v>88</v>
      </c>
      <c r="N48" s="96">
        <f>IF(AND(H33=90,H50=1),J50,IF(AND(H33=90,H50=1.5),J52,IF(AND(H33=90,H50&lt;&gt;1,H50&lt;&gt;1.5),J54,IF(AND(H33=45,H50=1),K50,IF(AND(H33=45,H50=1.5),K52)))))</f>
        <v>0.25</v>
      </c>
      <c r="O48" s="43"/>
      <c r="P48" s="43"/>
      <c r="Q48" s="46"/>
      <c r="R48" s="46"/>
      <c r="S48" s="43"/>
      <c r="T48" s="43"/>
      <c r="U48" s="43"/>
      <c r="V48" s="43"/>
    </row>
    <row r="49" spans="1:26" hidden="1" outlineLevel="1" x14ac:dyDescent="0.3">
      <c r="D49" s="40"/>
      <c r="E49" s="40"/>
      <c r="F49" s="40"/>
      <c r="G49" s="72" t="s">
        <v>73</v>
      </c>
      <c r="H49" s="73">
        <f>H35</f>
        <v>160</v>
      </c>
      <c r="I49" s="43"/>
      <c r="J49" s="62" t="s">
        <v>76</v>
      </c>
      <c r="K49" s="62" t="s">
        <v>77</v>
      </c>
      <c r="L49" s="64"/>
      <c r="M49" s="72" t="s">
        <v>85</v>
      </c>
      <c r="N49" s="97">
        <f>IF($H$48&lt;=0.265,0.25,IF(AND($H$48&gt;0.265,$H$48&lt;=0.35),0.3,IF(AND($H$48&gt;0.35,$H$48&lt;=0.45),0.4,IF(AND($H$48&gt;0.45,$H$48&lt;=0.75),0.5,IF(AND($H$48&gt;0.75,$H$48&lt;=1.5),1,IF(AND($H$48&gt;1.5,$H$48&lt;=2.5),2,IF(AND($H$48&gt;2.5,$H$48&lt;=3.5),3,IF(AND($H$48&gt;3.5,$H$48&lt;=4.5),4,IF(AND($H$48&gt;4.5,$H$48&lt;=7.5),5,IF(AND($H$48&gt;7.5,$H$48&lt;=12),10,IF(AND($H$48&gt;12,$H$48&lt;=21),20,IF(AND($H$48&gt;21,$H$48&lt;=32),30,IF(AND($H$48&gt;32,),40,IF($H$48&gt;40,40))))))))))))))</f>
        <v>5</v>
      </c>
      <c r="O49" s="43"/>
      <c r="P49" s="43"/>
      <c r="Q49" s="46"/>
      <c r="R49" s="46"/>
      <c r="S49" s="43"/>
      <c r="T49" s="43"/>
      <c r="U49" s="43"/>
      <c r="V49" s="43"/>
    </row>
    <row r="50" spans="1:26" hidden="1" outlineLevel="1" x14ac:dyDescent="0.3">
      <c r="D50" s="40"/>
      <c r="E50" s="40"/>
      <c r="F50" s="40"/>
      <c r="G50" s="72" t="s">
        <v>65</v>
      </c>
      <c r="H50" s="76">
        <f>H49/H35</f>
        <v>1</v>
      </c>
      <c r="I50" s="43"/>
      <c r="J50" s="62">
        <f>HLOOKUP($F$12,$O$12:$U$14,2,FALSE)</f>
        <v>0.25</v>
      </c>
      <c r="K50" s="62">
        <f>HLOOKUP($H$35,$O$19:$U$21,2,FALSE)</f>
        <v>0.11</v>
      </c>
      <c r="L50" s="64"/>
      <c r="M50" s="72" t="s">
        <v>86</v>
      </c>
      <c r="N50" s="97">
        <f>IF($C$32="Montage S",VLOOKUP($N$49,$N$34:$O$46,2,FALSE),IF($C$32="Montage T",VLOOKUP($N$49,$P$34:$Q$46,2,FALSE),IF($C$32="Montage U",VLOOKUP($N$49,$R$34:$S$46,2,FALSE))))</f>
        <v>1.82</v>
      </c>
      <c r="O50" s="43"/>
      <c r="P50" s="43"/>
      <c r="Q50" s="46"/>
      <c r="R50" s="46"/>
      <c r="S50" s="43"/>
      <c r="T50" s="43"/>
      <c r="U50" s="43"/>
      <c r="V50" s="43"/>
    </row>
    <row r="51" spans="1:26" hidden="1" outlineLevel="1" x14ac:dyDescent="0.3">
      <c r="D51" s="40"/>
      <c r="E51" s="40"/>
      <c r="F51" s="40"/>
      <c r="G51" s="72" t="s">
        <v>78</v>
      </c>
      <c r="H51" s="77">
        <f>H34/3600*4/PI()/(H35*0.001)^2</f>
        <v>2.1966697874662637</v>
      </c>
      <c r="I51" s="43"/>
      <c r="J51" s="62" t="s">
        <v>79</v>
      </c>
      <c r="K51" s="62" t="s">
        <v>79</v>
      </c>
      <c r="L51" s="64"/>
      <c r="O51" s="43"/>
      <c r="P51" s="43"/>
      <c r="Q51" s="46"/>
      <c r="R51" s="46"/>
      <c r="S51" s="43"/>
      <c r="T51" s="43"/>
      <c r="U51" s="43"/>
      <c r="V51" s="43"/>
    </row>
    <row r="52" spans="1:26" hidden="1" outlineLevel="1" x14ac:dyDescent="0.3">
      <c r="D52" s="40"/>
      <c r="E52" s="40"/>
      <c r="F52" s="40"/>
      <c r="G52" s="43"/>
      <c r="H52" s="43"/>
      <c r="I52" s="43"/>
      <c r="J52" s="62">
        <f>HLOOKUP($H$35,$O$12:$U$14,3,FALSE)</f>
        <v>0.13</v>
      </c>
      <c r="K52" s="62">
        <f>HLOOKUP($H$35,$O$19:$U$21,3,FALSE)</f>
        <v>7.0000000000000007E-2</v>
      </c>
      <c r="L52" s="64"/>
      <c r="O52" s="43"/>
      <c r="P52" s="43"/>
      <c r="Q52" s="46"/>
      <c r="R52" s="46"/>
      <c r="S52" s="43"/>
      <c r="T52" s="43"/>
      <c r="U52" s="43"/>
      <c r="V52" s="43"/>
    </row>
    <row r="53" spans="1:26" hidden="1" outlineLevel="1" x14ac:dyDescent="0.3">
      <c r="D53" s="40"/>
      <c r="E53" s="40"/>
      <c r="F53" s="40"/>
      <c r="G53" s="43"/>
      <c r="H53" s="43"/>
      <c r="I53" s="43"/>
      <c r="J53" s="62" t="s">
        <v>80</v>
      </c>
      <c r="K53" s="62"/>
      <c r="L53" s="64"/>
      <c r="O53" s="43"/>
      <c r="P53" s="43"/>
      <c r="Q53" s="46"/>
      <c r="R53" s="46"/>
      <c r="S53" s="43"/>
      <c r="T53" s="43"/>
      <c r="U53" s="43"/>
      <c r="V53" s="43"/>
    </row>
    <row r="54" spans="1:26" hidden="1" outlineLevel="1" x14ac:dyDescent="0.3">
      <c r="D54" s="40"/>
      <c r="E54" s="40"/>
      <c r="F54" s="40"/>
      <c r="G54" s="43"/>
      <c r="H54" s="43"/>
      <c r="I54" s="43"/>
      <c r="J54" s="62" t="e">
        <f>VLOOKUP($H$50,$W$10:$X$14,2,FALSE)</f>
        <v>#N/A</v>
      </c>
      <c r="K54" s="62"/>
      <c r="L54" s="64"/>
      <c r="O54" s="43"/>
      <c r="P54" s="43"/>
      <c r="Q54" s="46"/>
      <c r="R54" s="46"/>
      <c r="S54" s="43"/>
      <c r="T54" s="43"/>
      <c r="U54" s="43"/>
      <c r="V54" s="43"/>
    </row>
    <row r="55" spans="1:26" collapsed="1" x14ac:dyDescent="0.3">
      <c r="D55" s="40"/>
      <c r="E55" s="40"/>
      <c r="F55" s="40"/>
      <c r="G55" s="43"/>
      <c r="H55" s="43"/>
      <c r="I55" s="43"/>
      <c r="L55" s="64"/>
      <c r="O55" s="43"/>
      <c r="P55" s="43"/>
      <c r="Q55" s="46"/>
      <c r="R55" s="46"/>
      <c r="S55" s="43"/>
      <c r="T55" s="43"/>
      <c r="U55" s="43"/>
      <c r="V55" s="43"/>
    </row>
    <row r="56" spans="1:26" x14ac:dyDescent="0.3">
      <c r="A56" s="34"/>
      <c r="B56" s="34" t="s">
        <v>89</v>
      </c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ht="15" thickBot="1" x14ac:dyDescent="0.35">
      <c r="D57" s="62"/>
      <c r="E57" s="62"/>
      <c r="F57" s="62"/>
      <c r="G57" s="62"/>
      <c r="H57" s="62"/>
      <c r="I57" s="62"/>
      <c r="N57" s="62"/>
      <c r="O57" s="62"/>
      <c r="P57" s="93"/>
      <c r="Q57" s="62"/>
      <c r="R57" s="62"/>
      <c r="S57" s="62"/>
      <c r="T57" s="62"/>
      <c r="U57" s="62"/>
      <c r="V57" s="62"/>
    </row>
    <row r="58" spans="1:26" ht="15" thickBot="1" x14ac:dyDescent="0.35">
      <c r="D58" s="62"/>
      <c r="E58" s="98"/>
      <c r="F58" s="63"/>
      <c r="G58" s="62"/>
      <c r="H58" s="62"/>
      <c r="I58" s="62"/>
      <c r="N58" s="38" t="s">
        <v>90</v>
      </c>
      <c r="O58" s="67"/>
      <c r="P58" s="67"/>
      <c r="Q58" s="67"/>
      <c r="R58" s="67"/>
      <c r="S58" s="67"/>
      <c r="T58" s="67"/>
      <c r="U58" s="67"/>
      <c r="V58" s="39"/>
    </row>
    <row r="59" spans="1:26" ht="15" thickBot="1" x14ac:dyDescent="0.35">
      <c r="D59" s="62"/>
      <c r="E59" s="41" t="s">
        <v>63</v>
      </c>
      <c r="F59" s="42">
        <v>90</v>
      </c>
      <c r="G59" s="62"/>
      <c r="H59" s="62"/>
      <c r="I59" s="63"/>
      <c r="N59" s="35" t="s">
        <v>64</v>
      </c>
      <c r="O59" s="36"/>
      <c r="P59" s="36"/>
      <c r="Q59" s="36"/>
      <c r="R59" s="36"/>
      <c r="S59" s="36"/>
      <c r="T59" s="36"/>
      <c r="U59" s="36"/>
      <c r="V59" s="37"/>
    </row>
    <row r="60" spans="1:26" ht="15" thickBot="1" x14ac:dyDescent="0.35">
      <c r="D60" s="62"/>
      <c r="E60" s="41" t="s">
        <v>66</v>
      </c>
      <c r="F60" s="42">
        <v>120</v>
      </c>
      <c r="G60" s="62"/>
      <c r="H60" s="62"/>
      <c r="I60" s="63"/>
      <c r="N60" s="45" t="s">
        <v>91</v>
      </c>
      <c r="O60" s="35" t="s">
        <v>92</v>
      </c>
      <c r="P60" s="36"/>
      <c r="Q60" s="36"/>
      <c r="R60" s="36"/>
      <c r="S60" s="36"/>
      <c r="T60" s="36"/>
      <c r="U60" s="36"/>
      <c r="V60" s="37"/>
    </row>
    <row r="61" spans="1:26" ht="15" thickBot="1" x14ac:dyDescent="0.35">
      <c r="D61" s="62"/>
      <c r="E61" s="41" t="s">
        <v>93</v>
      </c>
      <c r="F61" s="42">
        <v>400</v>
      </c>
      <c r="G61" s="62"/>
      <c r="N61" s="49"/>
      <c r="O61" s="50">
        <v>0.25</v>
      </c>
      <c r="P61" s="44">
        <v>0.5</v>
      </c>
      <c r="Q61" s="50">
        <v>0.75</v>
      </c>
      <c r="R61" s="44">
        <v>1</v>
      </c>
      <c r="S61" s="50">
        <v>1.5</v>
      </c>
      <c r="T61" s="44">
        <v>2</v>
      </c>
      <c r="U61" s="50">
        <v>3</v>
      </c>
      <c r="V61" s="44">
        <v>4</v>
      </c>
    </row>
    <row r="62" spans="1:26" ht="15" thickBot="1" x14ac:dyDescent="0.35">
      <c r="D62" s="62"/>
      <c r="E62" s="41" t="s">
        <v>94</v>
      </c>
      <c r="F62" s="42">
        <v>200</v>
      </c>
      <c r="G62" s="62"/>
      <c r="H62" s="62"/>
      <c r="I62" s="63"/>
      <c r="N62" s="99">
        <v>0.5</v>
      </c>
      <c r="O62" s="100">
        <v>1.53</v>
      </c>
      <c r="P62" s="101">
        <v>1.38</v>
      </c>
      <c r="Q62" s="102">
        <v>1.29</v>
      </c>
      <c r="R62" s="102">
        <v>1.18</v>
      </c>
      <c r="S62" s="102">
        <v>1.06</v>
      </c>
      <c r="T62" s="102">
        <v>1</v>
      </c>
      <c r="U62" s="102">
        <v>1</v>
      </c>
      <c r="V62" s="103">
        <v>1.06</v>
      </c>
    </row>
    <row r="63" spans="1:26" ht="15" thickBot="1" x14ac:dyDescent="0.35">
      <c r="D63" s="62"/>
      <c r="H63" s="62"/>
      <c r="I63" s="63"/>
      <c r="N63" s="99">
        <v>0.75</v>
      </c>
      <c r="O63" s="104">
        <v>0.56999999999999995</v>
      </c>
      <c r="P63" s="105">
        <v>0.52</v>
      </c>
      <c r="Q63" s="106">
        <v>0.48</v>
      </c>
      <c r="R63" s="106">
        <v>0.44</v>
      </c>
      <c r="S63" s="106">
        <v>0.4</v>
      </c>
      <c r="T63" s="106">
        <v>0.39</v>
      </c>
      <c r="U63" s="106">
        <v>0.39</v>
      </c>
      <c r="V63" s="107">
        <v>0.4</v>
      </c>
    </row>
    <row r="64" spans="1:26" ht="15" thickBot="1" x14ac:dyDescent="0.35">
      <c r="D64" s="62"/>
      <c r="H64" s="62"/>
      <c r="I64" s="62"/>
      <c r="N64" s="99">
        <v>1</v>
      </c>
      <c r="O64" s="108">
        <v>0.27</v>
      </c>
      <c r="P64" s="109">
        <v>0.25</v>
      </c>
      <c r="Q64" s="71">
        <v>0.23</v>
      </c>
      <c r="R64" s="71">
        <v>0.21</v>
      </c>
      <c r="S64" s="71">
        <v>0.19</v>
      </c>
      <c r="T64" s="71">
        <v>0.15</v>
      </c>
      <c r="U64" s="71">
        <v>0.18</v>
      </c>
      <c r="V64" s="52">
        <v>0.19</v>
      </c>
    </row>
    <row r="65" spans="1:26" ht="15" thickBot="1" x14ac:dyDescent="0.35">
      <c r="D65" s="62"/>
      <c r="H65" s="62"/>
      <c r="I65" s="62"/>
      <c r="N65" s="99">
        <v>1.5</v>
      </c>
      <c r="O65" s="108">
        <v>0.22</v>
      </c>
      <c r="P65" s="109">
        <v>0.2</v>
      </c>
      <c r="Q65" s="71">
        <v>0.19</v>
      </c>
      <c r="R65" s="71">
        <v>0.17</v>
      </c>
      <c r="S65" s="71">
        <v>0.15</v>
      </c>
      <c r="T65" s="71">
        <v>0.14000000000000001</v>
      </c>
      <c r="U65" s="71">
        <v>0.14000000000000001</v>
      </c>
      <c r="V65" s="52">
        <v>0.15</v>
      </c>
    </row>
    <row r="66" spans="1:26" ht="15" thickBot="1" x14ac:dyDescent="0.35">
      <c r="D66" s="62"/>
      <c r="E66" s="40"/>
      <c r="F66" s="69"/>
      <c r="G66" s="62"/>
      <c r="H66" s="62"/>
      <c r="I66" s="62"/>
      <c r="J66" s="62"/>
      <c r="N66" s="99">
        <v>2</v>
      </c>
      <c r="O66" s="110">
        <v>0.2</v>
      </c>
      <c r="P66" s="57">
        <v>0.18</v>
      </c>
      <c r="Q66" s="58">
        <v>0.16</v>
      </c>
      <c r="R66" s="58">
        <v>0.15</v>
      </c>
      <c r="S66" s="58">
        <v>0.14000000000000001</v>
      </c>
      <c r="T66" s="111">
        <v>0.13</v>
      </c>
      <c r="U66" s="58">
        <v>0.13</v>
      </c>
      <c r="V66" s="59">
        <v>0.14000000000000001</v>
      </c>
    </row>
    <row r="67" spans="1:26" ht="15.6" thickTop="1" thickBot="1" x14ac:dyDescent="0.35">
      <c r="D67" s="62"/>
      <c r="E67" s="65" t="s">
        <v>69</v>
      </c>
      <c r="F67" s="112">
        <f>IF(AND(F59=90),N73,IF(AND(F59=45),N74,IF(AND(F59=30),N75,)))</f>
        <v>0.15</v>
      </c>
      <c r="G67" s="62"/>
      <c r="H67" s="62"/>
      <c r="I67" s="62"/>
      <c r="J67" s="62"/>
      <c r="K67" s="63"/>
      <c r="L67" s="63"/>
      <c r="M67" s="62"/>
      <c r="N67" s="62"/>
      <c r="O67" s="62"/>
      <c r="P67" s="62"/>
      <c r="Q67" s="63"/>
      <c r="R67" s="63"/>
      <c r="S67" s="62"/>
      <c r="T67" s="62"/>
      <c r="U67" s="62"/>
      <c r="V67" s="62"/>
    </row>
    <row r="68" spans="1:26" ht="15.6" thickTop="1" thickBot="1" x14ac:dyDescent="0.35">
      <c r="D68" s="62"/>
      <c r="E68" s="65" t="s">
        <v>71</v>
      </c>
      <c r="F68" s="66">
        <f>0.5*F67*(F76^2)*'[1]Feuille de calculs'!$L$8</f>
        <v>1.5637739166079221E-2</v>
      </c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3"/>
      <c r="R68" s="63"/>
      <c r="S68" s="62"/>
      <c r="T68" s="62"/>
      <c r="U68" s="62"/>
      <c r="V68" s="62"/>
    </row>
    <row r="69" spans="1:26" ht="15" thickTop="1" x14ac:dyDescent="0.3">
      <c r="D69" s="62"/>
      <c r="E69" s="113"/>
      <c r="F69" s="114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3"/>
      <c r="R69" s="63"/>
      <c r="S69" s="62"/>
      <c r="T69" s="62"/>
      <c r="U69" s="62"/>
      <c r="V69" s="62"/>
    </row>
    <row r="70" spans="1:26" x14ac:dyDescent="0.3">
      <c r="D70" s="62"/>
      <c r="E70" s="70" t="s">
        <v>72</v>
      </c>
      <c r="F70" s="71">
        <v>1</v>
      </c>
      <c r="K70" s="62"/>
      <c r="L70" s="62"/>
      <c r="M70" s="62"/>
      <c r="N70" s="62"/>
      <c r="O70" s="62"/>
      <c r="P70" s="62"/>
      <c r="Q70" s="63"/>
      <c r="R70" s="63"/>
      <c r="S70" s="62"/>
      <c r="T70" s="62"/>
      <c r="U70" s="62"/>
      <c r="V70" s="62"/>
    </row>
    <row r="71" spans="1:26" x14ac:dyDescent="0.3">
      <c r="D71" s="62"/>
      <c r="Q71" s="63"/>
      <c r="R71" s="63"/>
      <c r="S71" s="62"/>
      <c r="T71" s="62"/>
      <c r="U71" s="62"/>
      <c r="V71" s="62"/>
    </row>
    <row r="72" spans="1:26" hidden="1" outlineLevel="1" x14ac:dyDescent="0.3">
      <c r="D72" s="62"/>
      <c r="E72" s="62"/>
      <c r="F72" s="62"/>
      <c r="T72" s="62"/>
      <c r="U72" s="62"/>
      <c r="V72" s="62"/>
    </row>
    <row r="73" spans="1:26" hidden="1" outlineLevel="1" x14ac:dyDescent="0.3">
      <c r="D73" s="40"/>
      <c r="E73" s="72" t="s">
        <v>95</v>
      </c>
      <c r="F73" s="115">
        <f>100+0.5*F62</f>
        <v>200</v>
      </c>
      <c r="G73" s="92"/>
      <c r="J73" s="75" t="s">
        <v>96</v>
      </c>
      <c r="K73" s="75">
        <f>HLOOKUP($F$75,$O$61:$V$66,2,FALSE)</f>
        <v>1</v>
      </c>
      <c r="L73" s="62"/>
      <c r="M73" s="75" t="s">
        <v>97</v>
      </c>
      <c r="N73" s="75">
        <f>IF(AND(F74=0.5),K73,IF(AND(F74=0.75),K74,IF(AND(F74=1),K75,IF(AND(F74=1.5),K76,IF(AND(F74=2),K77)))))</f>
        <v>0.15</v>
      </c>
      <c r="O73" s="62"/>
      <c r="P73" s="116" t="s">
        <v>91</v>
      </c>
      <c r="Q73" s="117">
        <f>F73/F62</f>
        <v>1</v>
      </c>
      <c r="R73" s="62"/>
      <c r="S73" s="75" t="s">
        <v>63</v>
      </c>
      <c r="T73" s="40"/>
      <c r="U73" s="40"/>
      <c r="V73" s="40"/>
    </row>
    <row r="74" spans="1:26" hidden="1" outlineLevel="1" x14ac:dyDescent="0.3">
      <c r="E74" s="72" t="s">
        <v>91</v>
      </c>
      <c r="F74" s="118">
        <f>IF(Q73&lt;0.6,0.5,IF(AND(Q73&gt;=0.6,Q73&lt;0.8),0.75,IF(AND(Q73&gt;=0.8,Q73&lt;1.2),1,IF(AND(Q73&gt;=1.2,Q73&lt;1.7),1.5,IF(AND(Q73&gt;=1.7,Q73&lt;3),2)))))</f>
        <v>1</v>
      </c>
      <c r="G74" s="62"/>
      <c r="J74" s="75" t="s">
        <v>98</v>
      </c>
      <c r="K74" s="75">
        <f>HLOOKUP($F$75,$O$61:$V$66,3,FALSE)</f>
        <v>0.39</v>
      </c>
      <c r="L74" s="62"/>
      <c r="M74" s="75" t="s">
        <v>99</v>
      </c>
      <c r="N74" s="119">
        <f>0.6*N73</f>
        <v>0.09</v>
      </c>
      <c r="O74" s="62"/>
      <c r="P74" s="116" t="s">
        <v>92</v>
      </c>
      <c r="Q74" s="117">
        <f>F61/F62</f>
        <v>2</v>
      </c>
      <c r="R74" s="62"/>
      <c r="S74" s="75">
        <v>90</v>
      </c>
    </row>
    <row r="75" spans="1:26" hidden="1" outlineLevel="1" x14ac:dyDescent="0.3">
      <c r="E75" s="72" t="s">
        <v>92</v>
      </c>
      <c r="F75" s="118">
        <f>IF(AND(Q74&lt;0.4),0.25,IF(AND(Q74&gt;=0.4,Q74&lt;0.6),0.5,IF(AND(Q74&gt;=0.6,Q74&lt;0.8),0.75,IF(AND(Q74&gt;=0.8,Q74&lt;1.2),1,IF(AND(Q74&gt;=1.2,Q74&lt;1.7),1.5,IF(AND(Q74&gt;=1.7,Q74&lt;2.5),2))))))</f>
        <v>2</v>
      </c>
      <c r="G75" s="62"/>
      <c r="J75" s="75" t="s">
        <v>100</v>
      </c>
      <c r="K75" s="75">
        <f>HLOOKUP($F$75,$O$61:$V$66,4,FALSE)</f>
        <v>0.15</v>
      </c>
      <c r="L75" s="40"/>
      <c r="M75" s="72" t="s">
        <v>101</v>
      </c>
      <c r="N75" s="119">
        <f>0.45*N73</f>
        <v>6.7500000000000004E-2</v>
      </c>
      <c r="O75" s="64"/>
      <c r="P75" s="40"/>
      <c r="Q75" s="40"/>
      <c r="R75" s="40"/>
      <c r="S75" s="72">
        <v>45</v>
      </c>
    </row>
    <row r="76" spans="1:26" hidden="1" outlineLevel="1" x14ac:dyDescent="0.3">
      <c r="E76" s="72" t="s">
        <v>78</v>
      </c>
      <c r="F76" s="77">
        <f>F60/3600/(F61*F62)*1000000</f>
        <v>0.41666666666666669</v>
      </c>
      <c r="G76" s="62"/>
      <c r="J76" s="75" t="s">
        <v>102</v>
      </c>
      <c r="K76" s="75">
        <f>HLOOKUP($F$75,$O$61:$V$66,5,FALSE)</f>
        <v>0.14000000000000001</v>
      </c>
      <c r="S76" s="120">
        <v>30</v>
      </c>
    </row>
    <row r="77" spans="1:26" hidden="1" outlineLevel="1" x14ac:dyDescent="0.3">
      <c r="J77" s="75" t="s">
        <v>103</v>
      </c>
      <c r="K77" s="75">
        <f>HLOOKUP($F$75,$O$61:$V$66,6,FALSE)</f>
        <v>0.13</v>
      </c>
    </row>
    <row r="78" spans="1:26" collapsed="1" x14ac:dyDescent="0.3"/>
    <row r="79" spans="1:26" x14ac:dyDescent="0.3">
      <c r="A79" s="34"/>
      <c r="B79" s="34" t="s">
        <v>104</v>
      </c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ht="15" thickBot="1" x14ac:dyDescent="0.35">
      <c r="D80" s="62"/>
      <c r="E80" s="62"/>
      <c r="F80" s="62"/>
      <c r="G80" s="62"/>
      <c r="H80" s="62"/>
      <c r="I80" s="62"/>
      <c r="J80" s="62"/>
      <c r="K80" s="62"/>
      <c r="L80" s="93"/>
      <c r="M80" s="62"/>
      <c r="N80" s="98"/>
      <c r="O80" s="98"/>
      <c r="P80" s="62"/>
      <c r="Q80" s="62"/>
      <c r="R80" s="62"/>
      <c r="S80" s="62"/>
      <c r="T80" s="62"/>
      <c r="U80" s="98"/>
      <c r="V80" s="62"/>
      <c r="W80" s="62"/>
      <c r="X80" s="62"/>
    </row>
    <row r="81" spans="4:25" ht="15" thickBot="1" x14ac:dyDescent="0.35">
      <c r="D81" s="62"/>
      <c r="E81" s="98"/>
      <c r="F81" s="63"/>
      <c r="G81" s="62"/>
      <c r="H81" s="62"/>
      <c r="I81" s="62"/>
      <c r="N81" s="35" t="s">
        <v>64</v>
      </c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7"/>
    </row>
    <row r="82" spans="4:25" ht="15" thickBot="1" x14ac:dyDescent="0.35">
      <c r="D82" s="62"/>
      <c r="E82" s="41" t="s">
        <v>63</v>
      </c>
      <c r="F82" s="42">
        <v>90</v>
      </c>
      <c r="G82" s="62"/>
      <c r="H82" s="62"/>
      <c r="I82" s="63"/>
      <c r="N82" s="45" t="s">
        <v>105</v>
      </c>
      <c r="O82" s="45" t="s">
        <v>63</v>
      </c>
      <c r="P82" s="121" t="s">
        <v>106</v>
      </c>
      <c r="Q82" s="35" t="s">
        <v>67</v>
      </c>
      <c r="R82" s="36"/>
      <c r="S82" s="36"/>
      <c r="T82" s="36"/>
      <c r="U82" s="36"/>
      <c r="V82" s="36"/>
      <c r="W82" s="36"/>
      <c r="X82" s="36"/>
      <c r="Y82" s="37"/>
    </row>
    <row r="83" spans="4:25" ht="15" thickBot="1" x14ac:dyDescent="0.35">
      <c r="D83" s="62"/>
      <c r="E83" s="41" t="s">
        <v>66</v>
      </c>
      <c r="F83" s="42">
        <v>159</v>
      </c>
      <c r="I83" s="63"/>
      <c r="N83" s="49"/>
      <c r="O83" s="49"/>
      <c r="P83" s="122"/>
      <c r="Q83" s="50">
        <v>75</v>
      </c>
      <c r="R83" s="44">
        <v>80</v>
      </c>
      <c r="S83" s="50">
        <v>125</v>
      </c>
      <c r="T83" s="44">
        <v>160</v>
      </c>
      <c r="U83" s="50">
        <v>200</v>
      </c>
      <c r="V83" s="44">
        <v>250</v>
      </c>
      <c r="W83" s="50">
        <v>315</v>
      </c>
      <c r="X83" s="44">
        <v>400</v>
      </c>
      <c r="Y83" s="44">
        <v>500</v>
      </c>
    </row>
    <row r="84" spans="4:25" ht="15" thickBot="1" x14ac:dyDescent="0.35">
      <c r="D84" s="62"/>
      <c r="E84" s="41" t="s">
        <v>68</v>
      </c>
      <c r="F84" s="42">
        <v>160</v>
      </c>
      <c r="I84" s="62"/>
      <c r="N84" s="50">
        <v>3</v>
      </c>
      <c r="O84" s="50">
        <v>45</v>
      </c>
      <c r="P84" s="123">
        <v>1.5</v>
      </c>
      <c r="Q84" s="100">
        <v>0.31</v>
      </c>
      <c r="R84" s="124">
        <v>0.3</v>
      </c>
      <c r="S84" s="124">
        <v>0.22</v>
      </c>
      <c r="T84" s="124">
        <v>0.16</v>
      </c>
      <c r="U84" s="124">
        <v>0.14000000000000001</v>
      </c>
      <c r="V84" s="124">
        <v>0.12</v>
      </c>
      <c r="W84" s="124">
        <v>0.11</v>
      </c>
      <c r="X84" s="124">
        <v>0.1</v>
      </c>
      <c r="Y84" s="125">
        <v>0.08</v>
      </c>
    </row>
    <row r="85" spans="4:25" ht="15" thickBot="1" x14ac:dyDescent="0.35">
      <c r="D85" s="62"/>
      <c r="E85" s="41" t="s">
        <v>107</v>
      </c>
      <c r="F85" s="42">
        <v>3</v>
      </c>
      <c r="G85" s="62"/>
      <c r="H85" s="62"/>
      <c r="I85" s="63"/>
      <c r="N85" s="50">
        <v>3</v>
      </c>
      <c r="O85" s="50">
        <v>60</v>
      </c>
      <c r="P85" s="123">
        <v>1.5</v>
      </c>
      <c r="Q85" s="126">
        <v>0.4</v>
      </c>
      <c r="R85" s="127">
        <v>0.39</v>
      </c>
      <c r="S85" s="127">
        <v>0.27</v>
      </c>
      <c r="T85" s="127">
        <v>0.2</v>
      </c>
      <c r="U85" s="127">
        <v>0.18</v>
      </c>
      <c r="V85" s="127">
        <v>0.15</v>
      </c>
      <c r="W85" s="127">
        <v>0.14000000000000001</v>
      </c>
      <c r="X85" s="127">
        <v>0.12</v>
      </c>
      <c r="Y85" s="128">
        <v>0.11</v>
      </c>
    </row>
    <row r="86" spans="4:25" ht="15" thickBot="1" x14ac:dyDescent="0.35">
      <c r="D86" s="62"/>
      <c r="E86" s="41" t="s">
        <v>108</v>
      </c>
      <c r="F86" s="42">
        <v>200</v>
      </c>
      <c r="G86" s="92"/>
      <c r="H86" s="62"/>
      <c r="I86" s="63"/>
      <c r="N86" s="50">
        <v>5</v>
      </c>
      <c r="O86" s="50">
        <v>90</v>
      </c>
      <c r="P86" s="123">
        <v>1.5</v>
      </c>
      <c r="Q86" s="108">
        <v>0.51</v>
      </c>
      <c r="R86" s="129">
        <v>0.49</v>
      </c>
      <c r="S86" s="129">
        <v>0.36</v>
      </c>
      <c r="T86" s="129">
        <v>0.27</v>
      </c>
      <c r="U86" s="129">
        <v>0.23</v>
      </c>
      <c r="V86" s="129">
        <v>0.2</v>
      </c>
      <c r="W86" s="129">
        <v>0.18</v>
      </c>
      <c r="X86" s="129">
        <v>0.16</v>
      </c>
      <c r="Y86" s="130">
        <v>0.14000000000000001</v>
      </c>
    </row>
    <row r="87" spans="4:25" ht="15" thickBot="1" x14ac:dyDescent="0.35">
      <c r="D87" s="62"/>
      <c r="G87" s="62"/>
      <c r="H87" s="62"/>
      <c r="I87" s="62"/>
      <c r="N87" s="50">
        <v>5</v>
      </c>
      <c r="O87" s="50">
        <v>90</v>
      </c>
      <c r="P87" s="123">
        <v>1</v>
      </c>
      <c r="Q87" s="108">
        <v>0.6</v>
      </c>
      <c r="R87" s="129">
        <v>0.56000000000000005</v>
      </c>
      <c r="S87" s="129">
        <v>0.48</v>
      </c>
      <c r="T87" s="129">
        <v>0.41</v>
      </c>
      <c r="U87" s="129">
        <v>0.37</v>
      </c>
      <c r="V87" s="129">
        <v>0.32</v>
      </c>
      <c r="W87" s="129">
        <v>0.28000000000000003</v>
      </c>
      <c r="X87" s="129">
        <v>0.25</v>
      </c>
      <c r="Y87" s="130">
        <v>0.23</v>
      </c>
    </row>
    <row r="88" spans="4:25" ht="15" thickBot="1" x14ac:dyDescent="0.35">
      <c r="D88" s="62"/>
      <c r="G88" s="62"/>
      <c r="H88" s="62"/>
      <c r="I88" s="62"/>
      <c r="N88" s="50">
        <v>7</v>
      </c>
      <c r="O88" s="50">
        <v>90</v>
      </c>
      <c r="P88" s="123">
        <v>2.5</v>
      </c>
      <c r="Q88" s="110">
        <v>0.16</v>
      </c>
      <c r="R88" s="131">
        <v>0.16</v>
      </c>
      <c r="S88" s="131">
        <v>0.16</v>
      </c>
      <c r="T88" s="131">
        <v>0.13</v>
      </c>
      <c r="U88" s="131">
        <v>0.12</v>
      </c>
      <c r="V88" s="131">
        <v>0.11</v>
      </c>
      <c r="W88" s="131">
        <v>0.09</v>
      </c>
      <c r="X88" s="131">
        <v>0.08</v>
      </c>
      <c r="Y88" s="132">
        <v>0.06</v>
      </c>
    </row>
    <row r="89" spans="4:25" ht="15" thickBot="1" x14ac:dyDescent="0.35">
      <c r="D89" s="62"/>
      <c r="E89" s="40"/>
      <c r="F89" s="69"/>
      <c r="G89" s="62"/>
      <c r="H89" s="62"/>
      <c r="I89" s="62"/>
      <c r="J89" s="62"/>
    </row>
    <row r="90" spans="4:25" ht="15.6" thickTop="1" thickBot="1" x14ac:dyDescent="0.35">
      <c r="D90" s="62"/>
      <c r="E90" s="65" t="s">
        <v>69</v>
      </c>
      <c r="F90" s="112">
        <f>IF(AND(F82=45,F97=1.5),L95,IF(AND(F82=60,F97=1.5),L96,IF(AND(F82=90,F97=1.5),L97,IF(AND(F82=90,F97=1),L98,IF(AND(F82=90,F97=2.5),L99)))))</f>
        <v>0.27</v>
      </c>
      <c r="G90" s="62"/>
      <c r="H90" s="62"/>
      <c r="I90" s="62"/>
      <c r="J90" s="62"/>
      <c r="K90" s="63"/>
      <c r="L90" s="63"/>
      <c r="M90" s="62"/>
      <c r="N90" s="62"/>
      <c r="O90" s="62"/>
      <c r="P90" s="62"/>
      <c r="Q90" s="63"/>
      <c r="R90" s="63"/>
      <c r="S90" s="62"/>
      <c r="T90" s="62"/>
    </row>
    <row r="91" spans="4:25" ht="15.6" thickTop="1" thickBot="1" x14ac:dyDescent="0.35">
      <c r="D91" s="62"/>
      <c r="E91" s="65" t="s">
        <v>71</v>
      </c>
      <c r="F91" s="66">
        <f>0.5*F90*(F98^2)*'[1]Feuille de calculs'!$L$8</f>
        <v>0.78234535286869733</v>
      </c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3"/>
      <c r="R91" s="63"/>
      <c r="S91" s="62"/>
      <c r="T91" s="62"/>
    </row>
    <row r="92" spans="4:25" ht="15" thickTop="1" x14ac:dyDescent="0.3">
      <c r="D92" s="62"/>
      <c r="E92" s="62"/>
      <c r="F92" s="62"/>
      <c r="K92" s="62"/>
      <c r="L92" s="62"/>
      <c r="M92" s="62"/>
      <c r="N92" s="62"/>
      <c r="O92" s="62"/>
      <c r="P92" s="62"/>
      <c r="Q92" s="63"/>
      <c r="R92" s="63"/>
      <c r="S92" s="62"/>
      <c r="T92" s="62"/>
    </row>
    <row r="93" spans="4:25" x14ac:dyDescent="0.3">
      <c r="D93" s="62"/>
      <c r="E93" s="70" t="s">
        <v>72</v>
      </c>
      <c r="F93" s="71">
        <v>1</v>
      </c>
      <c r="K93" s="62"/>
      <c r="L93" s="62"/>
      <c r="M93" s="62"/>
      <c r="N93" s="62"/>
      <c r="O93" s="62"/>
      <c r="P93" s="62"/>
      <c r="Q93" s="63"/>
      <c r="R93" s="63"/>
      <c r="S93" s="62"/>
      <c r="T93" s="62"/>
    </row>
    <row r="94" spans="4:25" x14ac:dyDescent="0.3">
      <c r="D94" s="62"/>
    </row>
    <row r="95" spans="4:25" hidden="1" outlineLevel="1" x14ac:dyDescent="0.3">
      <c r="D95" s="62"/>
      <c r="J95" s="120" t="s">
        <v>109</v>
      </c>
      <c r="K95" s="75" t="s">
        <v>110</v>
      </c>
      <c r="L95" s="75">
        <f>HLOOKUP($F$84,$Q$83:$Y$88,2,FALSE)</f>
        <v>0.16</v>
      </c>
      <c r="M95" s="62"/>
      <c r="N95" s="116" t="s">
        <v>106</v>
      </c>
      <c r="O95" s="117">
        <f>F86/F84</f>
        <v>1.25</v>
      </c>
      <c r="Q95" s="75" t="s">
        <v>63</v>
      </c>
      <c r="R95" s="75" t="s">
        <v>111</v>
      </c>
    </row>
    <row r="96" spans="4:25" hidden="1" outlineLevel="1" x14ac:dyDescent="0.3">
      <c r="D96" s="40"/>
      <c r="J96" s="120" t="s">
        <v>112</v>
      </c>
      <c r="K96" s="75" t="s">
        <v>110</v>
      </c>
      <c r="L96" s="75">
        <f>HLOOKUP($F$84,$Q$83:$Y$88,3,FALSE)</f>
        <v>0.2</v>
      </c>
      <c r="M96" s="62"/>
      <c r="Q96" s="75">
        <v>90</v>
      </c>
      <c r="R96" s="75">
        <v>3</v>
      </c>
    </row>
    <row r="97" spans="1:26" hidden="1" outlineLevel="1" x14ac:dyDescent="0.3">
      <c r="E97" s="72" t="s">
        <v>106</v>
      </c>
      <c r="F97" s="77">
        <f>IF(O95&lt;=1.1,1,IF(AND(O95&gt;1.1,O95&lt;=1.9),1.5,IF(AND(O95&gt;1.9),2.5)))</f>
        <v>1.5</v>
      </c>
      <c r="J97" s="120" t="s">
        <v>113</v>
      </c>
      <c r="K97" s="75" t="s">
        <v>110</v>
      </c>
      <c r="L97" s="75">
        <f>HLOOKUP($F$84,$Q$83:$Y$88,4,FALSE)</f>
        <v>0.27</v>
      </c>
      <c r="M97" s="40"/>
      <c r="N97" s="62"/>
      <c r="O97" s="78"/>
      <c r="P97" s="133"/>
      <c r="Q97" s="72">
        <v>60</v>
      </c>
      <c r="R97" s="72">
        <v>5</v>
      </c>
    </row>
    <row r="98" spans="1:26" hidden="1" outlineLevel="1" x14ac:dyDescent="0.3">
      <c r="E98" s="72" t="s">
        <v>78</v>
      </c>
      <c r="F98" s="77">
        <f>F83/3600*4/PI()/(F84*0.001)^2</f>
        <v>2.1966697874662637</v>
      </c>
      <c r="J98" s="120" t="s">
        <v>113</v>
      </c>
      <c r="K98" s="75" t="s">
        <v>114</v>
      </c>
      <c r="L98" s="75">
        <f>HLOOKUP($F$84,$Q$83:$Y$88,5,FALSE)</f>
        <v>0.41</v>
      </c>
      <c r="N98" s="62"/>
      <c r="Q98" s="120">
        <v>45</v>
      </c>
      <c r="R98" s="120">
        <v>7</v>
      </c>
    </row>
    <row r="99" spans="1:26" hidden="1" outlineLevel="1" x14ac:dyDescent="0.3">
      <c r="G99" s="62"/>
      <c r="J99" s="120" t="s">
        <v>113</v>
      </c>
      <c r="K99" s="75" t="s">
        <v>115</v>
      </c>
      <c r="L99" s="75">
        <f>HLOOKUP($F$84,$Q$83:$Y$88,6,FALSE)</f>
        <v>0.13</v>
      </c>
      <c r="N99" s="64"/>
      <c r="O99" s="40"/>
      <c r="P99" s="40"/>
      <c r="Q99" s="40"/>
    </row>
    <row r="100" spans="1:26" collapsed="1" x14ac:dyDescent="0.3">
      <c r="A100" s="134"/>
      <c r="B100" s="134"/>
      <c r="C100" s="134"/>
      <c r="D100" s="62"/>
      <c r="E100" s="62"/>
      <c r="F100" s="62"/>
      <c r="G100" s="62"/>
      <c r="H100" s="62"/>
      <c r="I100" s="62"/>
      <c r="J100" s="62"/>
      <c r="K100" s="62"/>
      <c r="L100" s="62"/>
      <c r="R100" s="62"/>
      <c r="S100" s="62"/>
      <c r="T100" s="62"/>
    </row>
    <row r="101" spans="1:26" x14ac:dyDescent="0.3">
      <c r="A101" s="34"/>
      <c r="B101" s="34" t="s">
        <v>116</v>
      </c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ht="15" thickBot="1" x14ac:dyDescent="0.35">
      <c r="A102" s="134"/>
      <c r="B102" s="134"/>
      <c r="C102" s="134"/>
      <c r="D102" s="62"/>
      <c r="E102" s="63"/>
      <c r="F102" s="63"/>
      <c r="G102" s="135"/>
      <c r="H102" s="62"/>
      <c r="I102" s="93"/>
      <c r="J102" s="62"/>
      <c r="K102" s="62"/>
      <c r="L102" s="62"/>
      <c r="M102" s="62"/>
      <c r="N102" s="135"/>
      <c r="O102" s="62"/>
      <c r="P102" s="62"/>
      <c r="Q102" s="62"/>
      <c r="R102" s="62"/>
      <c r="S102" s="62"/>
      <c r="T102" s="62"/>
    </row>
    <row r="103" spans="1:26" ht="15" thickBot="1" x14ac:dyDescent="0.35">
      <c r="A103" s="136"/>
      <c r="B103" s="134"/>
      <c r="C103" s="134"/>
      <c r="G103" s="62"/>
      <c r="H103" s="63"/>
      <c r="I103" s="63"/>
      <c r="N103" s="137"/>
      <c r="O103" s="138" t="s">
        <v>117</v>
      </c>
      <c r="P103" s="138" t="s">
        <v>117</v>
      </c>
      <c r="Q103" s="138" t="s">
        <v>117</v>
      </c>
      <c r="R103" s="139" t="s">
        <v>117</v>
      </c>
      <c r="S103" s="62"/>
      <c r="T103" s="62"/>
    </row>
    <row r="104" spans="1:26" ht="15" thickBot="1" x14ac:dyDescent="0.35">
      <c r="A104" s="134"/>
      <c r="B104" s="134"/>
      <c r="C104" s="134"/>
      <c r="F104" s="41" t="s">
        <v>118</v>
      </c>
      <c r="G104" s="42">
        <v>400</v>
      </c>
      <c r="H104" s="135"/>
      <c r="N104" s="140" t="s">
        <v>119</v>
      </c>
      <c r="O104" s="141">
        <v>0.25</v>
      </c>
      <c r="P104" s="142">
        <v>1</v>
      </c>
      <c r="Q104" s="142">
        <v>4</v>
      </c>
      <c r="R104" s="143" t="s">
        <v>120</v>
      </c>
      <c r="S104" s="62"/>
      <c r="T104" s="62"/>
    </row>
    <row r="105" spans="1:26" x14ac:dyDescent="0.3">
      <c r="A105" s="134"/>
      <c r="B105" s="134"/>
      <c r="C105" s="134"/>
      <c r="H105" s="40"/>
      <c r="N105" s="144">
        <v>0.6</v>
      </c>
      <c r="O105" s="145">
        <v>1.76</v>
      </c>
      <c r="P105" s="55">
        <v>1.7</v>
      </c>
      <c r="Q105" s="55">
        <v>1.46</v>
      </c>
      <c r="R105" s="48">
        <v>1.5</v>
      </c>
      <c r="S105" s="40"/>
      <c r="T105" s="40"/>
    </row>
    <row r="106" spans="1:26" x14ac:dyDescent="0.3">
      <c r="A106" s="134"/>
      <c r="B106" s="134"/>
      <c r="C106" s="134"/>
      <c r="H106" s="40"/>
      <c r="N106" s="146">
        <v>0.8</v>
      </c>
      <c r="O106" s="147">
        <v>1.43</v>
      </c>
      <c r="P106" s="71">
        <v>1.36</v>
      </c>
      <c r="Q106" s="71">
        <v>1.1000000000000001</v>
      </c>
      <c r="R106" s="52">
        <v>1.04</v>
      </c>
      <c r="S106" s="40"/>
      <c r="T106" s="40"/>
    </row>
    <row r="107" spans="1:26" x14ac:dyDescent="0.3">
      <c r="H107" s="40"/>
      <c r="N107" s="146">
        <v>1</v>
      </c>
      <c r="O107" s="147">
        <v>1.24</v>
      </c>
      <c r="P107" s="71">
        <v>1.1499999999999999</v>
      </c>
      <c r="Q107" s="71">
        <v>0.9</v>
      </c>
      <c r="R107" s="52">
        <v>0.79</v>
      </c>
      <c r="S107" s="40"/>
      <c r="T107" s="40"/>
    </row>
    <row r="108" spans="1:26" x14ac:dyDescent="0.3">
      <c r="H108" s="40"/>
      <c r="N108" s="146">
        <v>1.2</v>
      </c>
      <c r="O108" s="147">
        <v>1.1399999999999999</v>
      </c>
      <c r="P108" s="71">
        <v>1.02</v>
      </c>
      <c r="Q108" s="71">
        <v>0.81</v>
      </c>
      <c r="R108" s="52">
        <v>0.69</v>
      </c>
      <c r="S108" s="40"/>
      <c r="T108" s="40"/>
    </row>
    <row r="109" spans="1:26" x14ac:dyDescent="0.3">
      <c r="H109" s="40"/>
      <c r="N109" s="146">
        <v>1.4</v>
      </c>
      <c r="O109" s="147">
        <v>1.0900000000000001</v>
      </c>
      <c r="P109" s="71">
        <v>0.95</v>
      </c>
      <c r="Q109" s="71">
        <v>0.76</v>
      </c>
      <c r="R109" s="52">
        <v>0.63</v>
      </c>
      <c r="S109" s="40"/>
      <c r="T109" s="40"/>
    </row>
    <row r="110" spans="1:26" ht="15" thickBot="1" x14ac:dyDescent="0.35">
      <c r="A110" s="134"/>
      <c r="B110" s="134"/>
      <c r="C110" s="134"/>
      <c r="H110" s="40"/>
      <c r="N110" s="146">
        <v>1.6</v>
      </c>
      <c r="O110" s="147">
        <v>1.06</v>
      </c>
      <c r="P110" s="71">
        <v>0.9</v>
      </c>
      <c r="Q110" s="71">
        <v>0.72</v>
      </c>
      <c r="R110" s="148">
        <v>0.6</v>
      </c>
      <c r="S110" s="40"/>
      <c r="T110" s="40"/>
    </row>
    <row r="111" spans="1:26" ht="15.6" thickTop="1" thickBot="1" x14ac:dyDescent="0.35">
      <c r="A111" s="134"/>
      <c r="B111" s="134"/>
      <c r="C111" s="134"/>
      <c r="F111" s="65" t="s">
        <v>69</v>
      </c>
      <c r="G111" s="149">
        <f>IF(C121&lt;=4,N145,S141)</f>
        <v>1.6429629629629632</v>
      </c>
      <c r="H111" s="40" t="s">
        <v>121</v>
      </c>
      <c r="K111" s="40"/>
      <c r="N111" s="150">
        <v>2</v>
      </c>
      <c r="O111" s="151">
        <v>1.06</v>
      </c>
      <c r="P111" s="58">
        <v>0.84</v>
      </c>
      <c r="Q111" s="58">
        <v>0.66</v>
      </c>
      <c r="R111" s="59">
        <v>0.55000000000000004</v>
      </c>
      <c r="S111" s="40"/>
      <c r="T111" s="40"/>
    </row>
    <row r="112" spans="1:26" ht="15.6" thickTop="1" thickBot="1" x14ac:dyDescent="0.35">
      <c r="A112" s="41" t="s">
        <v>66</v>
      </c>
      <c r="B112" s="42">
        <v>1800</v>
      </c>
      <c r="F112" s="65" t="s">
        <v>71</v>
      </c>
      <c r="G112" s="66">
        <f>0.5*G111*(C125^2)*'[1]Feuille de calculs'!$L$8</f>
        <v>38.538339411515231</v>
      </c>
      <c r="H112" s="62"/>
      <c r="I112" s="62"/>
      <c r="J112" s="62"/>
      <c r="K112" s="62"/>
      <c r="P112" s="40"/>
      <c r="Q112" s="40"/>
      <c r="R112" s="40"/>
      <c r="S112" s="40"/>
      <c r="T112" s="40"/>
    </row>
    <row r="113" spans="1:20" ht="15" thickBot="1" x14ac:dyDescent="0.35">
      <c r="A113" s="41" t="s">
        <v>122</v>
      </c>
      <c r="B113" s="42">
        <v>200</v>
      </c>
      <c r="H113" s="62"/>
      <c r="I113" s="62"/>
      <c r="J113" s="62"/>
      <c r="K113" s="62"/>
      <c r="P113" s="40"/>
      <c r="Q113" s="40"/>
      <c r="R113" s="40"/>
      <c r="S113" s="40"/>
      <c r="T113" s="40"/>
    </row>
    <row r="114" spans="1:20" ht="15" thickBot="1" x14ac:dyDescent="0.35">
      <c r="A114" s="41" t="s">
        <v>123</v>
      </c>
      <c r="B114" s="42">
        <v>600</v>
      </c>
      <c r="F114" s="70" t="s">
        <v>72</v>
      </c>
      <c r="G114" s="71">
        <v>1</v>
      </c>
      <c r="L114" s="69"/>
      <c r="M114" s="40"/>
      <c r="N114" s="40"/>
      <c r="O114" s="40"/>
      <c r="P114" s="40"/>
      <c r="Q114" s="40"/>
      <c r="R114" s="40"/>
      <c r="S114" s="40"/>
      <c r="T114" s="40"/>
    </row>
    <row r="115" spans="1:20" x14ac:dyDescent="0.3">
      <c r="A115" s="134"/>
      <c r="B115" s="134"/>
      <c r="C115" s="134"/>
      <c r="L115" s="62"/>
      <c r="M115" s="40"/>
      <c r="N115" s="40"/>
      <c r="O115" s="40"/>
      <c r="P115" s="40"/>
      <c r="Q115" s="40"/>
      <c r="R115" s="40"/>
      <c r="S115" s="40"/>
      <c r="T115" s="40"/>
    </row>
    <row r="116" spans="1:20" x14ac:dyDescent="0.3">
      <c r="A116" s="134"/>
      <c r="B116" s="134"/>
      <c r="C116" s="134"/>
      <c r="L116" s="62"/>
      <c r="M116" s="40"/>
      <c r="N116" s="40"/>
      <c r="O116" s="40"/>
      <c r="P116" s="40"/>
      <c r="Q116" s="40"/>
      <c r="R116" s="40"/>
      <c r="S116" s="40"/>
      <c r="T116" s="40"/>
    </row>
    <row r="117" spans="1:20" x14ac:dyDescent="0.3">
      <c r="A117" s="134"/>
      <c r="B117" s="134" t="s">
        <v>124</v>
      </c>
      <c r="M117" s="40"/>
      <c r="N117" s="40"/>
      <c r="O117" s="40"/>
      <c r="P117" s="40"/>
      <c r="Q117" s="40"/>
      <c r="R117" s="40"/>
      <c r="S117" s="40"/>
      <c r="T117" s="40"/>
    </row>
    <row r="118" spans="1:20" hidden="1" outlineLevel="1" x14ac:dyDescent="0.3">
      <c r="A118" s="134"/>
      <c r="B118" s="134"/>
      <c r="C118" s="134"/>
      <c r="D118" s="62"/>
      <c r="E118" s="68" t="s">
        <v>125</v>
      </c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</row>
    <row r="119" spans="1:20" hidden="1" outlineLevel="1" x14ac:dyDescent="0.3">
      <c r="A119" s="134"/>
      <c r="B119" s="72" t="s">
        <v>126</v>
      </c>
      <c r="C119" s="152">
        <f>B113</f>
        <v>200</v>
      </c>
      <c r="D119" s="62"/>
      <c r="E119" s="40" t="s">
        <v>127</v>
      </c>
      <c r="F119" s="40"/>
      <c r="G119" s="40" t="b">
        <f>IF(C121&lt;0.25,TRUE,FALSE)</f>
        <v>0</v>
      </c>
      <c r="H119" s="40"/>
      <c r="I119" s="40"/>
      <c r="J119" s="40"/>
      <c r="K119" s="69" t="s">
        <v>128</v>
      </c>
      <c r="L119" s="40"/>
      <c r="M119" s="40"/>
      <c r="N119" s="40"/>
      <c r="O119" s="40"/>
      <c r="P119" s="40"/>
      <c r="Q119" s="40"/>
      <c r="R119" s="40"/>
      <c r="S119" s="40"/>
      <c r="T119" s="40"/>
    </row>
    <row r="120" spans="1:20" hidden="1" outlineLevel="1" x14ac:dyDescent="0.3">
      <c r="A120" s="134"/>
      <c r="B120" s="72" t="s">
        <v>119</v>
      </c>
      <c r="C120" s="77">
        <f>G104/B114</f>
        <v>0.66666666666666663</v>
      </c>
      <c r="D120" s="62"/>
      <c r="E120" s="40" t="s">
        <v>129</v>
      </c>
      <c r="F120" s="40"/>
      <c r="G120" s="40" t="b">
        <f>IF(C121=0.25,TRUE,FALSE)</f>
        <v>0</v>
      </c>
      <c r="H120" s="40" t="s">
        <v>127</v>
      </c>
      <c r="I120" s="40"/>
      <c r="J120" s="40" t="b">
        <f>G119</f>
        <v>0</v>
      </c>
      <c r="K120" s="69">
        <v>2</v>
      </c>
      <c r="L120" s="40"/>
      <c r="M120" s="40"/>
      <c r="N120" s="40"/>
      <c r="O120" s="40"/>
      <c r="P120" s="40"/>
      <c r="Q120" s="40"/>
      <c r="R120" s="40"/>
      <c r="S120" s="40"/>
      <c r="T120" s="40"/>
    </row>
    <row r="121" spans="1:20" hidden="1" outlineLevel="1" x14ac:dyDescent="0.3">
      <c r="B121" s="72" t="s">
        <v>117</v>
      </c>
      <c r="C121" s="77">
        <f>B113/B114</f>
        <v>0.33333333333333331</v>
      </c>
      <c r="E121" s="40" t="s">
        <v>130</v>
      </c>
      <c r="F121" s="40"/>
      <c r="G121" s="40" t="b">
        <f>AND(C121&gt;0.25,C121&lt;1)</f>
        <v>1</v>
      </c>
      <c r="H121" s="40" t="s">
        <v>131</v>
      </c>
      <c r="I121" s="40"/>
      <c r="J121" s="40" t="b">
        <f>OR(G120,G121)</f>
        <v>1</v>
      </c>
      <c r="K121" s="69">
        <v>2</v>
      </c>
      <c r="L121" s="40"/>
      <c r="M121" s="40"/>
      <c r="N121" s="40"/>
      <c r="O121" s="40"/>
      <c r="P121" s="40"/>
      <c r="Q121" s="40"/>
      <c r="R121" s="40"/>
      <c r="S121" s="40"/>
      <c r="T121" s="40"/>
    </row>
    <row r="122" spans="1:20" hidden="1" outlineLevel="1" x14ac:dyDescent="0.3">
      <c r="B122" s="72" t="s">
        <v>132</v>
      </c>
      <c r="C122" s="77">
        <f>B112/3600/(B113*B114)*1000000</f>
        <v>4.166666666666667</v>
      </c>
      <c r="E122" s="40" t="s">
        <v>133</v>
      </c>
      <c r="F122" s="40"/>
      <c r="G122" s="40" t="b">
        <f>IF(C121=1,TRUE,FALSE)</f>
        <v>0</v>
      </c>
      <c r="H122" s="40" t="s">
        <v>134</v>
      </c>
      <c r="I122" s="40"/>
      <c r="J122" s="40" t="b">
        <f>OR(G122,G123)</f>
        <v>0</v>
      </c>
      <c r="K122" s="69">
        <v>3</v>
      </c>
      <c r="L122" s="40"/>
      <c r="M122" s="40"/>
      <c r="N122" s="40"/>
      <c r="O122" s="40"/>
      <c r="P122" s="40"/>
      <c r="Q122" s="40"/>
      <c r="R122" s="40"/>
      <c r="S122" s="40"/>
      <c r="T122" s="40"/>
    </row>
    <row r="123" spans="1:20" hidden="1" outlineLevel="1" x14ac:dyDescent="0.3">
      <c r="B123" s="72" t="s">
        <v>135</v>
      </c>
      <c r="C123" s="77">
        <f>B112/3600/(B113*G104)*1000000</f>
        <v>6.25</v>
      </c>
      <c r="E123" s="40" t="s">
        <v>136</v>
      </c>
      <c r="F123" s="40"/>
      <c r="G123" s="40" t="b">
        <f>AND(C121&gt;1,C121&lt;4)</f>
        <v>0</v>
      </c>
      <c r="H123" s="40" t="s">
        <v>137</v>
      </c>
      <c r="I123" s="40"/>
      <c r="J123" s="40" t="b">
        <f>IF(C121=4,TRUE,FALSE)</f>
        <v>0</v>
      </c>
      <c r="K123" s="69">
        <v>4</v>
      </c>
      <c r="L123" s="40"/>
      <c r="M123" s="40"/>
      <c r="N123" s="40"/>
      <c r="O123" s="40"/>
      <c r="P123" s="40"/>
      <c r="Q123" s="40"/>
      <c r="R123" s="40"/>
      <c r="S123" s="40"/>
      <c r="T123" s="40"/>
    </row>
    <row r="124" spans="1:20" hidden="1" outlineLevel="1" x14ac:dyDescent="0.3">
      <c r="B124" s="72" t="s">
        <v>138</v>
      </c>
      <c r="C124" s="73">
        <f>MIN(B114,G104)</f>
        <v>400</v>
      </c>
      <c r="E124" s="40" t="s">
        <v>137</v>
      </c>
      <c r="F124" s="40"/>
      <c r="G124" s="40" t="b">
        <f>IF(C121=4,TRUE,FALSE)</f>
        <v>0</v>
      </c>
      <c r="H124" s="40" t="s">
        <v>139</v>
      </c>
      <c r="I124" s="40"/>
      <c r="J124" s="40" t="b">
        <f>IF(C121&gt;4,TRUE,FALSE)</f>
        <v>0</v>
      </c>
      <c r="K124" s="69">
        <v>5</v>
      </c>
      <c r="L124" s="40"/>
      <c r="M124" s="40"/>
      <c r="N124" s="40"/>
      <c r="O124" s="40"/>
      <c r="P124" s="40"/>
      <c r="Q124" s="40"/>
      <c r="R124" s="40"/>
      <c r="S124" s="40"/>
      <c r="T124" s="40"/>
    </row>
    <row r="125" spans="1:20" hidden="1" outlineLevel="1" x14ac:dyDescent="0.3">
      <c r="B125" s="72" t="s">
        <v>140</v>
      </c>
      <c r="C125" s="77">
        <f>B112/3600/(B113*C124)*1000000</f>
        <v>6.25</v>
      </c>
      <c r="E125" s="40" t="s">
        <v>139</v>
      </c>
      <c r="F125" s="40"/>
      <c r="G125" s="40" t="b">
        <f>IF(C121&gt;4,TRUE,FALSE)</f>
        <v>0</v>
      </c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</row>
    <row r="126" spans="1:20" hidden="1" outlineLevel="1" x14ac:dyDescent="0.3"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</row>
    <row r="127" spans="1:20" hidden="1" outlineLevel="1" x14ac:dyDescent="0.3">
      <c r="E127" s="71" t="s">
        <v>141</v>
      </c>
      <c r="F127" s="72" t="s">
        <v>142</v>
      </c>
      <c r="G127" s="153">
        <v>1</v>
      </c>
      <c r="H127" s="68" t="s">
        <v>143</v>
      </c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</row>
    <row r="128" spans="1:20" hidden="1" outlineLevel="1" x14ac:dyDescent="0.3">
      <c r="E128" s="71">
        <v>0.6</v>
      </c>
      <c r="F128" s="71">
        <v>0.8</v>
      </c>
      <c r="G128" s="153">
        <v>2</v>
      </c>
      <c r="H128" s="72" t="s">
        <v>144</v>
      </c>
      <c r="I128" s="77">
        <f>IF(C120&lt;0.6,0.6,C120)</f>
        <v>0.66666666666666663</v>
      </c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</row>
    <row r="129" spans="5:20" hidden="1" outlineLevel="1" x14ac:dyDescent="0.3">
      <c r="E129" s="71">
        <v>0.8</v>
      </c>
      <c r="F129" s="71">
        <v>1</v>
      </c>
      <c r="G129" s="153">
        <v>3</v>
      </c>
      <c r="H129" s="72" t="s">
        <v>145</v>
      </c>
      <c r="I129" s="77">
        <f>IF(C121&lt;0.25,0.25,C121)</f>
        <v>0.33333333333333331</v>
      </c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</row>
    <row r="130" spans="5:20" hidden="1" outlineLevel="1" x14ac:dyDescent="0.3">
      <c r="E130" s="71">
        <v>1</v>
      </c>
      <c r="F130" s="71">
        <v>1.2</v>
      </c>
      <c r="G130" s="153">
        <v>4</v>
      </c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</row>
    <row r="131" spans="5:20" hidden="1" outlineLevel="1" x14ac:dyDescent="0.3">
      <c r="E131" s="71">
        <v>1.2</v>
      </c>
      <c r="F131" s="71">
        <v>1.4</v>
      </c>
      <c r="G131" s="153">
        <v>5</v>
      </c>
      <c r="H131" s="68" t="s">
        <v>146</v>
      </c>
      <c r="I131" s="40"/>
      <c r="J131" s="40"/>
      <c r="K131" s="40" t="s">
        <v>147</v>
      </c>
      <c r="L131" s="40" t="s">
        <v>148</v>
      </c>
      <c r="M131" s="40"/>
      <c r="N131" s="40"/>
      <c r="O131" s="40"/>
      <c r="P131" s="40"/>
      <c r="Q131" s="68" t="s">
        <v>149</v>
      </c>
      <c r="R131" s="40"/>
      <c r="S131" s="40"/>
      <c r="T131" s="40"/>
    </row>
    <row r="132" spans="5:20" hidden="1" outlineLevel="1" x14ac:dyDescent="0.3">
      <c r="E132" s="71">
        <v>1.4</v>
      </c>
      <c r="F132" s="71">
        <v>1.6</v>
      </c>
      <c r="G132" s="153">
        <v>6</v>
      </c>
      <c r="H132" s="40"/>
      <c r="I132" s="40"/>
      <c r="J132" s="40"/>
      <c r="K132" s="76">
        <f>IF(C121&lt;4,VLOOKUP(TRUE,J120:K123,2,FALSE),4)</f>
        <v>2</v>
      </c>
      <c r="L132" s="76">
        <f>IF(C121&lt;4,K132+1,4)</f>
        <v>3</v>
      </c>
      <c r="M132" s="40"/>
      <c r="N132" s="40"/>
      <c r="O132" s="40"/>
      <c r="P132" s="40"/>
      <c r="Q132" s="43" t="s">
        <v>150</v>
      </c>
      <c r="R132" s="40"/>
      <c r="S132" s="76">
        <v>5</v>
      </c>
      <c r="T132" s="40"/>
    </row>
    <row r="133" spans="5:20" hidden="1" outlineLevel="1" x14ac:dyDescent="0.3">
      <c r="E133" s="71">
        <v>1.6</v>
      </c>
      <c r="F133" s="71">
        <v>2</v>
      </c>
      <c r="G133" s="153">
        <v>7</v>
      </c>
      <c r="H133" s="40" t="s">
        <v>151</v>
      </c>
      <c r="I133" s="76">
        <f>IF(C120&gt;0.6,VLOOKUP(C120,E128:G134,3),2)</f>
        <v>2</v>
      </c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</row>
    <row r="134" spans="5:20" hidden="1" outlineLevel="1" x14ac:dyDescent="0.3">
      <c r="E134" s="71">
        <v>2</v>
      </c>
      <c r="F134" s="71">
        <v>2</v>
      </c>
      <c r="G134" s="153">
        <v>8</v>
      </c>
      <c r="H134" s="40" t="s">
        <v>152</v>
      </c>
      <c r="I134" s="76">
        <f>IF(C120&lt;2,I133+1,8)</f>
        <v>3</v>
      </c>
      <c r="J134" s="40"/>
      <c r="K134" s="40"/>
      <c r="L134" s="40"/>
      <c r="M134" s="40"/>
      <c r="N134" s="40"/>
      <c r="O134" s="40"/>
      <c r="P134" s="40"/>
      <c r="Q134" s="62" t="s">
        <v>141</v>
      </c>
      <c r="R134" s="40"/>
      <c r="S134" s="76">
        <f>IF(C120&gt;0.6,VLOOKUP(C120,E128:F134,1),0.6)</f>
        <v>0.6</v>
      </c>
      <c r="T134" s="40"/>
    </row>
    <row r="135" spans="5:20" hidden="1" outlineLevel="1" x14ac:dyDescent="0.3">
      <c r="E135" s="40"/>
      <c r="F135" s="40"/>
      <c r="G135" s="40"/>
      <c r="H135" s="40"/>
      <c r="I135" s="40"/>
      <c r="J135" s="40"/>
      <c r="K135" s="72" t="s">
        <v>153</v>
      </c>
      <c r="L135" s="72" t="s">
        <v>154</v>
      </c>
      <c r="M135" s="40"/>
      <c r="N135" s="40"/>
      <c r="O135" s="40"/>
      <c r="P135" s="40"/>
      <c r="Q135" s="62" t="s">
        <v>142</v>
      </c>
      <c r="R135" s="40"/>
      <c r="S135" s="76">
        <f>VLOOKUP(S134,E128:F134,2)</f>
        <v>0.8</v>
      </c>
      <c r="T135" s="40"/>
    </row>
    <row r="136" spans="5:20" hidden="1" outlineLevel="1" x14ac:dyDescent="0.3">
      <c r="E136" s="40"/>
      <c r="F136" s="40"/>
      <c r="G136" s="40"/>
      <c r="H136" s="40"/>
      <c r="I136" s="40"/>
      <c r="J136" s="40"/>
      <c r="K136" s="76">
        <f>INDEX(N104:R111,1,K132)</f>
        <v>0.25</v>
      </c>
      <c r="L136" s="76">
        <f>INDEX(N104:R111,1,L132)</f>
        <v>1</v>
      </c>
      <c r="M136" s="40"/>
      <c r="N136" s="40"/>
      <c r="O136" s="40"/>
      <c r="P136" s="40"/>
      <c r="Q136" s="40"/>
      <c r="R136" s="40"/>
      <c r="S136" s="40"/>
      <c r="T136" s="40"/>
    </row>
    <row r="137" spans="5:20" hidden="1" outlineLevel="1" x14ac:dyDescent="0.3">
      <c r="E137" s="40"/>
      <c r="F137" s="40"/>
      <c r="G137" s="40"/>
      <c r="H137" s="40"/>
      <c r="I137" s="40"/>
      <c r="J137" s="40"/>
      <c r="K137" s="40" t="s">
        <v>155</v>
      </c>
      <c r="L137" s="40" t="s">
        <v>156</v>
      </c>
      <c r="M137" s="40"/>
      <c r="N137" s="40"/>
      <c r="O137" s="40"/>
      <c r="P137" s="40"/>
      <c r="Q137" s="40" t="s">
        <v>157</v>
      </c>
      <c r="R137" s="40"/>
      <c r="S137" s="77">
        <f>VLOOKUP(S134,N105:R111,5)</f>
        <v>1.5</v>
      </c>
      <c r="T137" s="40"/>
    </row>
    <row r="138" spans="5:20" hidden="1" outlineLevel="1" x14ac:dyDescent="0.3">
      <c r="E138" s="40"/>
      <c r="F138" s="40"/>
      <c r="G138" s="40"/>
      <c r="H138" s="75" t="s">
        <v>141</v>
      </c>
      <c r="I138" s="76">
        <f>IF(C120&gt;0.6,VLOOKUP(C120,E128:F134,1),0.6)</f>
        <v>0.6</v>
      </c>
      <c r="J138" s="40" t="s">
        <v>158</v>
      </c>
      <c r="K138" s="76">
        <f>INDEX(N104:R111,I133,K132)</f>
        <v>1.76</v>
      </c>
      <c r="L138" s="76">
        <f>INDEX(N104:R111,I133,L132)</f>
        <v>1.7</v>
      </c>
      <c r="M138" s="40"/>
      <c r="N138" s="40"/>
      <c r="O138" s="40"/>
      <c r="P138" s="40"/>
      <c r="Q138" s="40" t="s">
        <v>159</v>
      </c>
      <c r="R138" s="40"/>
      <c r="S138" s="77">
        <f>VLOOKUP(S135,N105:R111,5)</f>
        <v>1.04</v>
      </c>
      <c r="T138" s="40"/>
    </row>
    <row r="139" spans="5:20" hidden="1" outlineLevel="1" x14ac:dyDescent="0.3">
      <c r="E139" s="40"/>
      <c r="F139" s="40"/>
      <c r="G139" s="40"/>
      <c r="H139" s="75" t="s">
        <v>142</v>
      </c>
      <c r="I139" s="76">
        <f>VLOOKUP(I138,E128:F134,2)</f>
        <v>0.8</v>
      </c>
      <c r="J139" s="40" t="s">
        <v>160</v>
      </c>
      <c r="K139" s="77">
        <f>INDEX(N104:R111,I134,K132)</f>
        <v>1.43</v>
      </c>
      <c r="L139" s="76">
        <f>INDEX(N104:R111,I134,L132)</f>
        <v>1.36</v>
      </c>
      <c r="M139" s="40"/>
      <c r="N139" s="40"/>
      <c r="O139" s="40"/>
      <c r="P139" s="40"/>
      <c r="Q139" s="40"/>
      <c r="R139" s="40"/>
      <c r="S139" s="40"/>
      <c r="T139" s="40"/>
    </row>
    <row r="140" spans="5:20" hidden="1" outlineLevel="1" x14ac:dyDescent="0.3"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</row>
    <row r="141" spans="5:20" hidden="1" outlineLevel="1" x14ac:dyDescent="0.3">
      <c r="E141" s="40"/>
      <c r="F141" s="40"/>
      <c r="G141" s="40"/>
      <c r="H141" s="40" t="s">
        <v>161</v>
      </c>
      <c r="I141" s="40"/>
      <c r="J141" s="40"/>
      <c r="K141" s="40"/>
      <c r="L141" s="40"/>
      <c r="M141" s="40"/>
      <c r="N141" s="77">
        <f>IF(C121&lt;4,(I129-K136)/(L136-K136)*(L138-K138)+K138,L138)</f>
        <v>1.7533333333333334</v>
      </c>
      <c r="O141" s="40"/>
      <c r="P141" s="40"/>
      <c r="Q141" s="40" t="s">
        <v>162</v>
      </c>
      <c r="R141" s="40"/>
      <c r="S141" s="76">
        <f>IF(C120&lt;2,(C120-S134)/(S135-S134)*(S138-S137)+S137,R111)</f>
        <v>1.3466666666666667</v>
      </c>
      <c r="T141" s="40"/>
    </row>
    <row r="142" spans="5:20" hidden="1" outlineLevel="1" x14ac:dyDescent="0.3">
      <c r="E142" s="40"/>
      <c r="F142" s="40"/>
      <c r="G142" s="40"/>
      <c r="H142" s="40" t="s">
        <v>163</v>
      </c>
      <c r="I142" s="40"/>
      <c r="J142" s="40"/>
      <c r="K142" s="40"/>
      <c r="L142" s="40"/>
      <c r="M142" s="40"/>
      <c r="N142" s="77">
        <f>IF(C121&lt;4,(I129-K136)/(L136-K136)*(L139-K139)+K139,L139)</f>
        <v>1.4222222222222223</v>
      </c>
      <c r="O142" s="40"/>
      <c r="P142" s="40"/>
      <c r="Q142" s="40" t="s">
        <v>164</v>
      </c>
      <c r="R142" s="40"/>
      <c r="S142" s="40"/>
      <c r="T142" s="40"/>
    </row>
    <row r="143" spans="5:20" hidden="1" outlineLevel="1" x14ac:dyDescent="0.3"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</row>
    <row r="144" spans="5:20" hidden="1" outlineLevel="1" x14ac:dyDescent="0.3">
      <c r="E144" s="40"/>
      <c r="F144" s="40"/>
      <c r="G144" s="40"/>
      <c r="H144" s="40" t="s">
        <v>165</v>
      </c>
      <c r="I144" s="40"/>
      <c r="J144" s="40"/>
      <c r="K144" s="40"/>
      <c r="L144" s="40"/>
      <c r="M144" s="40"/>
      <c r="N144" s="77">
        <f>IF(C120&lt;2,(I128-I138)/(I139-I138)*(N142-N141)+N141,(I129-K136)/(L136-K136)*(L139-K139)+K139)</f>
        <v>1.6429629629629632</v>
      </c>
      <c r="O144" s="40"/>
      <c r="P144" s="40"/>
      <c r="Q144" s="40"/>
      <c r="R144" s="40"/>
      <c r="S144" s="40"/>
      <c r="T144" s="40"/>
    </row>
    <row r="145" spans="1:29" hidden="1" outlineLevel="1" x14ac:dyDescent="0.3">
      <c r="E145" s="40"/>
      <c r="F145" s="40"/>
      <c r="G145" s="40"/>
      <c r="H145" s="40" t="s">
        <v>166</v>
      </c>
      <c r="I145" s="40"/>
      <c r="J145" s="40"/>
      <c r="K145" s="40" t="b">
        <f>AND(C120=2,J123=TRUE)</f>
        <v>0</v>
      </c>
      <c r="L145" s="40"/>
      <c r="M145" s="70" t="s">
        <v>167</v>
      </c>
      <c r="N145" s="76">
        <f>IF(K145=TRUE,L139,N144)</f>
        <v>1.6429629629629632</v>
      </c>
      <c r="O145" s="40"/>
      <c r="P145" s="40"/>
      <c r="Q145" s="40"/>
      <c r="R145" s="40"/>
      <c r="S145" s="40"/>
      <c r="T145" s="40"/>
    </row>
    <row r="146" spans="1:29" hidden="1" outlineLevel="1" x14ac:dyDescent="0.3"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</row>
    <row r="147" spans="1:29" collapsed="1" x14ac:dyDescent="0.3">
      <c r="A147" s="136"/>
      <c r="C147" s="79"/>
      <c r="D147" s="79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9"/>
      <c r="V147" s="79"/>
      <c r="W147" s="79"/>
      <c r="X147" s="79"/>
      <c r="Y147" s="79"/>
    </row>
    <row r="148" spans="1:29" x14ac:dyDescent="0.3">
      <c r="A148" s="34"/>
      <c r="B148" s="34" t="s">
        <v>168</v>
      </c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</row>
    <row r="149" spans="1:29" ht="15" thickBot="1" x14ac:dyDescent="0.35">
      <c r="A149" s="40"/>
      <c r="B149" s="40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79"/>
      <c r="W149" s="79"/>
      <c r="X149" s="79"/>
      <c r="Y149" s="79"/>
    </row>
    <row r="150" spans="1:29" ht="15" thickBot="1" x14ac:dyDescent="0.35">
      <c r="A150" s="40"/>
      <c r="B150" s="40"/>
      <c r="C150" s="40"/>
      <c r="D150" s="40"/>
      <c r="E150" s="40"/>
      <c r="H150" s="40"/>
      <c r="K150" s="40"/>
      <c r="N150" s="71" t="s">
        <v>169</v>
      </c>
      <c r="O150" s="71" t="s">
        <v>170</v>
      </c>
      <c r="P150" s="40"/>
      <c r="Q150" s="71" t="s">
        <v>117</v>
      </c>
      <c r="R150" s="71" t="s">
        <v>171</v>
      </c>
      <c r="S150" s="40"/>
      <c r="T150" s="154"/>
      <c r="U150" s="138" t="s">
        <v>172</v>
      </c>
      <c r="V150" s="138" t="s">
        <v>172</v>
      </c>
      <c r="W150" s="138" t="s">
        <v>172</v>
      </c>
      <c r="X150" s="138" t="s">
        <v>172</v>
      </c>
      <c r="Y150" s="138" t="s">
        <v>172</v>
      </c>
      <c r="Z150" s="138" t="s">
        <v>172</v>
      </c>
      <c r="AA150" s="138" t="s">
        <v>172</v>
      </c>
      <c r="AB150" s="139" t="s">
        <v>172</v>
      </c>
    </row>
    <row r="151" spans="1:29" ht="17.25" customHeight="1" thickBot="1" x14ac:dyDescent="0.35">
      <c r="A151" s="40"/>
      <c r="B151" s="40"/>
      <c r="C151" s="40"/>
      <c r="D151" s="40"/>
      <c r="E151" s="40"/>
      <c r="G151" s="41" t="s">
        <v>118</v>
      </c>
      <c r="H151" s="42">
        <v>400</v>
      </c>
      <c r="I151" s="40"/>
      <c r="N151" s="71">
        <v>0</v>
      </c>
      <c r="O151" s="109">
        <v>0</v>
      </c>
      <c r="P151" s="40"/>
      <c r="Q151" s="109">
        <v>0.25</v>
      </c>
      <c r="R151" s="109">
        <v>1.3</v>
      </c>
      <c r="S151" s="40"/>
      <c r="T151" s="155" t="s">
        <v>173</v>
      </c>
      <c r="U151" s="141">
        <v>0.2</v>
      </c>
      <c r="V151" s="142">
        <v>0.5</v>
      </c>
      <c r="W151" s="142">
        <v>1</v>
      </c>
      <c r="X151" s="142">
        <v>1.5</v>
      </c>
      <c r="Y151" s="142">
        <v>2</v>
      </c>
      <c r="Z151" s="142">
        <v>3</v>
      </c>
      <c r="AA151" s="142">
        <v>4</v>
      </c>
      <c r="AB151" s="143">
        <v>5</v>
      </c>
    </row>
    <row r="152" spans="1:29" x14ac:dyDescent="0.3">
      <c r="A152" s="40"/>
      <c r="B152" s="40"/>
      <c r="C152" s="40"/>
      <c r="D152" s="40"/>
      <c r="E152" s="40"/>
      <c r="I152" s="40"/>
      <c r="N152" s="71">
        <v>20</v>
      </c>
      <c r="O152" s="109">
        <v>0.31</v>
      </c>
      <c r="P152" s="40"/>
      <c r="Q152" s="109">
        <v>0.5</v>
      </c>
      <c r="R152" s="109">
        <v>1.17</v>
      </c>
      <c r="S152" s="40"/>
      <c r="T152" s="156">
        <v>0.1</v>
      </c>
      <c r="U152" s="157">
        <v>0.2</v>
      </c>
      <c r="V152" s="54">
        <v>0.45</v>
      </c>
      <c r="W152" s="54">
        <v>0.69</v>
      </c>
      <c r="X152" s="54">
        <v>0.78</v>
      </c>
      <c r="Y152" s="54">
        <v>0.83</v>
      </c>
      <c r="Z152" s="54">
        <v>0.88</v>
      </c>
      <c r="AA152" s="54">
        <v>0.91</v>
      </c>
      <c r="AB152" s="158">
        <v>0.93</v>
      </c>
    </row>
    <row r="153" spans="1:29" x14ac:dyDescent="0.3">
      <c r="A153" s="40"/>
      <c r="B153" s="40"/>
      <c r="C153" s="40"/>
      <c r="D153" s="40"/>
      <c r="E153" s="40"/>
      <c r="F153" s="40"/>
      <c r="I153" s="40"/>
      <c r="N153" s="71">
        <v>30</v>
      </c>
      <c r="O153" s="109">
        <v>0.45</v>
      </c>
      <c r="P153" s="40"/>
      <c r="Q153" s="109">
        <v>0.75</v>
      </c>
      <c r="R153" s="109">
        <v>1.0900000000000001</v>
      </c>
      <c r="S153" s="40"/>
      <c r="T153" s="159">
        <v>0.15</v>
      </c>
      <c r="U153" s="160">
        <v>0.13</v>
      </c>
      <c r="V153" s="109">
        <v>0.32</v>
      </c>
      <c r="W153" s="109">
        <v>0.56999999999999995</v>
      </c>
      <c r="X153" s="109">
        <v>0.68</v>
      </c>
      <c r="Y153" s="109">
        <v>0.76</v>
      </c>
      <c r="Z153" s="109">
        <v>0.83</v>
      </c>
      <c r="AA153" s="109">
        <v>0.87</v>
      </c>
      <c r="AB153" s="148">
        <v>0.89</v>
      </c>
    </row>
    <row r="154" spans="1:29" x14ac:dyDescent="0.3">
      <c r="A154" s="40"/>
      <c r="B154" s="40"/>
      <c r="C154" s="40"/>
      <c r="D154" s="40"/>
      <c r="E154" s="40"/>
      <c r="N154" s="71">
        <v>45</v>
      </c>
      <c r="O154" s="109">
        <v>0.6</v>
      </c>
      <c r="P154" s="40"/>
      <c r="Q154" s="109">
        <v>1</v>
      </c>
      <c r="R154" s="109">
        <v>1</v>
      </c>
      <c r="S154" s="40"/>
      <c r="T154" s="159">
        <v>0.2</v>
      </c>
      <c r="U154" s="160">
        <v>0.08</v>
      </c>
      <c r="V154" s="109">
        <v>0.2</v>
      </c>
      <c r="W154" s="109">
        <v>0.45</v>
      </c>
      <c r="X154" s="109">
        <v>0.57999999999999996</v>
      </c>
      <c r="Y154" s="109">
        <v>0.67</v>
      </c>
      <c r="Z154" s="109">
        <v>0.76</v>
      </c>
      <c r="AA154" s="109">
        <v>0.81</v>
      </c>
      <c r="AB154" s="148">
        <v>0.85</v>
      </c>
    </row>
    <row r="155" spans="1:29" x14ac:dyDescent="0.3">
      <c r="A155" s="40"/>
      <c r="B155" s="40"/>
      <c r="C155" s="40"/>
      <c r="D155" s="40"/>
      <c r="E155" s="40"/>
      <c r="N155" s="71">
        <v>60</v>
      </c>
      <c r="O155" s="109">
        <v>0.78</v>
      </c>
      <c r="P155" s="40"/>
      <c r="Q155" s="109">
        <v>1.5</v>
      </c>
      <c r="R155" s="109">
        <v>0.9</v>
      </c>
      <c r="S155" s="40"/>
      <c r="T155" s="159">
        <v>0.3</v>
      </c>
      <c r="U155" s="160">
        <v>0.06</v>
      </c>
      <c r="V155" s="109">
        <v>0.13</v>
      </c>
      <c r="W155" s="109">
        <v>0.3</v>
      </c>
      <c r="X155" s="109">
        <v>0.45</v>
      </c>
      <c r="Y155" s="109">
        <v>0.56000000000000005</v>
      </c>
      <c r="Z155" s="109">
        <v>0.67</v>
      </c>
      <c r="AA155" s="109">
        <v>0.74</v>
      </c>
      <c r="AB155" s="148">
        <v>0.79</v>
      </c>
    </row>
    <row r="156" spans="1:29" x14ac:dyDescent="0.3">
      <c r="A156" s="40"/>
      <c r="B156" s="40"/>
      <c r="C156" s="40"/>
      <c r="D156" s="40"/>
      <c r="E156" s="40"/>
      <c r="F156" s="40"/>
      <c r="N156" s="71">
        <v>75</v>
      </c>
      <c r="O156" s="109">
        <v>0.9</v>
      </c>
      <c r="P156" s="40"/>
      <c r="Q156" s="109">
        <v>2</v>
      </c>
      <c r="R156" s="109">
        <v>0.85</v>
      </c>
      <c r="S156" s="40"/>
      <c r="T156" s="159">
        <v>0.4</v>
      </c>
      <c r="U156" s="160">
        <v>0.04</v>
      </c>
      <c r="V156" s="109">
        <v>0.1</v>
      </c>
      <c r="W156" s="109">
        <v>0.25</v>
      </c>
      <c r="X156" s="109">
        <v>0.4</v>
      </c>
      <c r="Y156" s="109">
        <v>0.51</v>
      </c>
      <c r="Z156" s="109">
        <v>0.64</v>
      </c>
      <c r="AA156" s="109">
        <v>0.7</v>
      </c>
      <c r="AB156" s="148">
        <v>0.76</v>
      </c>
    </row>
    <row r="157" spans="1:29" ht="15" thickBot="1" x14ac:dyDescent="0.35">
      <c r="A157" s="40"/>
      <c r="B157" s="40"/>
      <c r="C157" s="40"/>
      <c r="D157" s="40"/>
      <c r="E157" s="40"/>
      <c r="N157" s="71">
        <v>90</v>
      </c>
      <c r="O157" s="109">
        <v>1</v>
      </c>
      <c r="P157" s="40"/>
      <c r="Q157" s="109">
        <v>3</v>
      </c>
      <c r="R157" s="109">
        <v>0.85</v>
      </c>
      <c r="S157" s="40"/>
      <c r="T157" s="161">
        <v>1</v>
      </c>
      <c r="U157" s="162">
        <v>0.04</v>
      </c>
      <c r="V157" s="57">
        <v>0.09</v>
      </c>
      <c r="W157" s="57">
        <v>0.21</v>
      </c>
      <c r="X157" s="57">
        <v>0.35</v>
      </c>
      <c r="Y157" s="57">
        <v>0.47</v>
      </c>
      <c r="Z157" s="57">
        <v>0.59</v>
      </c>
      <c r="AA157" s="57">
        <v>0.67</v>
      </c>
      <c r="AB157" s="163">
        <v>0.73</v>
      </c>
    </row>
    <row r="158" spans="1:29" x14ac:dyDescent="0.3">
      <c r="A158" s="40"/>
      <c r="B158" s="40"/>
      <c r="C158" s="40"/>
      <c r="D158" s="40"/>
      <c r="E158" s="40"/>
      <c r="N158" s="71">
        <v>110</v>
      </c>
      <c r="O158" s="109">
        <v>1.1299999999999999</v>
      </c>
      <c r="P158" s="40"/>
      <c r="Q158" s="109">
        <v>4</v>
      </c>
      <c r="R158" s="109">
        <v>0.9</v>
      </c>
      <c r="S158" s="40"/>
      <c r="T158" s="40"/>
    </row>
    <row r="159" spans="1:29" ht="15" thickBot="1" x14ac:dyDescent="0.35">
      <c r="A159" s="40"/>
      <c r="B159" s="40"/>
      <c r="C159" s="40"/>
      <c r="D159" s="40"/>
      <c r="E159" s="40"/>
      <c r="N159" s="71">
        <v>130</v>
      </c>
      <c r="O159" s="109">
        <v>1.2</v>
      </c>
      <c r="P159" s="40"/>
      <c r="Q159" s="109">
        <v>5</v>
      </c>
      <c r="R159" s="109">
        <v>0.95</v>
      </c>
      <c r="S159" s="40"/>
      <c r="T159" s="40"/>
      <c r="U159" s="40"/>
      <c r="V159" s="40"/>
      <c r="W159" s="40"/>
      <c r="X159" s="78"/>
      <c r="Y159" s="78"/>
      <c r="Z159" s="78"/>
      <c r="AA159" s="78"/>
      <c r="AB159" s="40"/>
      <c r="AC159" s="40"/>
    </row>
    <row r="160" spans="1:29" ht="15.6" thickTop="1" thickBot="1" x14ac:dyDescent="0.35">
      <c r="A160" s="41" t="s">
        <v>169</v>
      </c>
      <c r="B160" s="42">
        <v>90</v>
      </c>
      <c r="D160" s="40"/>
      <c r="E160" s="40"/>
      <c r="G160" s="65" t="s">
        <v>69</v>
      </c>
      <c r="H160" s="149" t="e">
        <f>F187*F189*F188</f>
        <v>#VALUE!</v>
      </c>
      <c r="I160" s="40" t="s">
        <v>121</v>
      </c>
      <c r="K160" s="40"/>
      <c r="N160" s="71">
        <v>150</v>
      </c>
      <c r="O160" s="109">
        <v>1.28</v>
      </c>
      <c r="P160" s="40"/>
      <c r="Q160" s="109">
        <v>6</v>
      </c>
      <c r="R160" s="109">
        <v>0.98</v>
      </c>
      <c r="S160" s="40"/>
      <c r="T160" s="40"/>
      <c r="U160" s="40"/>
      <c r="V160" s="40"/>
      <c r="W160" s="40"/>
      <c r="X160" s="78"/>
      <c r="Y160" s="78"/>
      <c r="Z160" s="78"/>
      <c r="AA160" s="78"/>
      <c r="AB160" s="40"/>
      <c r="AC160" s="40"/>
    </row>
    <row r="161" spans="1:29" ht="15.6" thickTop="1" thickBot="1" x14ac:dyDescent="0.35">
      <c r="A161" s="41" t="s">
        <v>66</v>
      </c>
      <c r="B161" s="42">
        <v>1800</v>
      </c>
      <c r="D161" s="40"/>
      <c r="E161" s="40"/>
      <c r="G161" s="65" t="s">
        <v>71</v>
      </c>
      <c r="H161" s="66" t="e">
        <f>0.5*H160*(C194^2)*'[1]Feuille de calculs'!$L$8</f>
        <v>#VALUE!</v>
      </c>
      <c r="I161" s="62"/>
      <c r="J161" s="62"/>
      <c r="K161" s="62"/>
      <c r="L161" s="62"/>
      <c r="N161" s="71">
        <v>180</v>
      </c>
      <c r="O161" s="109">
        <v>1.4</v>
      </c>
      <c r="P161" s="40"/>
      <c r="Q161" s="109">
        <v>7</v>
      </c>
      <c r="R161" s="109">
        <v>1</v>
      </c>
      <c r="S161" s="40"/>
      <c r="T161" s="40"/>
      <c r="U161" s="40"/>
      <c r="V161" s="40"/>
      <c r="W161" s="40"/>
      <c r="X161" s="78"/>
      <c r="Y161" s="78"/>
      <c r="Z161" s="78"/>
      <c r="AA161" s="78"/>
      <c r="AB161" s="40"/>
      <c r="AC161" s="40"/>
    </row>
    <row r="162" spans="1:29" ht="15" thickBot="1" x14ac:dyDescent="0.35">
      <c r="A162" s="41" t="s">
        <v>174</v>
      </c>
      <c r="B162" s="42">
        <v>200</v>
      </c>
      <c r="D162" s="40"/>
      <c r="E162" s="40"/>
      <c r="H162" s="40"/>
      <c r="I162" s="62"/>
      <c r="J162" s="62"/>
      <c r="K162" s="62"/>
      <c r="L162" s="62"/>
      <c r="N162" s="40"/>
      <c r="O162" s="40"/>
      <c r="P162" s="40"/>
      <c r="Q162" s="109">
        <v>8</v>
      </c>
      <c r="R162" s="109">
        <v>1</v>
      </c>
      <c r="S162" s="40"/>
      <c r="T162" s="40"/>
      <c r="U162" s="40"/>
      <c r="V162" s="40"/>
      <c r="W162" s="40"/>
      <c r="X162" s="78"/>
      <c r="Y162" s="78"/>
      <c r="Z162" s="78"/>
      <c r="AA162" s="78"/>
      <c r="AB162" s="40"/>
      <c r="AC162" s="40"/>
    </row>
    <row r="163" spans="1:29" ht="15" thickBot="1" x14ac:dyDescent="0.35">
      <c r="A163" s="41" t="s">
        <v>175</v>
      </c>
      <c r="B163" s="42">
        <v>600</v>
      </c>
      <c r="D163" s="40"/>
      <c r="E163" s="40"/>
      <c r="G163" s="70" t="s">
        <v>72</v>
      </c>
      <c r="H163" s="71">
        <v>1</v>
      </c>
      <c r="M163" s="62"/>
      <c r="N163" s="40"/>
      <c r="O163" s="40"/>
      <c r="P163" s="40"/>
      <c r="Q163" s="40"/>
      <c r="R163" s="40"/>
      <c r="S163" s="40"/>
      <c r="T163" s="40"/>
      <c r="U163" s="40"/>
      <c r="V163" s="78"/>
      <c r="W163" s="78"/>
      <c r="X163" s="78"/>
      <c r="Y163" s="78"/>
      <c r="Z163" s="40"/>
      <c r="AA163" s="40"/>
    </row>
    <row r="164" spans="1:29" x14ac:dyDescent="0.3">
      <c r="D164" s="40"/>
      <c r="E164" s="40"/>
      <c r="H164" s="40"/>
      <c r="M164" s="62"/>
    </row>
    <row r="165" spans="1:29" x14ac:dyDescent="0.3">
      <c r="A165" s="40"/>
      <c r="B165" s="134" t="s">
        <v>124</v>
      </c>
      <c r="D165" s="40"/>
      <c r="E165" s="40"/>
    </row>
    <row r="166" spans="1:29" x14ac:dyDescent="0.3">
      <c r="A166" s="40"/>
      <c r="B166" s="40"/>
      <c r="C166" s="40"/>
      <c r="D166" s="40"/>
      <c r="E166" s="40"/>
      <c r="H166" s="40"/>
    </row>
    <row r="167" spans="1:29" hidden="1" outlineLevel="1" x14ac:dyDescent="0.3">
      <c r="A167" s="40"/>
      <c r="B167" s="40"/>
      <c r="C167" s="40"/>
      <c r="D167" s="40"/>
      <c r="E167" s="40"/>
      <c r="H167" s="40"/>
      <c r="I167" s="40"/>
      <c r="J167" s="40"/>
      <c r="K167" s="40"/>
      <c r="L167" s="68" t="s">
        <v>125</v>
      </c>
      <c r="M167" s="40"/>
      <c r="N167" s="40"/>
      <c r="O167" s="40"/>
      <c r="P167" s="40"/>
      <c r="Q167" s="40"/>
      <c r="R167" s="40"/>
      <c r="S167" s="40"/>
      <c r="T167" s="40"/>
      <c r="U167" s="40"/>
      <c r="V167" s="78"/>
      <c r="W167" s="78"/>
      <c r="X167" s="78"/>
      <c r="Y167" s="78"/>
      <c r="Z167" s="40"/>
      <c r="AA167" s="40"/>
    </row>
    <row r="168" spans="1:29" hidden="1" outlineLevel="1" x14ac:dyDescent="0.3">
      <c r="A168" s="40"/>
      <c r="B168" s="68" t="s">
        <v>176</v>
      </c>
      <c r="C168" s="40"/>
      <c r="D168" s="40"/>
      <c r="E168" s="40"/>
      <c r="F168" s="40"/>
      <c r="G168" s="40"/>
      <c r="H168" s="40"/>
      <c r="I168" s="40"/>
      <c r="J168" s="40"/>
      <c r="K168" s="40"/>
      <c r="L168" s="71" t="s">
        <v>177</v>
      </c>
      <c r="M168" s="71" t="s">
        <v>178</v>
      </c>
      <c r="N168" s="40" t="s">
        <v>179</v>
      </c>
      <c r="O168" s="40"/>
      <c r="P168" s="76">
        <f>VLOOKUP(B160,L169:M179,1)</f>
        <v>90</v>
      </c>
      <c r="Q168" s="40"/>
      <c r="R168" s="71" t="s">
        <v>153</v>
      </c>
      <c r="S168" s="71" t="s">
        <v>154</v>
      </c>
      <c r="T168" s="40" t="s">
        <v>180</v>
      </c>
      <c r="U168" s="40"/>
      <c r="V168" s="78"/>
      <c r="W168" s="78"/>
      <c r="X168" s="78"/>
      <c r="Y168" s="78"/>
      <c r="Z168" s="40"/>
      <c r="AA168" s="40"/>
    </row>
    <row r="169" spans="1:29" hidden="1" outlineLevel="1" x14ac:dyDescent="0.3">
      <c r="A169" s="40"/>
      <c r="B169" s="68" t="s">
        <v>181</v>
      </c>
      <c r="C169" s="40"/>
      <c r="D169" s="40"/>
      <c r="E169" s="40"/>
      <c r="F169" s="40"/>
      <c r="G169" s="40"/>
      <c r="H169" s="40"/>
      <c r="I169" s="40"/>
      <c r="J169" s="40"/>
      <c r="K169" s="40"/>
      <c r="L169" s="71">
        <v>0</v>
      </c>
      <c r="M169" s="71">
        <v>20</v>
      </c>
      <c r="N169" s="40" t="s">
        <v>182</v>
      </c>
      <c r="O169" s="40"/>
      <c r="P169" s="76">
        <f>VLOOKUP(B160,L169:M179,2)</f>
        <v>110</v>
      </c>
      <c r="Q169" s="40"/>
      <c r="R169" s="109">
        <v>0.25</v>
      </c>
      <c r="S169" s="109">
        <v>0.5</v>
      </c>
      <c r="T169" s="40" t="s">
        <v>183</v>
      </c>
      <c r="U169" s="40"/>
      <c r="V169" s="78"/>
      <c r="W169" s="78"/>
      <c r="X169" s="78"/>
      <c r="Y169" s="78"/>
      <c r="Z169" s="40"/>
      <c r="AA169" s="40"/>
    </row>
    <row r="170" spans="1:29" hidden="1" outlineLevel="1" x14ac:dyDescent="0.3">
      <c r="A170" s="40"/>
      <c r="B170" s="71" t="s">
        <v>172</v>
      </c>
      <c r="C170" s="164">
        <f>IF(C190&gt;0.2,C190,0.2)</f>
        <v>0.66666666666666663</v>
      </c>
      <c r="D170" s="40"/>
      <c r="E170" s="40"/>
      <c r="F170" s="40"/>
      <c r="G170" s="40"/>
      <c r="H170" s="40"/>
      <c r="I170" s="40"/>
      <c r="J170" s="40"/>
      <c r="K170" s="40"/>
      <c r="L170" s="71">
        <v>20</v>
      </c>
      <c r="M170" s="71">
        <v>30</v>
      </c>
      <c r="N170" s="40"/>
      <c r="O170" s="40"/>
      <c r="P170" s="40"/>
      <c r="Q170" s="40"/>
      <c r="R170" s="109">
        <v>0.5</v>
      </c>
      <c r="S170" s="109">
        <v>0.75</v>
      </c>
      <c r="T170" s="40"/>
      <c r="U170" s="40"/>
      <c r="V170" s="78"/>
      <c r="W170" s="78"/>
      <c r="X170" s="78"/>
      <c r="Y170" s="78"/>
      <c r="Z170" s="40"/>
      <c r="AA170" s="40"/>
    </row>
    <row r="171" spans="1:29" hidden="1" outlineLevel="1" x14ac:dyDescent="0.3">
      <c r="A171" s="40"/>
      <c r="B171" s="71" t="s">
        <v>184</v>
      </c>
      <c r="C171" s="164">
        <f>IF(C191&gt;0.1,C191,0.1)</f>
        <v>0.25</v>
      </c>
      <c r="D171" s="40"/>
      <c r="E171" s="40"/>
      <c r="F171" s="40"/>
      <c r="G171" s="40"/>
      <c r="H171" s="40"/>
      <c r="I171" s="40"/>
      <c r="J171" s="40"/>
      <c r="K171" s="40"/>
      <c r="L171" s="71">
        <v>30</v>
      </c>
      <c r="M171" s="71">
        <v>45</v>
      </c>
      <c r="N171" s="40" t="s">
        <v>185</v>
      </c>
      <c r="O171" s="40"/>
      <c r="P171" s="76">
        <f>VLOOKUP(P168,N151:O161,2)</f>
        <v>1</v>
      </c>
      <c r="Q171" s="40"/>
      <c r="R171" s="109">
        <v>0.75</v>
      </c>
      <c r="S171" s="109">
        <v>1</v>
      </c>
      <c r="T171" s="40" t="s">
        <v>186</v>
      </c>
      <c r="U171" s="40"/>
      <c r="V171" s="78"/>
      <c r="W171" s="78"/>
      <c r="X171" s="78"/>
      <c r="Y171" s="78"/>
      <c r="Z171" s="40"/>
      <c r="AA171" s="40"/>
    </row>
    <row r="172" spans="1:29" hidden="1" outlineLevel="1" x14ac:dyDescent="0.3">
      <c r="A172" s="40"/>
      <c r="B172" s="40"/>
      <c r="C172" s="40"/>
      <c r="D172" s="40"/>
      <c r="E172" s="40"/>
      <c r="F172" s="40"/>
      <c r="G172" s="40"/>
      <c r="H172" s="40"/>
      <c r="I172" s="40"/>
      <c r="J172" s="40"/>
      <c r="K172" s="40"/>
      <c r="L172" s="71">
        <v>45</v>
      </c>
      <c r="M172" s="71">
        <v>60</v>
      </c>
      <c r="N172" s="40" t="s">
        <v>187</v>
      </c>
      <c r="O172" s="40"/>
      <c r="P172" s="76">
        <f>VLOOKUP(P169,N151:O161,2)</f>
        <v>1.1299999999999999</v>
      </c>
      <c r="Q172" s="40"/>
      <c r="R172" s="109">
        <v>1</v>
      </c>
      <c r="S172" s="109">
        <v>1.5</v>
      </c>
      <c r="T172" s="40" t="s">
        <v>188</v>
      </c>
      <c r="U172" s="40"/>
      <c r="V172" s="78"/>
      <c r="W172" s="78"/>
      <c r="X172" s="78"/>
      <c r="Y172" s="78"/>
      <c r="Z172" s="40">
        <v>0.15</v>
      </c>
      <c r="AA172" s="40"/>
    </row>
    <row r="173" spans="1:29" hidden="1" outlineLevel="1" x14ac:dyDescent="0.3">
      <c r="A173" s="40"/>
      <c r="B173" s="68" t="s">
        <v>189</v>
      </c>
      <c r="C173" s="40"/>
      <c r="D173" s="40"/>
      <c r="E173" s="40"/>
      <c r="F173" s="40"/>
      <c r="G173" s="40"/>
      <c r="H173" s="40"/>
      <c r="I173" s="40"/>
      <c r="J173" s="40"/>
      <c r="K173" s="40"/>
      <c r="L173" s="71">
        <v>60</v>
      </c>
      <c r="M173" s="71">
        <v>75</v>
      </c>
      <c r="N173" s="40"/>
      <c r="O173" s="40"/>
      <c r="P173" s="40"/>
      <c r="Q173" s="40"/>
      <c r="R173" s="109">
        <v>1.5</v>
      </c>
      <c r="S173" s="109">
        <v>2</v>
      </c>
      <c r="T173" s="40"/>
      <c r="U173" s="40"/>
      <c r="V173" s="78"/>
      <c r="W173" s="78"/>
      <c r="X173" s="78"/>
      <c r="Y173" s="78"/>
      <c r="Z173" s="40">
        <v>0.2</v>
      </c>
      <c r="AA173" s="40"/>
    </row>
    <row r="174" spans="1:29" hidden="1" outlineLevel="1" x14ac:dyDescent="0.3">
      <c r="A174" s="40"/>
      <c r="B174" s="40"/>
      <c r="C174" s="40"/>
      <c r="D174" s="165" t="s">
        <v>172</v>
      </c>
      <c r="E174" s="166"/>
      <c r="F174" s="40"/>
      <c r="G174" s="40"/>
      <c r="H174" s="40"/>
      <c r="I174" s="72" t="s">
        <v>190</v>
      </c>
      <c r="J174" s="72"/>
      <c r="K174" s="40"/>
      <c r="L174" s="71">
        <v>75</v>
      </c>
      <c r="M174" s="71">
        <v>90</v>
      </c>
      <c r="N174" s="40" t="s">
        <v>191</v>
      </c>
      <c r="O174" s="40"/>
      <c r="P174" s="40"/>
      <c r="Q174" s="40"/>
      <c r="R174" s="109">
        <v>2</v>
      </c>
      <c r="S174" s="109">
        <v>3</v>
      </c>
      <c r="T174" s="40" t="s">
        <v>191</v>
      </c>
      <c r="U174" s="40"/>
      <c r="V174" s="78"/>
      <c r="W174" s="78"/>
      <c r="X174" s="78"/>
      <c r="Y174" s="78"/>
      <c r="Z174" s="40">
        <v>0.3</v>
      </c>
      <c r="AA174" s="40"/>
    </row>
    <row r="175" spans="1:29" ht="15" hidden="1" outlineLevel="1" thickBot="1" x14ac:dyDescent="0.35">
      <c r="A175" s="40"/>
      <c r="B175" s="40"/>
      <c r="C175" s="40"/>
      <c r="D175" s="167">
        <f>IF(C170&gt;0.2,HLOOKUP(C170,M183:T191,1),0.2)</f>
        <v>0.5</v>
      </c>
      <c r="E175" s="168">
        <f>IF(C170&lt;5,HLOOKUP(C170,M183:T191,9),5)</f>
        <v>1</v>
      </c>
      <c r="F175" s="40"/>
      <c r="G175" s="40"/>
      <c r="H175" s="40"/>
      <c r="I175" s="76">
        <f>IF(C170&gt;0.2,HLOOKUP(C170,M183:T191,8),2)</f>
        <v>3</v>
      </c>
      <c r="J175" s="76">
        <f>IF(C170&lt;5,I175+1,9)</f>
        <v>4</v>
      </c>
      <c r="K175" s="40"/>
      <c r="L175" s="71">
        <v>90</v>
      </c>
      <c r="M175" s="71">
        <v>110</v>
      </c>
      <c r="N175" s="40" t="s">
        <v>192</v>
      </c>
      <c r="O175" s="40"/>
      <c r="P175" s="77">
        <f>IF(B160&lt;180,(B160-P168)/(P169-P168)*(P172-P171)+P171,O161)</f>
        <v>1</v>
      </c>
      <c r="Q175" s="40"/>
      <c r="R175" s="109">
        <v>3</v>
      </c>
      <c r="S175" s="109">
        <v>4</v>
      </c>
      <c r="T175" s="40" t="s">
        <v>193</v>
      </c>
      <c r="U175" s="40"/>
      <c r="V175" s="78"/>
      <c r="W175" s="78"/>
      <c r="X175" s="78"/>
      <c r="Y175" s="78"/>
      <c r="Z175" s="40">
        <v>0.4</v>
      </c>
      <c r="AA175" s="40"/>
    </row>
    <row r="176" spans="1:29" hidden="1" outlineLevel="1" x14ac:dyDescent="0.3">
      <c r="A176" s="40"/>
      <c r="B176" s="169" t="s">
        <v>184</v>
      </c>
      <c r="C176" s="68"/>
      <c r="D176" s="40" t="s">
        <v>194</v>
      </c>
      <c r="E176" s="40" t="s">
        <v>195</v>
      </c>
      <c r="F176" s="40"/>
      <c r="G176" s="72" t="s">
        <v>196</v>
      </c>
      <c r="H176" s="40"/>
      <c r="I176" s="40" t="s">
        <v>194</v>
      </c>
      <c r="J176" s="40" t="s">
        <v>195</v>
      </c>
      <c r="K176" s="40"/>
      <c r="L176" s="71">
        <v>110</v>
      </c>
      <c r="M176" s="71">
        <v>130</v>
      </c>
      <c r="N176" s="40"/>
      <c r="O176" s="40"/>
      <c r="P176" s="40"/>
      <c r="Q176" s="40"/>
      <c r="R176" s="109">
        <v>4</v>
      </c>
      <c r="S176" s="109">
        <v>5</v>
      </c>
      <c r="T176" s="40"/>
      <c r="U176" s="40"/>
      <c r="V176" s="78"/>
      <c r="W176" s="78"/>
      <c r="X176" s="78"/>
      <c r="Y176" s="78"/>
      <c r="Z176" s="40">
        <v>1</v>
      </c>
      <c r="AA176" s="40"/>
    </row>
    <row r="177" spans="1:27" hidden="1" outlineLevel="1" x14ac:dyDescent="0.3">
      <c r="A177" s="40"/>
      <c r="B177" s="170">
        <f>IF(C171&gt;0.1,VLOOKUP(C171,L184:T189,1),0.1)</f>
        <v>0.2</v>
      </c>
      <c r="C177" s="40" t="s">
        <v>197</v>
      </c>
      <c r="D177" s="77" t="e">
        <f>INDEX(L183:T189,G177,I175)</f>
        <v>#VALUE!</v>
      </c>
      <c r="E177" s="77" t="e">
        <f>INDEX(L183:T189,G177,J175)</f>
        <v>#VALUE!</v>
      </c>
      <c r="F177" s="40"/>
      <c r="G177" s="76">
        <f>IF(C171&gt;0.1,VLOOKUP(B177,L184:Z189,15),2)</f>
        <v>0</v>
      </c>
      <c r="H177" s="40" t="s">
        <v>197</v>
      </c>
      <c r="I177" s="40"/>
      <c r="J177" s="40"/>
      <c r="K177" s="40"/>
      <c r="L177" s="71">
        <v>130</v>
      </c>
      <c r="M177" s="71">
        <v>150</v>
      </c>
      <c r="N177" s="40"/>
      <c r="O177" s="40"/>
      <c r="P177" s="40"/>
      <c r="Q177" s="40"/>
      <c r="R177" s="109">
        <v>5</v>
      </c>
      <c r="S177" s="109">
        <v>6</v>
      </c>
      <c r="T177" s="40"/>
      <c r="U177" s="40"/>
      <c r="V177" s="78"/>
      <c r="W177" s="78"/>
      <c r="X177" s="78"/>
      <c r="Y177" s="78"/>
      <c r="Z177" s="40">
        <v>1</v>
      </c>
      <c r="AA177" s="40"/>
    </row>
    <row r="178" spans="1:27" ht="15" hidden="1" outlineLevel="1" thickBot="1" x14ac:dyDescent="0.35">
      <c r="A178" s="40"/>
      <c r="B178" s="171">
        <f>IF(C171&lt;1,VLOOKUP(C171,L184:AA189,11),1)</f>
        <v>0</v>
      </c>
      <c r="C178" s="40" t="s">
        <v>160</v>
      </c>
      <c r="D178" s="77">
        <f>INDEX(L183:T189,G178,I175)</f>
        <v>0.5</v>
      </c>
      <c r="E178" s="77">
        <f>INDEX(L183:T189,G178,J175)</f>
        <v>1</v>
      </c>
      <c r="F178" s="40"/>
      <c r="G178" s="76">
        <f>IF(C171&lt;1,G177+1,7)</f>
        <v>1</v>
      </c>
      <c r="H178" s="40" t="s">
        <v>160</v>
      </c>
      <c r="I178" s="40"/>
      <c r="J178" s="40"/>
      <c r="K178" s="40"/>
      <c r="L178" s="71">
        <v>150</v>
      </c>
      <c r="M178" s="71">
        <v>180</v>
      </c>
      <c r="N178" s="40"/>
      <c r="O178" s="40"/>
      <c r="P178" s="40"/>
      <c r="Q178" s="40"/>
      <c r="R178" s="109">
        <v>6</v>
      </c>
      <c r="S178" s="109">
        <v>7</v>
      </c>
      <c r="T178" s="40"/>
      <c r="U178" s="40"/>
      <c r="V178" s="78"/>
      <c r="W178" s="78"/>
      <c r="X178" s="78"/>
      <c r="Y178" s="78"/>
      <c r="Z178" s="40"/>
      <c r="AA178" s="40"/>
    </row>
    <row r="179" spans="1:27" hidden="1" outlineLevel="1" x14ac:dyDescent="0.3">
      <c r="A179" s="40"/>
      <c r="B179" s="40"/>
      <c r="C179" s="40"/>
      <c r="D179" s="40"/>
      <c r="E179" s="40"/>
      <c r="F179" s="40"/>
      <c r="G179" s="40"/>
      <c r="H179" s="40"/>
      <c r="I179" s="40"/>
      <c r="J179" s="40"/>
      <c r="K179" s="40"/>
      <c r="L179" s="71">
        <v>180</v>
      </c>
      <c r="M179" s="172">
        <v>180</v>
      </c>
      <c r="N179" s="40"/>
      <c r="O179" s="40"/>
      <c r="P179" s="40"/>
      <c r="Q179" s="40"/>
      <c r="R179" s="109">
        <v>7</v>
      </c>
      <c r="S179" s="109">
        <v>8</v>
      </c>
      <c r="T179" s="40"/>
      <c r="U179" s="40"/>
      <c r="V179" s="78"/>
      <c r="W179" s="78"/>
      <c r="X179" s="78"/>
      <c r="Y179" s="78"/>
      <c r="Z179" s="40"/>
      <c r="AA179" s="40"/>
    </row>
    <row r="180" spans="1:27" hidden="1" outlineLevel="1" x14ac:dyDescent="0.3">
      <c r="A180" s="40"/>
      <c r="B180" s="40"/>
      <c r="C180" s="40"/>
      <c r="D180" s="40"/>
      <c r="E180" s="40"/>
      <c r="F180" s="40"/>
      <c r="G180" s="40"/>
      <c r="H180" s="40"/>
      <c r="I180" s="40"/>
      <c r="J180" s="40"/>
      <c r="K180" s="40"/>
      <c r="L180" s="46"/>
      <c r="M180" s="173"/>
      <c r="N180" s="40"/>
      <c r="O180" s="40"/>
      <c r="P180" s="40"/>
      <c r="Q180" s="40"/>
      <c r="R180" s="109">
        <v>8</v>
      </c>
      <c r="S180" s="109">
        <v>8</v>
      </c>
      <c r="T180" s="40"/>
      <c r="U180" s="40"/>
      <c r="V180" s="78"/>
      <c r="W180" s="78"/>
      <c r="X180" s="78"/>
      <c r="Y180" s="78"/>
      <c r="Z180" s="40"/>
      <c r="AA180" s="40"/>
    </row>
    <row r="181" spans="1:27" hidden="1" outlineLevel="1" x14ac:dyDescent="0.3">
      <c r="A181" s="40"/>
      <c r="B181" s="40" t="s">
        <v>161</v>
      </c>
      <c r="C181" s="40"/>
      <c r="D181" s="40"/>
      <c r="E181" s="40"/>
      <c r="F181" s="40"/>
      <c r="G181" s="40"/>
      <c r="H181" s="77" t="e">
        <f>IF(C170&lt;5,(C170-D175)/(E175-D175)*(E177-D177)+D177,D177)</f>
        <v>#VALUE!</v>
      </c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79"/>
      <c r="W181" s="78"/>
      <c r="X181" s="78"/>
      <c r="Y181" s="78"/>
      <c r="Z181" s="40"/>
      <c r="AA181" s="40"/>
    </row>
    <row r="182" spans="1:27" hidden="1" outlineLevel="1" x14ac:dyDescent="0.3">
      <c r="A182" s="40"/>
      <c r="B182" s="40" t="s">
        <v>163</v>
      </c>
      <c r="C182" s="40"/>
      <c r="D182" s="40"/>
      <c r="E182" s="40"/>
      <c r="F182" s="40"/>
      <c r="G182" s="40"/>
      <c r="H182" s="77">
        <f>IF(C170&lt;5,(C170-D175)/(E175-D175)*(E178-D178)+D178,D178)</f>
        <v>0.66666666666666663</v>
      </c>
      <c r="I182" s="40"/>
      <c r="J182" s="40"/>
      <c r="K182" s="40"/>
      <c r="L182" s="154"/>
      <c r="M182" s="138" t="s">
        <v>172</v>
      </c>
      <c r="N182" s="138" t="s">
        <v>172</v>
      </c>
      <c r="O182" s="138" t="s">
        <v>172</v>
      </c>
      <c r="P182" s="138" t="s">
        <v>172</v>
      </c>
      <c r="Q182" s="138" t="s">
        <v>172</v>
      </c>
      <c r="R182" s="138" t="s">
        <v>172</v>
      </c>
      <c r="S182" s="138" t="s">
        <v>172</v>
      </c>
      <c r="T182" s="139" t="s">
        <v>172</v>
      </c>
      <c r="U182" s="40"/>
      <c r="V182" s="78"/>
      <c r="W182" s="78"/>
      <c r="X182" s="78"/>
      <c r="Y182" s="78"/>
      <c r="Z182" s="40"/>
      <c r="AA182" s="40"/>
    </row>
    <row r="183" spans="1:27" ht="27.6" hidden="1" outlineLevel="1" thickBot="1" x14ac:dyDescent="0.35">
      <c r="A183" s="40"/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155" t="s">
        <v>173</v>
      </c>
      <c r="M183" s="141">
        <v>0.2</v>
      </c>
      <c r="N183" s="142">
        <v>0.5</v>
      </c>
      <c r="O183" s="142">
        <v>1</v>
      </c>
      <c r="P183" s="142">
        <v>1.5</v>
      </c>
      <c r="Q183" s="142">
        <v>2</v>
      </c>
      <c r="R183" s="142">
        <v>3</v>
      </c>
      <c r="S183" s="142">
        <v>4</v>
      </c>
      <c r="T183" s="143">
        <v>5</v>
      </c>
      <c r="U183" s="40"/>
      <c r="V183" s="78"/>
      <c r="W183" s="78"/>
      <c r="X183" s="78"/>
      <c r="Y183" s="78"/>
      <c r="Z183" s="40"/>
      <c r="AA183" s="40"/>
    </row>
    <row r="184" spans="1:27" hidden="1" outlineLevel="1" x14ac:dyDescent="0.3">
      <c r="A184" s="40"/>
      <c r="B184" s="70" t="s">
        <v>167</v>
      </c>
      <c r="C184" s="174" t="e">
        <f>IF(C171&lt;1,(C171-B177)/(B178-B177)*(H182-H181)+H181,(C170-D175)/(E175-D175)*(E177-D177)+D177)</f>
        <v>#VALUE!</v>
      </c>
      <c r="D184" s="40"/>
      <c r="E184" s="40"/>
      <c r="F184" s="40"/>
      <c r="G184" s="40"/>
      <c r="H184" s="40"/>
      <c r="I184" s="40"/>
      <c r="J184" s="40"/>
      <c r="K184" s="40"/>
      <c r="L184" s="156">
        <v>0.1</v>
      </c>
      <c r="M184" s="157">
        <v>0.2</v>
      </c>
      <c r="N184" s="54">
        <v>0.45</v>
      </c>
      <c r="O184" s="54">
        <v>0.69</v>
      </c>
      <c r="P184" s="54">
        <v>0.78</v>
      </c>
      <c r="Q184" s="54">
        <v>0.83</v>
      </c>
      <c r="R184" s="54">
        <v>0.88</v>
      </c>
      <c r="S184" s="54">
        <v>0.91</v>
      </c>
      <c r="T184" s="158">
        <v>0.93</v>
      </c>
      <c r="U184" s="40"/>
      <c r="V184" s="78"/>
      <c r="W184" s="78"/>
      <c r="X184" s="78"/>
      <c r="Y184" s="78"/>
      <c r="Z184" s="40"/>
      <c r="AA184" s="40"/>
    </row>
    <row r="185" spans="1:27" hidden="1" outlineLevel="1" x14ac:dyDescent="0.3">
      <c r="A185" s="40"/>
      <c r="B185" s="40" t="s">
        <v>198</v>
      </c>
      <c r="C185" s="40"/>
      <c r="D185" s="40"/>
      <c r="E185" s="40" t="b">
        <f>AND(C170&gt;=5,C171&gt;=1)</f>
        <v>0</v>
      </c>
      <c r="F185" s="40"/>
      <c r="G185" s="40"/>
      <c r="H185" s="40"/>
      <c r="I185" s="40"/>
      <c r="J185" s="40"/>
      <c r="K185" s="40"/>
      <c r="L185" s="159">
        <v>0.15</v>
      </c>
      <c r="M185" s="160">
        <v>0.13</v>
      </c>
      <c r="N185" s="109">
        <v>0.32</v>
      </c>
      <c r="O185" s="109">
        <v>0.56999999999999995</v>
      </c>
      <c r="P185" s="109">
        <v>0.68</v>
      </c>
      <c r="Q185" s="109">
        <v>0.76</v>
      </c>
      <c r="R185" s="109">
        <v>0.83</v>
      </c>
      <c r="S185" s="109">
        <v>0.87</v>
      </c>
      <c r="T185" s="148">
        <v>0.89</v>
      </c>
      <c r="U185" s="40"/>
      <c r="V185" s="78"/>
      <c r="W185" s="78"/>
      <c r="X185" s="78"/>
      <c r="Y185" s="78"/>
      <c r="Z185" s="40"/>
      <c r="AA185" s="40"/>
    </row>
    <row r="186" spans="1:27" hidden="1" outlineLevel="1" x14ac:dyDescent="0.3">
      <c r="A186" s="79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159">
        <v>0.2</v>
      </c>
      <c r="M186" s="160">
        <v>0.08</v>
      </c>
      <c r="N186" s="109">
        <v>0.2</v>
      </c>
      <c r="O186" s="109">
        <v>0.45</v>
      </c>
      <c r="P186" s="109">
        <v>0.57999999999999996</v>
      </c>
      <c r="Q186" s="109">
        <v>0.67</v>
      </c>
      <c r="R186" s="109">
        <v>0.76</v>
      </c>
      <c r="S186" s="109">
        <v>0.81</v>
      </c>
      <c r="T186" s="148">
        <v>0.85</v>
      </c>
      <c r="U186" s="40"/>
      <c r="V186" s="78"/>
      <c r="W186" s="78"/>
      <c r="X186" s="78"/>
      <c r="Y186" s="78"/>
      <c r="Z186" s="40"/>
      <c r="AA186" s="40"/>
    </row>
    <row r="187" spans="1:27" hidden="1" outlineLevel="1" x14ac:dyDescent="0.3">
      <c r="A187" s="40"/>
      <c r="B187" s="72" t="s">
        <v>126</v>
      </c>
      <c r="C187" s="152">
        <f>B162</f>
        <v>200</v>
      </c>
      <c r="E187" s="72" t="s">
        <v>199</v>
      </c>
      <c r="F187" s="164">
        <f>P175</f>
        <v>1</v>
      </c>
      <c r="H187" s="40"/>
      <c r="I187" s="40"/>
      <c r="J187" s="40"/>
      <c r="K187" s="40"/>
      <c r="L187" s="159">
        <v>0.3</v>
      </c>
      <c r="M187" s="160">
        <v>0.06</v>
      </c>
      <c r="N187" s="109">
        <v>0.13</v>
      </c>
      <c r="O187" s="109">
        <v>0.3</v>
      </c>
      <c r="P187" s="109">
        <v>0.45</v>
      </c>
      <c r="Q187" s="109">
        <v>0.56000000000000005</v>
      </c>
      <c r="R187" s="109">
        <v>0.67</v>
      </c>
      <c r="S187" s="109">
        <v>0.74</v>
      </c>
      <c r="T187" s="148">
        <v>0.79</v>
      </c>
      <c r="U187" s="40"/>
      <c r="V187" s="78"/>
      <c r="W187" s="78"/>
      <c r="X187" s="78"/>
      <c r="Y187" s="78"/>
      <c r="Z187" s="40"/>
      <c r="AA187" s="40"/>
    </row>
    <row r="188" spans="1:27" hidden="1" outlineLevel="1" x14ac:dyDescent="0.3">
      <c r="A188" s="40"/>
      <c r="B188" s="72" t="s">
        <v>138</v>
      </c>
      <c r="C188" s="73">
        <f>MIN(B163,H151)</f>
        <v>400</v>
      </c>
      <c r="E188" s="72" t="s">
        <v>200</v>
      </c>
      <c r="F188" s="164">
        <f>IF(C189&gt;0.25,VLOOKUP(C189,Q151:R162,2),1.3)</f>
        <v>1.3</v>
      </c>
      <c r="H188" s="40"/>
      <c r="I188" s="40"/>
      <c r="J188" s="40"/>
      <c r="K188" s="40"/>
      <c r="L188" s="159">
        <v>0.4</v>
      </c>
      <c r="M188" s="160">
        <v>0.04</v>
      </c>
      <c r="N188" s="109">
        <v>0.1</v>
      </c>
      <c r="O188" s="109">
        <v>0.25</v>
      </c>
      <c r="P188" s="109">
        <v>0.4</v>
      </c>
      <c r="Q188" s="109">
        <v>0.51</v>
      </c>
      <c r="R188" s="109">
        <v>0.64</v>
      </c>
      <c r="S188" s="109">
        <v>0.7</v>
      </c>
      <c r="T188" s="148">
        <v>0.76</v>
      </c>
      <c r="U188" s="40"/>
      <c r="V188" s="78"/>
      <c r="W188" s="78"/>
      <c r="X188" s="78"/>
      <c r="Y188" s="78"/>
      <c r="Z188" s="40"/>
      <c r="AA188" s="40"/>
    </row>
    <row r="189" spans="1:27" ht="15" hidden="1" outlineLevel="1" thickBot="1" x14ac:dyDescent="0.35">
      <c r="A189" s="40"/>
      <c r="B189" s="72" t="s">
        <v>117</v>
      </c>
      <c r="C189" s="164">
        <f>B162/B163</f>
        <v>0.33333333333333331</v>
      </c>
      <c r="E189" s="72" t="s">
        <v>201</v>
      </c>
      <c r="F189" s="164" t="e">
        <f>IF(E185,T189,C184)</f>
        <v>#VALUE!</v>
      </c>
      <c r="H189" s="40"/>
      <c r="I189" s="40"/>
      <c r="J189" s="40"/>
      <c r="K189" s="40"/>
      <c r="L189" s="161">
        <v>1</v>
      </c>
      <c r="M189" s="162">
        <v>0.04</v>
      </c>
      <c r="N189" s="57">
        <v>0.09</v>
      </c>
      <c r="O189" s="57">
        <v>0.21</v>
      </c>
      <c r="P189" s="57">
        <v>0.35</v>
      </c>
      <c r="Q189" s="57">
        <v>0.47</v>
      </c>
      <c r="R189" s="57">
        <v>0.59</v>
      </c>
      <c r="S189" s="57">
        <v>0.67</v>
      </c>
      <c r="T189" s="163">
        <v>0.73</v>
      </c>
      <c r="U189" s="40"/>
      <c r="V189" s="78"/>
      <c r="W189" s="83"/>
      <c r="X189" s="78"/>
      <c r="Y189" s="78"/>
      <c r="Z189" s="40"/>
      <c r="AA189" s="40"/>
    </row>
    <row r="190" spans="1:27" hidden="1" outlineLevel="1" x14ac:dyDescent="0.3">
      <c r="A190" s="40"/>
      <c r="B190" s="72" t="s">
        <v>202</v>
      </c>
      <c r="C190" s="77">
        <f>C187*H151/(B162*B163)</f>
        <v>0.66666666666666663</v>
      </c>
      <c r="D190" s="40"/>
      <c r="E190" s="40"/>
      <c r="F190" s="40"/>
      <c r="H190" s="40"/>
      <c r="I190" s="40"/>
      <c r="J190" s="40"/>
      <c r="K190" s="40"/>
      <c r="L190" s="40">
        <v>1</v>
      </c>
      <c r="M190" s="40">
        <v>2</v>
      </c>
      <c r="N190" s="40">
        <v>3</v>
      </c>
      <c r="O190" s="40">
        <v>4</v>
      </c>
      <c r="P190" s="40">
        <v>5</v>
      </c>
      <c r="Q190" s="40">
        <v>6</v>
      </c>
      <c r="R190" s="40">
        <v>7</v>
      </c>
      <c r="S190" s="40">
        <v>8</v>
      </c>
      <c r="T190" s="40">
        <v>9</v>
      </c>
      <c r="U190" s="40"/>
      <c r="V190" s="78"/>
      <c r="W190" s="78"/>
      <c r="X190" s="78"/>
      <c r="Y190" s="78"/>
      <c r="Z190" s="40"/>
      <c r="AA190" s="40"/>
    </row>
    <row r="191" spans="1:27" hidden="1" outlineLevel="1" x14ac:dyDescent="0.3">
      <c r="A191" s="40"/>
      <c r="B191" s="72" t="s">
        <v>203</v>
      </c>
      <c r="C191" s="77">
        <f>100/C188</f>
        <v>0.25</v>
      </c>
      <c r="D191" s="40"/>
      <c r="E191" s="40"/>
      <c r="F191" s="40"/>
      <c r="H191" s="40"/>
      <c r="I191" s="40"/>
      <c r="J191" s="40"/>
      <c r="K191" s="40"/>
      <c r="L191" s="40"/>
      <c r="M191" s="40">
        <v>0.5</v>
      </c>
      <c r="N191" s="40">
        <v>1</v>
      </c>
      <c r="O191" s="40">
        <v>1.5</v>
      </c>
      <c r="P191" s="40">
        <v>2</v>
      </c>
      <c r="Q191" s="40">
        <v>3</v>
      </c>
      <c r="R191" s="40">
        <v>4</v>
      </c>
      <c r="S191" s="40">
        <v>5</v>
      </c>
      <c r="T191" s="40">
        <v>5</v>
      </c>
      <c r="U191" s="40"/>
      <c r="V191" s="83"/>
      <c r="W191" s="78"/>
      <c r="X191" s="78"/>
      <c r="Y191" s="78"/>
      <c r="Z191" s="40"/>
      <c r="AA191" s="40"/>
    </row>
    <row r="192" spans="1:27" hidden="1" outlineLevel="1" x14ac:dyDescent="0.3">
      <c r="A192" s="40"/>
      <c r="B192" s="72" t="s">
        <v>132</v>
      </c>
      <c r="C192" s="77">
        <f>B161/3600/(B162*B163)*1000000</f>
        <v>4.166666666666667</v>
      </c>
      <c r="D192" s="40"/>
      <c r="E192" s="40"/>
      <c r="F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83"/>
      <c r="W192" s="78"/>
      <c r="X192" s="78"/>
      <c r="Y192" s="78"/>
      <c r="Z192" s="40"/>
      <c r="AA192" s="40"/>
    </row>
    <row r="193" spans="1:27" hidden="1" outlineLevel="1" x14ac:dyDescent="0.3">
      <c r="A193" s="40"/>
      <c r="B193" s="72" t="s">
        <v>135</v>
      </c>
      <c r="C193" s="77">
        <f>B161/3600/(B162*H151)*1000000</f>
        <v>6.25</v>
      </c>
      <c r="D193" s="40"/>
      <c r="E193" s="40"/>
      <c r="F193" s="40"/>
      <c r="H193" s="40"/>
      <c r="I193" s="40"/>
      <c r="J193" s="40"/>
      <c r="V193" s="78"/>
      <c r="W193" s="78"/>
      <c r="X193" s="78"/>
      <c r="Y193" s="78"/>
      <c r="Z193" s="40"/>
      <c r="AA193" s="40"/>
    </row>
    <row r="194" spans="1:27" hidden="1" outlineLevel="1" x14ac:dyDescent="0.3">
      <c r="B194" s="72" t="s">
        <v>204</v>
      </c>
      <c r="C194" s="77">
        <f>B161/3600/(B162*C188)*1000000</f>
        <v>6.25</v>
      </c>
      <c r="D194" s="40"/>
      <c r="E194" s="40"/>
      <c r="F194" s="40"/>
      <c r="AA194" s="40"/>
    </row>
    <row r="195" spans="1:27" hidden="1" outlineLevel="1" x14ac:dyDescent="0.3">
      <c r="AA195" s="40"/>
    </row>
    <row r="196" spans="1:27" collapsed="1" x14ac:dyDescent="0.3">
      <c r="AA196" s="40"/>
    </row>
    <row r="197" spans="1:27" x14ac:dyDescent="0.3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40"/>
    </row>
    <row r="198" spans="1:27" x14ac:dyDescent="0.3">
      <c r="AA198" s="40"/>
    </row>
    <row r="214" spans="1:14" x14ac:dyDescent="0.3">
      <c r="A214" s="78"/>
      <c r="B214" s="78"/>
      <c r="C214" s="78"/>
      <c r="D214" s="78"/>
      <c r="E214" s="78"/>
      <c r="F214" s="83"/>
      <c r="G214" s="83"/>
      <c r="H214" s="78"/>
      <c r="I214" s="78"/>
      <c r="J214" s="83"/>
      <c r="K214" s="78"/>
      <c r="L214" s="78"/>
      <c r="M214" s="78"/>
      <c r="N214" s="78"/>
    </row>
    <row r="215" spans="1:14" x14ac:dyDescent="0.3">
      <c r="A215" s="78"/>
      <c r="B215" s="78"/>
      <c r="C215" s="78"/>
      <c r="D215" s="78"/>
      <c r="E215" s="78"/>
      <c r="F215" s="83"/>
      <c r="G215" s="83"/>
      <c r="H215" s="78"/>
      <c r="I215" s="78"/>
      <c r="J215" s="78"/>
      <c r="K215" s="78"/>
      <c r="L215" s="78"/>
      <c r="M215" s="78"/>
      <c r="N215" s="78"/>
    </row>
    <row r="216" spans="1:14" x14ac:dyDescent="0.3">
      <c r="A216" s="78"/>
      <c r="B216" s="78"/>
      <c r="C216" s="78"/>
      <c r="D216" s="78"/>
      <c r="E216" s="78"/>
      <c r="F216" s="83"/>
      <c r="G216" s="83"/>
      <c r="H216" s="78"/>
      <c r="I216" s="78"/>
      <c r="J216" s="78"/>
      <c r="K216" s="78"/>
      <c r="L216" s="78"/>
      <c r="M216" s="78"/>
      <c r="N216" s="78"/>
    </row>
    <row r="217" spans="1:14" x14ac:dyDescent="0.3">
      <c r="A217" s="78"/>
      <c r="B217" s="78"/>
      <c r="C217" s="78"/>
      <c r="D217" s="78"/>
      <c r="E217" s="78"/>
      <c r="F217" s="83"/>
      <c r="G217" s="83"/>
      <c r="H217" s="78"/>
      <c r="I217" s="78"/>
      <c r="J217" s="133"/>
      <c r="K217" s="78"/>
      <c r="L217" s="78"/>
      <c r="M217" s="78"/>
      <c r="N217" s="78"/>
    </row>
    <row r="218" spans="1:14" x14ac:dyDescent="0.3">
      <c r="A218" s="78"/>
      <c r="B218" s="78"/>
      <c r="C218" s="78"/>
      <c r="D218" s="78"/>
      <c r="E218" s="78"/>
      <c r="F218" s="83"/>
      <c r="G218" s="83"/>
      <c r="H218" s="78"/>
      <c r="I218" s="78"/>
      <c r="J218" s="78"/>
      <c r="K218" s="78"/>
      <c r="L218" s="78"/>
      <c r="M218" s="78"/>
      <c r="N218" s="78"/>
    </row>
    <row r="219" spans="1:14" x14ac:dyDescent="0.3">
      <c r="A219" s="78"/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</row>
    <row r="220" spans="1:14" x14ac:dyDescent="0.3">
      <c r="A220" s="40"/>
      <c r="B220" s="40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</row>
  </sheetData>
  <mergeCells count="28">
    <mergeCell ref="N58:V58"/>
    <mergeCell ref="N59:V59"/>
    <mergeCell ref="N60:N61"/>
    <mergeCell ref="O60:V60"/>
    <mergeCell ref="N81:Y81"/>
    <mergeCell ref="N82:N83"/>
    <mergeCell ref="O82:O83"/>
    <mergeCell ref="P82:P83"/>
    <mergeCell ref="Q82:Y82"/>
    <mergeCell ref="N16:U16"/>
    <mergeCell ref="N17:U17"/>
    <mergeCell ref="N18:N19"/>
    <mergeCell ref="O18:U18"/>
    <mergeCell ref="N32:O32"/>
    <mergeCell ref="P32:Q32"/>
    <mergeCell ref="R32:S32"/>
    <mergeCell ref="J5:K5"/>
    <mergeCell ref="N9:U9"/>
    <mergeCell ref="W9:X9"/>
    <mergeCell ref="N10:U10"/>
    <mergeCell ref="N11:N12"/>
    <mergeCell ref="O11:U11"/>
    <mergeCell ref="E1:J1"/>
    <mergeCell ref="D2:G2"/>
    <mergeCell ref="D3:I3"/>
    <mergeCell ref="J3:K3"/>
    <mergeCell ref="D4:G4"/>
    <mergeCell ref="J4:K4"/>
  </mergeCells>
  <dataValidations count="5">
    <dataValidation type="list" allowBlank="1" showInputMessage="1" showErrorMessage="1" sqref="C32" xr:uid="{A4489DA2-5C4D-41F3-A99B-2D9B293465A8}">
      <formula1>montageSTU</formula1>
    </dataValidation>
    <dataValidation type="list" sqref="F85" xr:uid="{1A7386D9-50A0-4A7B-8E38-98EF5AD3AA06}">
      <formula1>Nbr_Segments</formula1>
    </dataValidation>
    <dataValidation type="list" sqref="F82" xr:uid="{045DF4E8-5221-4A61-A5A3-781F4D32C403}">
      <formula1>Angle_segments</formula1>
    </dataValidation>
    <dataValidation type="list" sqref="F10 H33" xr:uid="{D2DFD050-148C-4017-AAFB-DCFB275C0147}">
      <formula1>Angle_ccc</formula1>
    </dataValidation>
    <dataValidation type="list" allowBlank="1" sqref="F59" xr:uid="{A5C948C9-736F-4000-9175-B1FCBD32CAB7}">
      <formula1>anglecouderec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outon 1">
              <controlPr defaultSize="0" print="0" autoFill="0" autoPict="0" macro="[1]!envoyer_valeur_ccc">
                <anchor moveWithCells="1">
                  <from>
                    <xdr:col>6</xdr:col>
                    <xdr:colOff>152400</xdr:colOff>
                    <xdr:row>16</xdr:row>
                    <xdr:rowOff>7620</xdr:rowOff>
                  </from>
                  <to>
                    <xdr:col>8</xdr:col>
                    <xdr:colOff>419100</xdr:colOff>
                    <xdr:row>17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outon 3">
              <controlPr defaultSize="0" print="0" autoFill="0" autoPict="0" macro="[1]!mise_zero_compteur_ccc">
                <anchor moveWithCells="1" sizeWithCells="1">
                  <from>
                    <xdr:col>7</xdr:col>
                    <xdr:colOff>22860</xdr:colOff>
                    <xdr:row>17</xdr:row>
                    <xdr:rowOff>152400</xdr:rowOff>
                  </from>
                  <to>
                    <xdr:col>8</xdr:col>
                    <xdr:colOff>731520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outon 4">
              <controlPr defaultSize="0" print="0" autoFill="0" autoPict="0" macro="[1]!retour_compteur_ccc">
                <anchor moveWithCells="1" sizeWithCells="1">
                  <from>
                    <xdr:col>6</xdr:col>
                    <xdr:colOff>45720</xdr:colOff>
                    <xdr:row>17</xdr:row>
                    <xdr:rowOff>152400</xdr:rowOff>
                  </from>
                  <to>
                    <xdr:col>6</xdr:col>
                    <xdr:colOff>731520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outon 11">
              <controlPr defaultSize="0" print="0" autoFill="0" autoPict="0" macro="[1]!envoyer_valeur_couderectangulaire">
                <anchor moveWithCells="1">
                  <from>
                    <xdr:col>6</xdr:col>
                    <xdr:colOff>236220</xdr:colOff>
                    <xdr:row>66</xdr:row>
                    <xdr:rowOff>114300</xdr:rowOff>
                  </from>
                  <to>
                    <xdr:col>8</xdr:col>
                    <xdr:colOff>502920</xdr:colOff>
                    <xdr:row>67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Bouton 12">
              <controlPr defaultSize="0" print="0" autoFill="0" autoPict="0" macro="[1]!mise_zero_compteur_couderectangulaire">
                <anchor moveWithCells="1" sizeWithCells="1">
                  <from>
                    <xdr:col>7</xdr:col>
                    <xdr:colOff>99060</xdr:colOff>
                    <xdr:row>68</xdr:row>
                    <xdr:rowOff>106680</xdr:rowOff>
                  </from>
                  <to>
                    <xdr:col>9</xdr:col>
                    <xdr:colOff>45720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Bouton 13">
              <controlPr defaultSize="0" print="0" autoFill="0" autoPict="0" macro="[1]!retour_compteur_couderectangulaire">
                <anchor moveWithCells="1" sizeWithCells="1">
                  <from>
                    <xdr:col>6</xdr:col>
                    <xdr:colOff>121920</xdr:colOff>
                    <xdr:row>68</xdr:row>
                    <xdr:rowOff>106680</xdr:rowOff>
                  </from>
                  <to>
                    <xdr:col>7</xdr:col>
                    <xdr:colOff>45720</xdr:colOff>
                    <xdr:row>69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Bouton 17">
              <controlPr defaultSize="0" print="0" autoFill="0" autoPict="0" macro="[1]!envoyer_valeur_coudesegments">
                <anchor moveWithCells="1">
                  <from>
                    <xdr:col>6</xdr:col>
                    <xdr:colOff>220980</xdr:colOff>
                    <xdr:row>89</xdr:row>
                    <xdr:rowOff>175260</xdr:rowOff>
                  </from>
                  <to>
                    <xdr:col>8</xdr:col>
                    <xdr:colOff>487680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Bouton 18">
              <controlPr defaultSize="0" print="0" autoFill="0" autoPict="0" macro="[1]!mise_zero_compteur_coudesegments">
                <anchor moveWithCells="1" sizeWithCells="1">
                  <from>
                    <xdr:col>7</xdr:col>
                    <xdr:colOff>76200</xdr:colOff>
                    <xdr:row>91</xdr:row>
                    <xdr:rowOff>160020</xdr:rowOff>
                  </from>
                  <to>
                    <xdr:col>9</xdr:col>
                    <xdr:colOff>30480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Bouton 19">
              <controlPr defaultSize="0" print="0" autoFill="0" autoPict="0" macro="[1]!retour_compteur_coudesegments">
                <anchor moveWithCells="1" sizeWithCells="1">
                  <from>
                    <xdr:col>6</xdr:col>
                    <xdr:colOff>106680</xdr:colOff>
                    <xdr:row>91</xdr:row>
                    <xdr:rowOff>160020</xdr:rowOff>
                  </from>
                  <to>
                    <xdr:col>7</xdr:col>
                    <xdr:colOff>30480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Bouton 17">
              <controlPr defaultSize="0" print="0" autoFill="0" autoPict="0" macro="[1]!envoyer_valeur_CBR">
                <anchor moveWithCells="1">
                  <from>
                    <xdr:col>7</xdr:col>
                    <xdr:colOff>144780</xdr:colOff>
                    <xdr:row>111</xdr:row>
                    <xdr:rowOff>38100</xdr:rowOff>
                  </from>
                  <to>
                    <xdr:col>9</xdr:col>
                    <xdr:colOff>579120</xdr:colOff>
                    <xdr:row>112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Bouton 18">
              <controlPr defaultSize="0" print="0" autoFill="0" autoPict="0" macro="[1]!mise_zero_compteur_CBR">
                <anchor moveWithCells="1" sizeWithCells="1">
                  <from>
                    <xdr:col>8</xdr:col>
                    <xdr:colOff>45720</xdr:colOff>
                    <xdr:row>112</xdr:row>
                    <xdr:rowOff>182880</xdr:rowOff>
                  </from>
                  <to>
                    <xdr:col>10</xdr:col>
                    <xdr:colOff>0</xdr:colOff>
                    <xdr:row>114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Bouton 19">
              <controlPr defaultSize="0" print="0" autoFill="0" autoPict="0" macro="[1]!retour_compteur_CBR">
                <anchor moveWithCells="1" sizeWithCells="1">
                  <from>
                    <xdr:col>7</xdr:col>
                    <xdr:colOff>76200</xdr:colOff>
                    <xdr:row>112</xdr:row>
                    <xdr:rowOff>182880</xdr:rowOff>
                  </from>
                  <to>
                    <xdr:col>8</xdr:col>
                    <xdr:colOff>0</xdr:colOff>
                    <xdr:row>114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Bouton 17">
              <controlPr defaultSize="0" print="0" autoFill="0" autoPict="0" macro="[1]!envoyer_valeur_CTR">
                <anchor moveWithCells="1">
                  <from>
                    <xdr:col>8</xdr:col>
                    <xdr:colOff>220980</xdr:colOff>
                    <xdr:row>160</xdr:row>
                    <xdr:rowOff>45720</xdr:rowOff>
                  </from>
                  <to>
                    <xdr:col>10</xdr:col>
                    <xdr:colOff>655320</xdr:colOff>
                    <xdr:row>161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Bouton 18">
              <controlPr defaultSize="0" print="0" autoFill="0" autoPict="0" macro="[1]!mise_zero_compteur_CTR">
                <anchor moveWithCells="1" sizeWithCells="1">
                  <from>
                    <xdr:col>9</xdr:col>
                    <xdr:colOff>76200</xdr:colOff>
                    <xdr:row>161</xdr:row>
                    <xdr:rowOff>160020</xdr:rowOff>
                  </from>
                  <to>
                    <xdr:col>11</xdr:col>
                    <xdr:colOff>30480</xdr:colOff>
                    <xdr:row>163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Bouton 19">
              <controlPr defaultSize="0" print="0" autoFill="0" autoPict="0" macro="[1]!retour_compteur_CTR">
                <anchor moveWithCells="1" sizeWithCells="1">
                  <from>
                    <xdr:col>8</xdr:col>
                    <xdr:colOff>106680</xdr:colOff>
                    <xdr:row>161</xdr:row>
                    <xdr:rowOff>160020</xdr:rowOff>
                  </from>
                  <to>
                    <xdr:col>9</xdr:col>
                    <xdr:colOff>30480</xdr:colOff>
                    <xdr:row>163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Bouton 11">
              <controlPr defaultSize="0" print="0" autoFill="0" autoPict="0" macro="[1]!envoyer_valeur_CSTU">
                <anchor moveWithCells="1">
                  <from>
                    <xdr:col>8</xdr:col>
                    <xdr:colOff>190500</xdr:colOff>
                    <xdr:row>41</xdr:row>
                    <xdr:rowOff>182880</xdr:rowOff>
                  </from>
                  <to>
                    <xdr:col>10</xdr:col>
                    <xdr:colOff>632460</xdr:colOff>
                    <xdr:row>43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Bouton 12">
              <controlPr defaultSize="0" print="0" autoFill="0" autoPict="0" macro="[1]!mise_zero_compteur_CSTU">
                <anchor moveWithCells="1" sizeWithCells="1">
                  <from>
                    <xdr:col>9</xdr:col>
                    <xdr:colOff>45720</xdr:colOff>
                    <xdr:row>43</xdr:row>
                    <xdr:rowOff>144780</xdr:rowOff>
                  </from>
                  <to>
                    <xdr:col>10</xdr:col>
                    <xdr:colOff>754380</xdr:colOff>
                    <xdr:row>45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Bouton 13">
              <controlPr defaultSize="0" print="0" autoFill="0" autoPict="0" macro="[1]!retour_compteur_CSTU">
                <anchor moveWithCells="1" sizeWithCells="1">
                  <from>
                    <xdr:col>8</xdr:col>
                    <xdr:colOff>76200</xdr:colOff>
                    <xdr:row>43</xdr:row>
                    <xdr:rowOff>144780</xdr:rowOff>
                  </from>
                  <to>
                    <xdr:col>8</xdr:col>
                    <xdr:colOff>754380</xdr:colOff>
                    <xdr:row>45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calculs</vt:lpstr>
      <vt:lpstr>Autres</vt:lpstr>
      <vt:lpstr>Coudes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Boujabed</dc:creator>
  <cp:lastModifiedBy>Soufiane Boujabed</cp:lastModifiedBy>
  <dcterms:created xsi:type="dcterms:W3CDTF">2018-04-24T13:03:39Z</dcterms:created>
  <dcterms:modified xsi:type="dcterms:W3CDTF">2018-04-24T13:10:23Z</dcterms:modified>
</cp:coreProperties>
</file>