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JPB003\Desktop\"/>
    </mc:Choice>
  </mc:AlternateContent>
  <bookViews>
    <workbookView xWindow="0" yWindow="0" windowWidth="28800" windowHeight="11235" activeTab="3"/>
  </bookViews>
  <sheets>
    <sheet name="1" sheetId="1" r:id="rId1"/>
    <sheet name="2" sheetId="4" r:id="rId2"/>
    <sheet name="Sheet1" sheetId="5" r:id="rId3"/>
    <sheet name="Sheet2" sheetId="6" r:id="rId4"/>
  </sheets>
  <externalReferences>
    <externalReference r:id="rId5"/>
    <externalReference r:id="rId6"/>
  </externalReferences>
  <definedNames>
    <definedName name="ImmatRequête" localSheetId="1">[1]!TabRequête[[Immatriculation]:[Type Alerte]]</definedName>
    <definedName name="ImmatRequête" localSheetId="3">[1]!TabRequête[[Immatriculation]:[Type Alerte]]</definedName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 localSheetId="1">'2'!$E$43</definedName>
    <definedName name="ValeurCible" localSheetId="2">'[2]1'!$C$43</definedName>
    <definedName name="ValeurCible" localSheetId="3">Sheet2!$E$43</definedName>
    <definedName name="ValeurCible">'1'!$C$43</definedName>
    <definedName name="Vehic11" localSheetId="1">'2'!$E$8:$E$11</definedName>
    <definedName name="Vehic11" localSheetId="3">Sheet2!$E$8:$E$11</definedName>
    <definedName name="Vehic21" localSheetId="1">'2'!$F$8:$F$11</definedName>
    <definedName name="Vehic21" localSheetId="3">Sheet2!$F$8:$F$11</definedName>
    <definedName name="Vehic31" localSheetId="1">'2'!$G$8:$G$11</definedName>
    <definedName name="Vehic31" localSheetId="3">Sheet2!$G$8:$G$11</definedName>
    <definedName name="Vehic41" localSheetId="1">'2'!$H$8:$H$11</definedName>
    <definedName name="Vehic41" localSheetId="3">Sheet2!$H$8:$H$11</definedName>
    <definedName name="VehiTI" localSheetId="1">'2'!$E$8:$K$11</definedName>
    <definedName name="VehiTI" localSheetId="3">Sheet2!$E$8:$K$11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4" i="6" l="1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Y33" i="6"/>
  <c r="Y35" i="6" s="1"/>
  <c r="X33" i="6"/>
  <c r="X35" i="6" s="1"/>
  <c r="W33" i="6"/>
  <c r="W35" i="6" s="1"/>
  <c r="V33" i="6"/>
  <c r="V35" i="6" s="1"/>
  <c r="U33" i="6"/>
  <c r="U35" i="6" s="1"/>
  <c r="T33" i="6"/>
  <c r="T35" i="6" s="1"/>
  <c r="S33" i="6"/>
  <c r="S35" i="6" s="1"/>
  <c r="R33" i="6"/>
  <c r="R35" i="6" s="1"/>
  <c r="Q33" i="6"/>
  <c r="Q35" i="6" s="1"/>
  <c r="P33" i="6"/>
  <c r="P35" i="6" s="1" a="1"/>
  <c r="P35" i="6" s="1"/>
  <c r="O33" i="6"/>
  <c r="O35" i="6" s="1"/>
  <c r="N33" i="6"/>
  <c r="N35" i="6" s="1" a="1"/>
  <c r="N35" i="6" s="1"/>
  <c r="M33" i="6"/>
  <c r="M35" i="6" s="1" a="1"/>
  <c r="M35" i="6" s="1"/>
  <c r="L33" i="6"/>
  <c r="L35" i="6" s="1" a="1"/>
  <c r="L35" i="6" s="1"/>
  <c r="K33" i="6"/>
  <c r="K35" i="6" s="1" a="1"/>
  <c r="K35" i="6" s="1"/>
  <c r="J33" i="6"/>
  <c r="J35" i="6" s="1"/>
  <c r="I33" i="6"/>
  <c r="I35" i="6" s="1"/>
  <c r="H33" i="6"/>
  <c r="H35" i="6" s="1"/>
  <c r="G33" i="6"/>
  <c r="G35" i="6" s="1"/>
  <c r="F33" i="6"/>
  <c r="F35" i="6" s="1"/>
  <c r="E33" i="6"/>
  <c r="E35" i="6" s="1"/>
  <c r="Z35" i="6" s="1"/>
  <c r="AA28" i="6"/>
  <c r="Z28" i="6"/>
  <c r="V37" i="6" s="1" a="1"/>
  <c r="V37" i="6" s="1"/>
  <c r="AA27" i="6"/>
  <c r="Z27" i="6"/>
  <c r="AA26" i="6"/>
  <c r="Z26" i="6"/>
  <c r="Y37" i="6" s="1" a="1"/>
  <c r="Y37" i="6" s="1"/>
  <c r="AA25" i="6"/>
  <c r="Z25" i="6"/>
  <c r="AA24" i="6"/>
  <c r="Z24" i="6"/>
  <c r="AA23" i="6"/>
  <c r="Z23" i="6"/>
  <c r="AA22" i="6"/>
  <c r="Z22" i="6"/>
  <c r="AA21" i="6"/>
  <c r="Z21" i="6"/>
  <c r="AA20" i="6"/>
  <c r="Z20" i="6"/>
  <c r="Q37" i="6" s="1" a="1"/>
  <c r="Q37" i="6" s="1"/>
  <c r="AA19" i="6"/>
  <c r="Z19" i="6"/>
  <c r="AA18" i="6"/>
  <c r="Z18" i="6"/>
  <c r="X37" i="6" s="1" a="1"/>
  <c r="X37" i="6" s="1"/>
  <c r="AA17" i="6"/>
  <c r="Z17" i="6"/>
  <c r="AA16" i="6"/>
  <c r="Z16" i="6"/>
  <c r="AA15" i="6"/>
  <c r="Z15" i="6"/>
  <c r="AA14" i="6"/>
  <c r="Z14" i="6"/>
  <c r="W37" i="6" s="1" a="1"/>
  <c r="W37" i="6" s="1"/>
  <c r="AA13" i="6"/>
  <c r="Z13" i="6"/>
  <c r="AA12" i="6"/>
  <c r="Z12" i="6"/>
  <c r="P37" i="6" s="1" a="1"/>
  <c r="P37" i="6" s="1"/>
  <c r="AA11" i="6"/>
  <c r="Z11" i="6"/>
  <c r="AA10" i="6"/>
  <c r="Z10" i="6"/>
  <c r="AA9" i="6"/>
  <c r="Z9" i="6"/>
  <c r="AA8" i="6"/>
  <c r="Z8" i="6"/>
  <c r="D6" i="6"/>
  <c r="C6" i="6"/>
  <c r="B6" i="6"/>
  <c r="D5" i="6"/>
  <c r="C5" i="6"/>
  <c r="B5" i="6"/>
  <c r="D4" i="6"/>
  <c r="C4" i="6"/>
  <c r="B4" i="6"/>
  <c r="D3" i="6"/>
  <c r="C3" i="6"/>
  <c r="B3" i="6"/>
  <c r="D2" i="6"/>
  <c r="C2" i="6"/>
  <c r="B2" i="6"/>
  <c r="H1" i="6"/>
  <c r="G1" i="6"/>
  <c r="F1" i="6"/>
  <c r="E1" i="6"/>
  <c r="D1" i="6"/>
  <c r="C1" i="6"/>
  <c r="B1" i="6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Y33" i="4"/>
  <c r="Y35" i="4" s="1"/>
  <c r="X33" i="4"/>
  <c r="X35" i="4" s="1"/>
  <c r="W33" i="4"/>
  <c r="W35" i="4" s="1"/>
  <c r="V33" i="4"/>
  <c r="V35" i="4" s="1"/>
  <c r="U33" i="4"/>
  <c r="U35" i="4" s="1"/>
  <c r="T33" i="4"/>
  <c r="T35" i="4" s="1"/>
  <c r="S33" i="4"/>
  <c r="S35" i="4" s="1"/>
  <c r="R33" i="4"/>
  <c r="R35" i="4" s="1"/>
  <c r="Q33" i="4"/>
  <c r="Q35" i="4" s="1"/>
  <c r="P33" i="4"/>
  <c r="P35" i="4" s="1" a="1"/>
  <c r="P35" i="4" s="1"/>
  <c r="O33" i="4"/>
  <c r="O35" i="4" s="1"/>
  <c r="N33" i="4"/>
  <c r="N35" i="4" s="1" a="1"/>
  <c r="N35" i="4" s="1"/>
  <c r="M33" i="4"/>
  <c r="M35" i="4" s="1" a="1"/>
  <c r="M35" i="4" s="1"/>
  <c r="L33" i="4"/>
  <c r="L35" i="4" s="1" a="1"/>
  <c r="L35" i="4" s="1"/>
  <c r="K33" i="4"/>
  <c r="K35" i="4" s="1" a="1"/>
  <c r="K35" i="4" s="1"/>
  <c r="J33" i="4"/>
  <c r="J35" i="4" s="1"/>
  <c r="I33" i="4"/>
  <c r="I35" i="4" s="1"/>
  <c r="H33" i="4"/>
  <c r="H35" i="4" s="1"/>
  <c r="G33" i="4"/>
  <c r="G35" i="4" s="1"/>
  <c r="F33" i="4"/>
  <c r="F35" i="4" s="1"/>
  <c r="E33" i="4"/>
  <c r="E35" i="4" s="1"/>
  <c r="Z35" i="4" s="1"/>
  <c r="AA28" i="4"/>
  <c r="Z28" i="4"/>
  <c r="V37" i="4" s="1" a="1"/>
  <c r="V37" i="4" s="1"/>
  <c r="AA27" i="4"/>
  <c r="Z27" i="4"/>
  <c r="AA26" i="4"/>
  <c r="Z26" i="4"/>
  <c r="Y37" i="4" s="1" a="1"/>
  <c r="Y37" i="4" s="1"/>
  <c r="AA25" i="4"/>
  <c r="Z25" i="4"/>
  <c r="AA24" i="4"/>
  <c r="Z24" i="4"/>
  <c r="AA23" i="4"/>
  <c r="Z23" i="4"/>
  <c r="AA22" i="4"/>
  <c r="Z22" i="4"/>
  <c r="AA21" i="4"/>
  <c r="Z21" i="4"/>
  <c r="AA20" i="4"/>
  <c r="Z20" i="4"/>
  <c r="Q37" i="4" s="1" a="1"/>
  <c r="Q37" i="4" s="1"/>
  <c r="AA19" i="4"/>
  <c r="Z19" i="4"/>
  <c r="AA18" i="4"/>
  <c r="Z18" i="4"/>
  <c r="X37" i="4" s="1" a="1"/>
  <c r="X37" i="4" s="1"/>
  <c r="AA17" i="4"/>
  <c r="Z17" i="4"/>
  <c r="AA16" i="4"/>
  <c r="Z16" i="4"/>
  <c r="AA15" i="4"/>
  <c r="Z15" i="4"/>
  <c r="AA14" i="4"/>
  <c r="Z14" i="4"/>
  <c r="W37" i="4" s="1" a="1"/>
  <c r="W37" i="4" s="1"/>
  <c r="AA13" i="4"/>
  <c r="Z13" i="4"/>
  <c r="AA12" i="4"/>
  <c r="Z12" i="4"/>
  <c r="P37" i="4" s="1" a="1"/>
  <c r="P37" i="4" s="1"/>
  <c r="AA11" i="4"/>
  <c r="Z11" i="4"/>
  <c r="AA10" i="4"/>
  <c r="Z10" i="4"/>
  <c r="AA9" i="4"/>
  <c r="Z9" i="4"/>
  <c r="AA8" i="4"/>
  <c r="Z8" i="4"/>
  <c r="D6" i="4"/>
  <c r="C6" i="4"/>
  <c r="B6" i="4"/>
  <c r="D5" i="4"/>
  <c r="C5" i="4"/>
  <c r="B5" i="4"/>
  <c r="D4" i="4"/>
  <c r="C4" i="4"/>
  <c r="B4" i="4"/>
  <c r="D3" i="4"/>
  <c r="C3" i="4"/>
  <c r="B3" i="4"/>
  <c r="D2" i="4"/>
  <c r="C2" i="4"/>
  <c r="B2" i="4"/>
  <c r="H1" i="4"/>
  <c r="G1" i="4"/>
  <c r="F1" i="4"/>
  <c r="E1" i="4"/>
  <c r="D1" i="4"/>
  <c r="C1" i="4"/>
  <c r="B1" i="4"/>
  <c r="P40" i="6" l="1" a="1"/>
  <c r="P40" i="6" s="1"/>
  <c r="P39" i="6"/>
  <c r="P38" i="6"/>
  <c r="P41" i="6" s="1"/>
  <c r="W40" i="6" a="1"/>
  <c r="W40" i="6" s="1"/>
  <c r="W39" i="6"/>
  <c r="W38" i="6" a="1"/>
  <c r="W38" i="6" s="1"/>
  <c r="W41" i="6" s="1"/>
  <c r="X40" i="6" a="1"/>
  <c r="X40" i="6" s="1"/>
  <c r="X39" i="6"/>
  <c r="X38" i="6" a="1"/>
  <c r="X38" i="6" s="1"/>
  <c r="X41" i="6" s="1"/>
  <c r="Q40" i="6" a="1"/>
  <c r="Q40" i="6" s="1"/>
  <c r="Q39" i="6"/>
  <c r="Q38" i="6"/>
  <c r="Q41" i="6" s="1"/>
  <c r="Y40" i="6" a="1"/>
  <c r="Y40" i="6" s="1"/>
  <c r="Y39" i="6"/>
  <c r="Y38" i="6" a="1"/>
  <c r="Y38" i="6" s="1"/>
  <c r="Y41" i="6" s="1"/>
  <c r="V40" i="6" a="1"/>
  <c r="V40" i="6" s="1"/>
  <c r="V39" i="6"/>
  <c r="V38" i="6" a="1"/>
  <c r="V38" i="6" s="1"/>
  <c r="V41" i="6" s="1"/>
  <c r="E37" i="6" a="1"/>
  <c r="E37" i="6" s="1"/>
  <c r="F37" i="6" a="1"/>
  <c r="F37" i="6" s="1"/>
  <c r="G37" i="6" a="1"/>
  <c r="G37" i="6" s="1"/>
  <c r="H37" i="6" a="1"/>
  <c r="H37" i="6" s="1"/>
  <c r="I37" i="6" a="1"/>
  <c r="I37" i="6" s="1"/>
  <c r="J37" i="6" a="1"/>
  <c r="J37" i="6" s="1"/>
  <c r="K37" i="6" a="1"/>
  <c r="K37" i="6" s="1"/>
  <c r="L37" i="6" a="1"/>
  <c r="L37" i="6" s="1"/>
  <c r="M37" i="6" a="1"/>
  <c r="M37" i="6" s="1"/>
  <c r="N37" i="6" a="1"/>
  <c r="N37" i="6" s="1"/>
  <c r="O37" i="6" a="1"/>
  <c r="O37" i="6" s="1"/>
  <c r="R37" i="6" a="1"/>
  <c r="R37" i="6" s="1"/>
  <c r="S37" i="6" a="1"/>
  <c r="S37" i="6" s="1"/>
  <c r="T37" i="6" a="1"/>
  <c r="T37" i="6" s="1"/>
  <c r="U37" i="6" a="1"/>
  <c r="U37" i="6" s="1"/>
  <c r="P40" i="4" a="1"/>
  <c r="P40" i="4" s="1"/>
  <c r="P39" i="4"/>
  <c r="P38" i="4"/>
  <c r="P41" i="4" s="1"/>
  <c r="W40" i="4" a="1"/>
  <c r="W40" i="4" s="1"/>
  <c r="W39" i="4"/>
  <c r="W38" i="4" a="1"/>
  <c r="W38" i="4" s="1"/>
  <c r="W41" i="4" s="1"/>
  <c r="X40" i="4" a="1"/>
  <c r="X40" i="4" s="1"/>
  <c r="X39" i="4"/>
  <c r="X38" i="4" a="1"/>
  <c r="X38" i="4" s="1"/>
  <c r="X41" i="4" s="1"/>
  <c r="Q40" i="4" a="1"/>
  <c r="Q40" i="4" s="1"/>
  <c r="Q39" i="4"/>
  <c r="Q38" i="4"/>
  <c r="Q41" i="4" s="1"/>
  <c r="Y40" i="4" a="1"/>
  <c r="Y40" i="4" s="1"/>
  <c r="Y39" i="4"/>
  <c r="Y38" i="4" a="1"/>
  <c r="Y38" i="4" s="1"/>
  <c r="Y41" i="4" s="1"/>
  <c r="V40" i="4" a="1"/>
  <c r="V40" i="4" s="1"/>
  <c r="V39" i="4"/>
  <c r="V38" i="4" a="1"/>
  <c r="V38" i="4" s="1"/>
  <c r="V41" i="4" s="1"/>
  <c r="E37" i="4" a="1"/>
  <c r="E37" i="4" s="1"/>
  <c r="F37" i="4" a="1"/>
  <c r="F37" i="4" s="1"/>
  <c r="G37" i="4" a="1"/>
  <c r="G37" i="4" s="1"/>
  <c r="H37" i="4" a="1"/>
  <c r="H37" i="4" s="1"/>
  <c r="I37" i="4" a="1"/>
  <c r="I37" i="4" s="1"/>
  <c r="J37" i="4" a="1"/>
  <c r="J37" i="4" s="1"/>
  <c r="K37" i="4" a="1"/>
  <c r="K37" i="4" s="1"/>
  <c r="L37" i="4" a="1"/>
  <c r="L37" i="4" s="1"/>
  <c r="M37" i="4" a="1"/>
  <c r="M37" i="4" s="1"/>
  <c r="N37" i="4" a="1"/>
  <c r="N37" i="4" s="1"/>
  <c r="O37" i="4" a="1"/>
  <c r="O37" i="4" s="1"/>
  <c r="R37" i="4" a="1"/>
  <c r="R37" i="4" s="1"/>
  <c r="S37" i="4" a="1"/>
  <c r="S37" i="4" s="1"/>
  <c r="T37" i="4" a="1"/>
  <c r="T37" i="4" s="1"/>
  <c r="U37" i="4" a="1"/>
  <c r="U37" i="4" s="1"/>
  <c r="U40" i="6" l="1" a="1"/>
  <c r="U40" i="6" s="1"/>
  <c r="U39" i="6"/>
  <c r="U38" i="6" a="1"/>
  <c r="U38" i="6" s="1"/>
  <c r="U41" i="6" s="1"/>
  <c r="T40" i="6" a="1"/>
  <c r="T40" i="6" s="1"/>
  <c r="T39" i="6"/>
  <c r="T38" i="6" a="1"/>
  <c r="T38" i="6" s="1"/>
  <c r="T41" i="6" s="1"/>
  <c r="S40" i="6" a="1"/>
  <c r="S40" i="6" s="1"/>
  <c r="S39" i="6"/>
  <c r="S38" i="6" a="1"/>
  <c r="S38" i="6" s="1"/>
  <c r="S41" i="6" s="1"/>
  <c r="R40" i="6" a="1"/>
  <c r="R40" i="6" s="1"/>
  <c r="R39" i="6"/>
  <c r="R38" i="6" a="1"/>
  <c r="R38" i="6" s="1"/>
  <c r="R41" i="6" s="1"/>
  <c r="O40" i="6" a="1"/>
  <c r="O40" i="6" s="1"/>
  <c r="O39" i="6"/>
  <c r="O38" i="6"/>
  <c r="O41" i="6" s="1"/>
  <c r="N40" i="6" a="1"/>
  <c r="N40" i="6" s="1"/>
  <c r="N39" i="6"/>
  <c r="N38" i="6"/>
  <c r="N41" i="6" s="1"/>
  <c r="M40" i="6" a="1"/>
  <c r="M40" i="6" s="1"/>
  <c r="M39" i="6"/>
  <c r="M38" i="6" a="1"/>
  <c r="M38" i="6" s="1"/>
  <c r="M41" i="6" s="1"/>
  <c r="L40" i="6" a="1"/>
  <c r="L40" i="6" s="1"/>
  <c r="L39" i="6"/>
  <c r="L38" i="6" a="1"/>
  <c r="L38" i="6" s="1"/>
  <c r="L41" i="6" s="1"/>
  <c r="K40" i="6" a="1"/>
  <c r="K40" i="6" s="1"/>
  <c r="K39" i="6"/>
  <c r="K38" i="6" a="1"/>
  <c r="K38" i="6" s="1"/>
  <c r="K41" i="6" s="1"/>
  <c r="J40" i="6" a="1"/>
  <c r="J40" i="6" s="1"/>
  <c r="J39" i="6"/>
  <c r="J38" i="6" a="1"/>
  <c r="J38" i="6" s="1"/>
  <c r="J41" i="6" s="1"/>
  <c r="I40" i="6" a="1"/>
  <c r="I40" i="6" s="1"/>
  <c r="I39" i="6"/>
  <c r="I38" i="6" a="1"/>
  <c r="I38" i="6" s="1"/>
  <c r="I41" i="6" s="1"/>
  <c r="H40" i="6" a="1"/>
  <c r="H40" i="6" s="1"/>
  <c r="H39" i="6"/>
  <c r="H38" i="6" a="1"/>
  <c r="H38" i="6" s="1"/>
  <c r="H41" i="6" s="1"/>
  <c r="G40" i="6" a="1"/>
  <c r="G40" i="6" s="1"/>
  <c r="G39" i="6"/>
  <c r="G38" i="6" a="1"/>
  <c r="G38" i="6" s="1"/>
  <c r="G41" i="6" s="1"/>
  <c r="F40" i="6" a="1"/>
  <c r="F40" i="6" s="1"/>
  <c r="F39" i="6"/>
  <c r="F38" i="6" a="1"/>
  <c r="F38" i="6" s="1"/>
  <c r="F41" i="6" s="1"/>
  <c r="E40" i="6" a="1"/>
  <c r="E40" i="6" s="1"/>
  <c r="E39" i="6"/>
  <c r="E38" i="6" a="1"/>
  <c r="E38" i="6" s="1"/>
  <c r="U40" i="4" a="1"/>
  <c r="U40" i="4" s="1"/>
  <c r="U39" i="4"/>
  <c r="U38" i="4" a="1"/>
  <c r="U38" i="4" s="1"/>
  <c r="U41" i="4" s="1"/>
  <c r="T40" i="4" a="1"/>
  <c r="T40" i="4" s="1"/>
  <c r="T39" i="4"/>
  <c r="T38" i="4" a="1"/>
  <c r="T38" i="4" s="1"/>
  <c r="T41" i="4" s="1"/>
  <c r="S40" i="4" a="1"/>
  <c r="S40" i="4" s="1"/>
  <c r="S39" i="4"/>
  <c r="S38" i="4" a="1"/>
  <c r="S38" i="4" s="1"/>
  <c r="S41" i="4" s="1"/>
  <c r="R40" i="4" a="1"/>
  <c r="R40" i="4" s="1"/>
  <c r="R39" i="4"/>
  <c r="R38" i="4" a="1"/>
  <c r="R38" i="4" s="1"/>
  <c r="R41" i="4" s="1"/>
  <c r="O40" i="4" a="1"/>
  <c r="O40" i="4" s="1"/>
  <c r="O39" i="4"/>
  <c r="O38" i="4"/>
  <c r="O41" i="4" s="1"/>
  <c r="N40" i="4" a="1"/>
  <c r="N40" i="4" s="1"/>
  <c r="N39" i="4"/>
  <c r="N38" i="4"/>
  <c r="N41" i="4" s="1"/>
  <c r="M40" i="4" a="1"/>
  <c r="M40" i="4" s="1"/>
  <c r="M39" i="4"/>
  <c r="M38" i="4" a="1"/>
  <c r="M38" i="4" s="1"/>
  <c r="M41" i="4" s="1"/>
  <c r="L40" i="4" a="1"/>
  <c r="L40" i="4" s="1"/>
  <c r="L39" i="4"/>
  <c r="L38" i="4" a="1"/>
  <c r="L38" i="4" s="1"/>
  <c r="L41" i="4" s="1"/>
  <c r="K40" i="4" a="1"/>
  <c r="K40" i="4" s="1"/>
  <c r="K39" i="4"/>
  <c r="K38" i="4" a="1"/>
  <c r="K38" i="4" s="1"/>
  <c r="K41" i="4" s="1"/>
  <c r="J40" i="4" a="1"/>
  <c r="J40" i="4" s="1"/>
  <c r="J39" i="4"/>
  <c r="J38" i="4" a="1"/>
  <c r="J38" i="4" s="1"/>
  <c r="J41" i="4" s="1"/>
  <c r="I40" i="4" a="1"/>
  <c r="I40" i="4" s="1"/>
  <c r="I39" i="4"/>
  <c r="I38" i="4" a="1"/>
  <c r="I38" i="4" s="1"/>
  <c r="I41" i="4" s="1"/>
  <c r="H40" i="4" a="1"/>
  <c r="H40" i="4" s="1"/>
  <c r="H39" i="4"/>
  <c r="H38" i="4" a="1"/>
  <c r="H38" i="4" s="1"/>
  <c r="H41" i="4" s="1"/>
  <c r="G40" i="4" a="1"/>
  <c r="G40" i="4" s="1"/>
  <c r="G39" i="4"/>
  <c r="G38" i="4" a="1"/>
  <c r="G38" i="4" s="1"/>
  <c r="G41" i="4" s="1"/>
  <c r="F40" i="4" a="1"/>
  <c r="F40" i="4" s="1"/>
  <c r="F39" i="4"/>
  <c r="F38" i="4" a="1"/>
  <c r="F38" i="4" s="1"/>
  <c r="F41" i="4" s="1"/>
  <c r="E40" i="4" a="1"/>
  <c r="E40" i="4" s="1"/>
  <c r="E39" i="4"/>
  <c r="E38" i="4" a="1"/>
  <c r="E38" i="4" s="1"/>
  <c r="E41" i="6" l="1"/>
  <c r="Z41" i="6" s="1"/>
  <c r="Z38" i="6"/>
  <c r="E41" i="4"/>
  <c r="Z41" i="4" s="1"/>
  <c r="Z38" i="4"/>
  <c r="E37" i="1" l="1" a="1"/>
  <c r="E37" i="1" s="1"/>
  <c r="D37" i="1" a="1"/>
  <c r="D37" i="1" s="1"/>
  <c r="C37" i="1" a="1"/>
  <c r="C37" i="1" s="1"/>
  <c r="F34" i="1" l="1"/>
  <c r="E34" i="1"/>
  <c r="D34" i="1"/>
  <c r="C34" i="1"/>
  <c r="F33" i="1"/>
  <c r="E33" i="1"/>
  <c r="D33" i="1"/>
  <c r="C33" i="1"/>
  <c r="D35" i="1" l="1"/>
  <c r="E35" i="1"/>
  <c r="F35" i="1"/>
  <c r="F40" i="1" l="1" a="1"/>
  <c r="F40" i="1" s="1"/>
  <c r="D40" i="1" a="1"/>
  <c r="D40" i="1" s="1"/>
  <c r="E40" i="1" a="1"/>
  <c r="E40" i="1" s="1"/>
  <c r="C40" i="1" a="1"/>
  <c r="C40" i="1" s="1"/>
  <c r="C35" i="1"/>
  <c r="G35" i="1" s="1"/>
  <c r="C39" i="1" l="1" a="1"/>
  <c r="C39" i="1" s="1"/>
  <c r="C38" i="1" a="1"/>
  <c r="C38" i="1" s="1"/>
  <c r="E39" i="1" a="1"/>
  <c r="E39" i="1" s="1"/>
  <c r="E38" i="1" a="1"/>
  <c r="E38" i="1" s="1"/>
  <c r="E41" i="1" s="1"/>
  <c r="D39" i="1" a="1"/>
  <c r="D39" i="1" s="1"/>
  <c r="D38" i="1" a="1"/>
  <c r="D38" i="1" s="1"/>
  <c r="D41" i="1" s="1"/>
  <c r="F39" i="1" a="1"/>
  <c r="F39" i="1" s="1"/>
  <c r="F38" i="1" a="1"/>
  <c r="F38" i="1" s="1"/>
  <c r="F41" i="1" s="1"/>
  <c r="C41" i="1" l="1"/>
  <c r="G41" i="1" s="1"/>
  <c r="G38" i="1"/>
</calcChain>
</file>

<file path=xl/comments1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comments2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comments3.xml><?xml version="1.0" encoding="utf-8"?>
<comments xmlns="http://schemas.openxmlformats.org/spreadsheetml/2006/main">
  <authors>
    <author>LAURA LLORENS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comments4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sharedStrings.xml><?xml version="1.0" encoding="utf-8"?>
<sst xmlns="http://schemas.openxmlformats.org/spreadsheetml/2006/main" count="310" uniqueCount="55">
  <si>
    <t>Type véhicule</t>
  </si>
  <si>
    <t xml:space="preserve"> </t>
  </si>
  <si>
    <t xml:space="preserve">Site </t>
  </si>
  <si>
    <t>Tournée</t>
  </si>
  <si>
    <t>Immatriculation</t>
  </si>
  <si>
    <t>Véhicule</t>
  </si>
  <si>
    <t>Tournée actuelle</t>
  </si>
  <si>
    <t>Ecart</t>
  </si>
  <si>
    <t xml:space="preserve">Nouvelle tournée </t>
  </si>
  <si>
    <t>Nouvel écart</t>
  </si>
  <si>
    <t>Remplace le véhicule:</t>
  </si>
  <si>
    <t>Economie Réalisée</t>
  </si>
  <si>
    <t>Valeur Cible de l'écart</t>
  </si>
  <si>
    <t>(Plusieurs éléments)</t>
  </si>
  <si>
    <t>B3;B3D;B3D1</t>
  </si>
  <si>
    <t xml:space="preserve"> Site</t>
  </si>
  <si>
    <t>Nbr mois avant fin contrat</t>
  </si>
  <si>
    <t>Km restants pour arriver au contrat</t>
  </si>
  <si>
    <t>Contrat</t>
  </si>
  <si>
    <t>km de la tournée/mois</t>
  </si>
  <si>
    <t>EH-733-F</t>
  </si>
  <si>
    <t>CR-502-S</t>
  </si>
  <si>
    <t>CZ-510-Z</t>
  </si>
  <si>
    <t>EH-360-N</t>
  </si>
  <si>
    <t>VDP-B</t>
  </si>
  <si>
    <t>VDP</t>
  </si>
  <si>
    <t>ONET</t>
  </si>
  <si>
    <t>PDS</t>
  </si>
  <si>
    <t>REQUISTA</t>
  </si>
  <si>
    <t>Nouveau écart</t>
  </si>
  <si>
    <t>OLC</t>
  </si>
  <si>
    <t>CZ-209-PS</t>
  </si>
  <si>
    <t>DD-283-VP</t>
  </si>
  <si>
    <t>DQ-872-XL</t>
  </si>
  <si>
    <t>DS-958-YQ</t>
  </si>
  <si>
    <t>DV-263-DZ</t>
  </si>
  <si>
    <t>CK-369-QV</t>
  </si>
  <si>
    <t>CZ-474-PS</t>
  </si>
  <si>
    <t>DD-262-VP</t>
  </si>
  <si>
    <t>EB-084-PM</t>
  </si>
  <si>
    <t>CT-631-TJ</t>
  </si>
  <si>
    <t>CZ-150-PS</t>
  </si>
  <si>
    <t>Renfort</t>
  </si>
  <si>
    <t>CZ-453-PS</t>
  </si>
  <si>
    <t>CZ-694-PS</t>
  </si>
  <si>
    <t>CZ-962-PS</t>
  </si>
  <si>
    <t>DM-184-ST</t>
  </si>
  <si>
    <t>DW-018-XC</t>
  </si>
  <si>
    <t>EB-738-PM</t>
  </si>
  <si>
    <t>BR-599-KW</t>
  </si>
  <si>
    <t>CZ-531-PS</t>
  </si>
  <si>
    <t>DD-497-VP</t>
  </si>
  <si>
    <t>EE-976-EK</t>
  </si>
  <si>
    <t>REQ</t>
  </si>
  <si>
    <t>solution optimale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</si>
</sst>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4" tint="0.79998168889431442"/>
      <name val="Arial"/>
      <family val="2"/>
    </font>
    <font>
      <sz val="9"/>
      <name val="Arial"/>
      <family val="2"/>
    </font>
    <font>
      <b/>
      <sz val="10"/>
      <color rgb="FF000000"/>
      <name val="Arial"/>
      <family val="2"/>
    </font>
    <font>
      <sz val="10"/>
      <color rgb="FFFFFBEB"/>
      <name val="Arial"/>
      <family val="2"/>
    </font>
    <font>
      <b/>
      <sz val="11"/>
      <color rgb="FF00000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i/>
      <sz val="10"/>
      <color rgb="FF00000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8" tint="0.7999816888943144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2" fillId="2" borderId="0" xfId="0" applyNumberFormat="1" applyFont="1" applyFill="1" applyAlignment="1">
      <alignment horizontal="right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0" borderId="0" xfId="0" applyFont="1"/>
    <xf numFmtId="49" fontId="3" fillId="2" borderId="0" xfId="0" applyNumberFormat="1" applyFont="1" applyFill="1"/>
    <xf numFmtId="0" fontId="3" fillId="2" borderId="0" xfId="0" applyFont="1" applyFill="1"/>
    <xf numFmtId="0" fontId="5" fillId="2" borderId="0" xfId="0" applyFont="1" applyFill="1" applyAlignment="1">
      <alignment horizontal="left" vertical="center"/>
    </xf>
    <xf numFmtId="3" fontId="0" fillId="3" borderId="0" xfId="0" applyNumberFormat="1" applyFill="1" applyAlignment="1">
      <alignment horizontal="left"/>
    </xf>
    <xf numFmtId="0" fontId="3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6" fillId="3" borderId="0" xfId="0" applyNumberFormat="1" applyFont="1" applyFill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7" fillId="0" borderId="0" xfId="0" applyFont="1"/>
    <xf numFmtId="0" fontId="6" fillId="4" borderId="0" xfId="0" applyFont="1" applyFill="1"/>
    <xf numFmtId="0" fontId="1" fillId="0" borderId="0" xfId="0" quotePrefix="1" applyFont="1"/>
    <xf numFmtId="0" fontId="1" fillId="0" borderId="0" xfId="0" quotePrefix="1" applyFont="1" applyAlignment="1">
      <alignment vertical="center" wrapText="1"/>
    </xf>
    <xf numFmtId="0" fontId="12" fillId="0" borderId="0" xfId="0" applyFont="1"/>
    <xf numFmtId="3" fontId="8" fillId="6" borderId="0" xfId="0" applyNumberFormat="1" applyFont="1" applyFill="1" applyAlignment="1">
      <alignment horizontal="center" vertical="center"/>
    </xf>
    <xf numFmtId="0" fontId="0" fillId="0" borderId="0" xfId="0" quotePrefix="1"/>
    <xf numFmtId="0" fontId="0" fillId="3" borderId="0" xfId="0" applyFill="1"/>
    <xf numFmtId="0" fontId="15" fillId="0" borderId="0" xfId="0" quotePrefix="1" applyFont="1" applyAlignment="1">
      <alignment wrapText="1"/>
    </xf>
    <xf numFmtId="0" fontId="6" fillId="8" borderId="0" xfId="0" applyFont="1" applyFill="1"/>
    <xf numFmtId="3" fontId="8" fillId="7" borderId="0" xfId="0" applyNumberFormat="1" applyFont="1" applyFill="1" applyAlignment="1">
      <alignment horizontal="center" vertical="center"/>
    </xf>
    <xf numFmtId="0" fontId="11" fillId="4" borderId="0" xfId="0" applyFont="1" applyFill="1"/>
    <xf numFmtId="0" fontId="6" fillId="5" borderId="0" xfId="0" applyFont="1" applyFill="1" applyAlignment="1">
      <alignment horizontal="center" vertical="center"/>
    </xf>
    <xf numFmtId="3" fontId="9" fillId="5" borderId="0" xfId="0" applyNumberFormat="1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3" fontId="10" fillId="9" borderId="0" xfId="0" applyNumberFormat="1" applyFont="1" applyFill="1" applyAlignment="1">
      <alignment horizontal="center" vertical="center"/>
    </xf>
    <xf numFmtId="0" fontId="6" fillId="11" borderId="0" xfId="0" applyFont="1" applyFill="1"/>
    <xf numFmtId="3" fontId="6" fillId="10" borderId="0" xfId="0" applyNumberFormat="1" applyFont="1" applyFill="1"/>
    <xf numFmtId="0" fontId="16" fillId="12" borderId="0" xfId="0" applyFont="1" applyFill="1"/>
    <xf numFmtId="0" fontId="17" fillId="2" borderId="0" xfId="0" applyFont="1" applyFill="1"/>
    <xf numFmtId="0" fontId="4" fillId="2" borderId="0" xfId="0" applyFont="1" applyFill="1" applyAlignment="1">
      <alignment horizontal="center" vertical="center"/>
    </xf>
    <xf numFmtId="3" fontId="4" fillId="2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left" vertical="center"/>
    </xf>
    <xf numFmtId="3" fontId="7" fillId="0" borderId="0" xfId="0" applyNumberFormat="1" applyFont="1"/>
    <xf numFmtId="0" fontId="0" fillId="0" borderId="0" xfId="0" applyAlignment="1">
      <alignment horizontal="right"/>
    </xf>
    <xf numFmtId="3" fontId="8" fillId="4" borderId="0" xfId="0" applyNumberFormat="1" applyFont="1" applyFill="1" applyAlignment="1">
      <alignment horizontal="right"/>
    </xf>
    <xf numFmtId="3" fontId="15" fillId="13" borderId="7" xfId="0" applyNumberFormat="1" applyFont="1" applyFill="1" applyBorder="1" applyAlignment="1">
      <alignment horizontal="right"/>
    </xf>
    <xf numFmtId="3" fontId="15" fillId="13" borderId="8" xfId="0" applyNumberFormat="1" applyFont="1" applyFill="1" applyBorder="1" applyAlignment="1">
      <alignment horizontal="right"/>
    </xf>
    <xf numFmtId="3" fontId="15" fillId="13" borderId="9" xfId="0" applyNumberFormat="1" applyFont="1" applyFill="1" applyBorder="1" applyAlignment="1">
      <alignment horizontal="right"/>
    </xf>
    <xf numFmtId="0" fontId="1" fillId="0" borderId="0" xfId="0" quotePrefix="1" applyFont="1" applyAlignment="1">
      <alignment horizontal="right"/>
    </xf>
    <xf numFmtId="3" fontId="10" fillId="14" borderId="0" xfId="0" applyNumberFormat="1" applyFont="1" applyFill="1" applyAlignment="1">
      <alignment horizontal="right"/>
    </xf>
    <xf numFmtId="0" fontId="1" fillId="0" borderId="0" xfId="0" quotePrefix="1" applyFont="1" applyAlignment="1">
      <alignment vertical="center"/>
    </xf>
    <xf numFmtId="0" fontId="1" fillId="0" borderId="0" xfId="0" quotePrefix="1" applyFont="1" applyAlignment="1">
      <alignment horizontal="right" wrapText="1"/>
    </xf>
    <xf numFmtId="0" fontId="15" fillId="13" borderId="7" xfId="0" applyFont="1" applyFill="1" applyBorder="1" applyAlignment="1">
      <alignment horizontal="right"/>
    </xf>
    <xf numFmtId="0" fontId="15" fillId="13" borderId="8" xfId="0" applyFont="1" applyFill="1" applyBorder="1" applyAlignment="1">
      <alignment horizontal="right"/>
    </xf>
    <xf numFmtId="0" fontId="15" fillId="13" borderId="9" xfId="0" applyFont="1" applyFill="1" applyBorder="1" applyAlignment="1">
      <alignment horizontal="right"/>
    </xf>
    <xf numFmtId="3" fontId="8" fillId="6" borderId="0" xfId="0" applyNumberFormat="1" applyFont="1" applyFill="1" applyAlignment="1">
      <alignment horizontal="right"/>
    </xf>
    <xf numFmtId="3" fontId="0" fillId="3" borderId="0" xfId="0" applyNumberFormat="1" applyFill="1" applyAlignment="1">
      <alignment horizontal="right"/>
    </xf>
    <xf numFmtId="0" fontId="3" fillId="2" borderId="0" xfId="0" applyFont="1" applyFill="1" applyAlignment="1">
      <alignment horizontal="right"/>
    </xf>
    <xf numFmtId="3" fontId="3" fillId="2" borderId="1" xfId="0" applyNumberFormat="1" applyFont="1" applyFill="1" applyBorder="1" applyAlignment="1">
      <alignment horizontal="right" vertical="center"/>
    </xf>
    <xf numFmtId="3" fontId="6" fillId="3" borderId="0" xfId="0" applyNumberFormat="1" applyFont="1" applyFill="1" applyAlignment="1">
      <alignment horizontal="right" vertical="center"/>
    </xf>
    <xf numFmtId="49" fontId="3" fillId="3" borderId="1" xfId="0" applyNumberFormat="1" applyFont="1" applyFill="1" applyBorder="1" applyAlignment="1">
      <alignment horizontal="right" vertical="center"/>
    </xf>
    <xf numFmtId="3" fontId="0" fillId="0" borderId="0" xfId="0" applyNumberFormat="1" applyAlignment="1">
      <alignment horizontal="right"/>
    </xf>
    <xf numFmtId="0" fontId="3" fillId="3" borderId="1" xfId="0" applyNumberFormat="1" applyFont="1" applyFill="1" applyBorder="1" applyAlignment="1">
      <alignment horizontal="right" vertical="center"/>
    </xf>
    <xf numFmtId="3" fontId="6" fillId="5" borderId="2" xfId="0" applyNumberFormat="1" applyFont="1" applyFill="1" applyBorder="1" applyAlignment="1">
      <alignment horizontal="right"/>
    </xf>
    <xf numFmtId="3" fontId="6" fillId="5" borderId="3" xfId="0" applyNumberFormat="1" applyFont="1" applyFill="1" applyBorder="1" applyAlignment="1">
      <alignment horizontal="right"/>
    </xf>
    <xf numFmtId="3" fontId="6" fillId="5" borderId="4" xfId="0" applyNumberFormat="1" applyFont="1" applyFill="1" applyBorder="1" applyAlignment="1">
      <alignment horizontal="right"/>
    </xf>
    <xf numFmtId="3" fontId="6" fillId="5" borderId="5" xfId="0" applyNumberFormat="1" applyFont="1" applyFill="1" applyBorder="1" applyAlignment="1">
      <alignment horizontal="right"/>
    </xf>
    <xf numFmtId="3" fontId="6" fillId="5" borderId="0" xfId="0" applyNumberFormat="1" applyFont="1" applyFill="1" applyBorder="1" applyAlignment="1">
      <alignment horizontal="right"/>
    </xf>
    <xf numFmtId="3" fontId="6" fillId="5" borderId="6" xfId="0" applyNumberFormat="1" applyFont="1" applyFill="1" applyBorder="1" applyAlignment="1">
      <alignment horizontal="right"/>
    </xf>
    <xf numFmtId="0" fontId="6" fillId="16" borderId="0" xfId="0" applyFont="1" applyFill="1"/>
    <xf numFmtId="0" fontId="6" fillId="15" borderId="2" xfId="0" applyFont="1" applyFill="1" applyBorder="1" applyAlignment="1">
      <alignment horizontal="right"/>
    </xf>
    <xf numFmtId="0" fontId="6" fillId="15" borderId="3" xfId="0" applyFont="1" applyFill="1" applyBorder="1" applyAlignment="1">
      <alignment horizontal="right"/>
    </xf>
    <xf numFmtId="0" fontId="6" fillId="15" borderId="4" xfId="0" applyFont="1" applyFill="1" applyBorder="1" applyAlignment="1">
      <alignment horizontal="right"/>
    </xf>
    <xf numFmtId="3" fontId="9" fillId="15" borderId="5" xfId="0" applyNumberFormat="1" applyFont="1" applyFill="1" applyBorder="1" applyAlignment="1">
      <alignment horizontal="right"/>
    </xf>
    <xf numFmtId="3" fontId="9" fillId="15" borderId="0" xfId="0" applyNumberFormat="1" applyFont="1" applyFill="1" applyBorder="1" applyAlignment="1">
      <alignment horizontal="right"/>
    </xf>
    <xf numFmtId="3" fontId="9" fillId="15" borderId="6" xfId="0" applyNumberFormat="1" applyFont="1" applyFill="1" applyBorder="1" applyAlignment="1">
      <alignment horizontal="right"/>
    </xf>
    <xf numFmtId="0" fontId="11" fillId="16" borderId="0" xfId="0" applyFont="1" applyFill="1"/>
    <xf numFmtId="0" fontId="11" fillId="15" borderId="5" xfId="0" applyFont="1" applyFill="1" applyBorder="1" applyAlignment="1">
      <alignment horizontal="right"/>
    </xf>
    <xf numFmtId="0" fontId="11" fillId="15" borderId="0" xfId="0" applyFont="1" applyFill="1" applyBorder="1" applyAlignment="1">
      <alignment horizontal="right"/>
    </xf>
    <xf numFmtId="0" fontId="11" fillId="15" borderId="6" xfId="0" applyFont="1" applyFill="1" applyBorder="1" applyAlignment="1">
      <alignment horizontal="right"/>
    </xf>
    <xf numFmtId="0" fontId="6" fillId="17" borderId="0" xfId="0" applyFont="1" applyFill="1"/>
    <xf numFmtId="3" fontId="6" fillId="17" borderId="0" xfId="0" applyNumberFormat="1" applyFont="1" applyFill="1" applyAlignment="1">
      <alignment horizontal="right"/>
    </xf>
    <xf numFmtId="0" fontId="6" fillId="6" borderId="0" xfId="0" applyFont="1" applyFill="1"/>
    <xf numFmtId="1" fontId="0" fillId="0" borderId="0" xfId="0" applyNumberFormat="1"/>
  </cellXfs>
  <cellStyles count="1">
    <cellStyle name="Normal" xfId="0" builtinId="0"/>
  </cellStyles>
  <dxfs count="24">
    <dxf>
      <font>
        <b val="0"/>
        <i val="0"/>
        <color theme="4" tint="-0.499984740745262"/>
      </font>
      <fill>
        <patternFill>
          <bgColor theme="6" tint="0.79998168889431442"/>
        </patternFill>
      </fill>
    </dxf>
    <dxf>
      <font>
        <color theme="6" tint="-0.499984740745262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rgb="FFA5F090"/>
        </patternFill>
      </fill>
    </dxf>
    <dxf>
      <font>
        <color rgb="FF9C0006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 val="0"/>
        <i val="0"/>
        <color theme="4" tint="-0.499984740745262"/>
      </font>
      <fill>
        <patternFill>
          <bgColor theme="6" tint="0.79998168889431442"/>
        </patternFill>
      </fill>
    </dxf>
    <dxf>
      <font>
        <color theme="6" tint="-0.499984740745262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rgb="FFA5F090"/>
        </patternFill>
      </fill>
    </dxf>
    <dxf>
      <font>
        <color rgb="FF9C0006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51</xdr:row>
      <xdr:rowOff>104776</xdr:rowOff>
    </xdr:from>
    <xdr:to>
      <xdr:col>3</xdr:col>
      <xdr:colOff>57150</xdr:colOff>
      <xdr:row>56</xdr:row>
      <xdr:rowOff>57151</xdr:rowOff>
    </xdr:to>
    <xdr:sp macro="[0]!CopieSimulation1" textlink="">
      <xdr:nvSpPr>
        <xdr:cNvPr id="2" name="Rectangle à coins arrondis 1"/>
        <xdr:cNvSpPr/>
      </xdr:nvSpPr>
      <xdr:spPr>
        <a:xfrm>
          <a:off x="2457450" y="386715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3</xdr:col>
      <xdr:colOff>304800</xdr:colOff>
      <xdr:row>51</xdr:row>
      <xdr:rowOff>113633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4410075" y="387600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5</xdr:col>
      <xdr:colOff>714375</xdr:colOff>
      <xdr:row>51</xdr:row>
      <xdr:rowOff>114300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6381750" y="387667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4</xdr:col>
      <xdr:colOff>400050</xdr:colOff>
      <xdr:row>45</xdr:row>
      <xdr:rowOff>57149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5267325" y="284797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1</xdr:col>
      <xdr:colOff>790575</xdr:colOff>
      <xdr:row>56</xdr:row>
      <xdr:rowOff>133351</xdr:rowOff>
    </xdr:from>
    <xdr:to>
      <xdr:col>6</xdr:col>
      <xdr:colOff>723900</xdr:colOff>
      <xdr:row>58</xdr:row>
      <xdr:rowOff>76201</xdr:rowOff>
    </xdr:to>
    <xdr:sp macro="[0]!SupprimerCopiesSimulations" textlink="">
      <xdr:nvSpPr>
        <xdr:cNvPr id="6" name="Rectangle à coins arrondis 5"/>
        <xdr:cNvSpPr/>
      </xdr:nvSpPr>
      <xdr:spPr>
        <a:xfrm>
          <a:off x="2466975" y="470535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6</xdr:col>
      <xdr:colOff>819150</xdr:colOff>
      <xdr:row>42</xdr:row>
      <xdr:rowOff>9524</xdr:rowOff>
    </xdr:from>
    <xdr:to>
      <xdr:col>8</xdr:col>
      <xdr:colOff>28575</xdr:colOff>
      <xdr:row>46</xdr:row>
      <xdr:rowOff>28576</xdr:rowOff>
    </xdr:to>
    <xdr:sp macro="" textlink="">
      <xdr:nvSpPr>
        <xdr:cNvPr id="7" name="Légende encadrée 1 6"/>
        <xdr:cNvSpPr/>
      </xdr:nvSpPr>
      <xdr:spPr>
        <a:xfrm>
          <a:off x="8153400" y="231457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1</xdr:col>
      <xdr:colOff>1285874</xdr:colOff>
      <xdr:row>45</xdr:row>
      <xdr:rowOff>38100</xdr:rowOff>
    </xdr:from>
    <xdr:to>
      <xdr:col>4</xdr:col>
      <xdr:colOff>219074</xdr:colOff>
      <xdr:row>50</xdr:row>
      <xdr:rowOff>76201</xdr:rowOff>
    </xdr:to>
    <xdr:sp macro="" textlink="">
      <xdr:nvSpPr>
        <xdr:cNvPr id="8" name="Rectangle à coins arrondis 7"/>
        <xdr:cNvSpPr/>
      </xdr:nvSpPr>
      <xdr:spPr>
        <a:xfrm>
          <a:off x="2962274" y="282892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0</xdr:col>
      <xdr:colOff>485775</xdr:colOff>
      <xdr:row>42</xdr:row>
      <xdr:rowOff>9525</xdr:rowOff>
    </xdr:from>
    <xdr:to>
      <xdr:col>0</xdr:col>
      <xdr:colOff>1581150</xdr:colOff>
      <xdr:row>48</xdr:row>
      <xdr:rowOff>57150</xdr:rowOff>
    </xdr:to>
    <xdr:sp macro="" textlink="">
      <xdr:nvSpPr>
        <xdr:cNvPr id="9" name="Légende encadrée 1 8"/>
        <xdr:cNvSpPr/>
      </xdr:nvSpPr>
      <xdr:spPr>
        <a:xfrm>
          <a:off x="485775" y="231457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0</xdr:col>
      <xdr:colOff>1657351</xdr:colOff>
      <xdr:row>29</xdr:row>
      <xdr:rowOff>38100</xdr:rowOff>
    </xdr:from>
    <xdr:to>
      <xdr:col>3</xdr:col>
      <xdr:colOff>428625</xdr:colOff>
      <xdr:row>31</xdr:row>
      <xdr:rowOff>104775</xdr:rowOff>
    </xdr:to>
    <xdr:sp macro="[0]!AfficherDétails" textlink="">
      <xdr:nvSpPr>
        <xdr:cNvPr id="10" name="Rectangle à coins arrondis 9"/>
        <xdr:cNvSpPr/>
      </xdr:nvSpPr>
      <xdr:spPr>
        <a:xfrm>
          <a:off x="1657351" y="38100"/>
          <a:ext cx="2876549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485775</xdr:colOff>
      <xdr:row>29</xdr:row>
      <xdr:rowOff>47625</xdr:rowOff>
    </xdr:from>
    <xdr:to>
      <xdr:col>5</xdr:col>
      <xdr:colOff>1657349</xdr:colOff>
      <xdr:row>31</xdr:row>
      <xdr:rowOff>114300</xdr:rowOff>
    </xdr:to>
    <xdr:sp macro="[0]!MasquerDétails" textlink="">
      <xdr:nvSpPr>
        <xdr:cNvPr id="11" name="Rectangle à coins arrondis 10"/>
        <xdr:cNvSpPr/>
      </xdr:nvSpPr>
      <xdr:spPr>
        <a:xfrm>
          <a:off x="4591050" y="47625"/>
          <a:ext cx="2733674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52</xdr:row>
      <xdr:rowOff>1</xdr:rowOff>
    </xdr:from>
    <xdr:to>
      <xdr:col>6</xdr:col>
      <xdr:colOff>676275</xdr:colOff>
      <xdr:row>56</xdr:row>
      <xdr:rowOff>114301</xdr:rowOff>
    </xdr:to>
    <xdr:sp macro="[0]!CopieSimulation1" textlink="">
      <xdr:nvSpPr>
        <xdr:cNvPr id="2" name="Rectangle à coins arrondis 1"/>
        <xdr:cNvSpPr/>
      </xdr:nvSpPr>
      <xdr:spPr>
        <a:xfrm>
          <a:off x="6000750" y="857250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6</xdr:col>
      <xdr:colOff>923925</xdr:colOff>
      <xdr:row>52</xdr:row>
      <xdr:rowOff>8858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7953375" y="858135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8</xdr:col>
      <xdr:colOff>200025</xdr:colOff>
      <xdr:row>52</xdr:row>
      <xdr:rowOff>9525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9925050" y="858202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7</xdr:col>
      <xdr:colOff>723900</xdr:colOff>
      <xdr:row>45</xdr:row>
      <xdr:rowOff>114299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8810625" y="755332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5</xdr:col>
      <xdr:colOff>0</xdr:colOff>
      <xdr:row>57</xdr:row>
      <xdr:rowOff>28576</xdr:rowOff>
    </xdr:from>
    <xdr:to>
      <xdr:col>9</xdr:col>
      <xdr:colOff>581025</xdr:colOff>
      <xdr:row>58</xdr:row>
      <xdr:rowOff>133351</xdr:rowOff>
    </xdr:to>
    <xdr:sp macro="[0]!SupprimerCopiesSimulations" textlink="">
      <xdr:nvSpPr>
        <xdr:cNvPr id="6" name="Rectangle à coins arrondis 5"/>
        <xdr:cNvSpPr/>
      </xdr:nvSpPr>
      <xdr:spPr>
        <a:xfrm>
          <a:off x="6010275" y="941070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9</xdr:col>
      <xdr:colOff>676275</xdr:colOff>
      <xdr:row>42</xdr:row>
      <xdr:rowOff>66674</xdr:rowOff>
    </xdr:from>
    <xdr:to>
      <xdr:col>13</xdr:col>
      <xdr:colOff>142875</xdr:colOff>
      <xdr:row>46</xdr:row>
      <xdr:rowOff>85726</xdr:rowOff>
    </xdr:to>
    <xdr:sp macro="" textlink="">
      <xdr:nvSpPr>
        <xdr:cNvPr id="7" name="Légende encadrée 1 6"/>
        <xdr:cNvSpPr/>
      </xdr:nvSpPr>
      <xdr:spPr>
        <a:xfrm>
          <a:off x="11696700" y="701992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5</xdr:col>
      <xdr:colOff>495299</xdr:colOff>
      <xdr:row>45</xdr:row>
      <xdr:rowOff>95250</xdr:rowOff>
    </xdr:from>
    <xdr:to>
      <xdr:col>7</xdr:col>
      <xdr:colOff>542924</xdr:colOff>
      <xdr:row>50</xdr:row>
      <xdr:rowOff>133351</xdr:rowOff>
    </xdr:to>
    <xdr:sp macro="" textlink="">
      <xdr:nvSpPr>
        <xdr:cNvPr id="8" name="Rectangle à coins arrondis 7"/>
        <xdr:cNvSpPr/>
      </xdr:nvSpPr>
      <xdr:spPr>
        <a:xfrm>
          <a:off x="6505574" y="753427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3</xdr:col>
      <xdr:colOff>190500</xdr:colOff>
      <xdr:row>42</xdr:row>
      <xdr:rowOff>66675</xdr:rowOff>
    </xdr:from>
    <xdr:to>
      <xdr:col>3</xdr:col>
      <xdr:colOff>1285875</xdr:colOff>
      <xdr:row>48</xdr:row>
      <xdr:rowOff>114300</xdr:rowOff>
    </xdr:to>
    <xdr:sp macro="" textlink="">
      <xdr:nvSpPr>
        <xdr:cNvPr id="9" name="Légende encadrée 1 8"/>
        <xdr:cNvSpPr/>
      </xdr:nvSpPr>
      <xdr:spPr>
        <a:xfrm>
          <a:off x="4029075" y="701992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3</xdr:col>
      <xdr:colOff>1362076</xdr:colOff>
      <xdr:row>30</xdr:row>
      <xdr:rowOff>0</xdr:rowOff>
    </xdr:from>
    <xdr:to>
      <xdr:col>6</xdr:col>
      <xdr:colOff>1047750</xdr:colOff>
      <xdr:row>31</xdr:row>
      <xdr:rowOff>114300</xdr:rowOff>
    </xdr:to>
    <xdr:sp macro="[0]!AfficherDétails" textlink="">
      <xdr:nvSpPr>
        <xdr:cNvPr id="10" name="Rectangle à coins arrondis 9"/>
        <xdr:cNvSpPr/>
      </xdr:nvSpPr>
      <xdr:spPr>
        <a:xfrm>
          <a:off x="5200651" y="4857750"/>
          <a:ext cx="2876549" cy="2762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47625</xdr:colOff>
      <xdr:row>30</xdr:row>
      <xdr:rowOff>0</xdr:rowOff>
    </xdr:from>
    <xdr:to>
      <xdr:col>8</xdr:col>
      <xdr:colOff>1142999</xdr:colOff>
      <xdr:row>31</xdr:row>
      <xdr:rowOff>123825</xdr:rowOff>
    </xdr:to>
    <xdr:sp macro="[0]!MasquerDétails" textlink="">
      <xdr:nvSpPr>
        <xdr:cNvPr id="11" name="Rectangle à coins arrondis 10"/>
        <xdr:cNvSpPr/>
      </xdr:nvSpPr>
      <xdr:spPr>
        <a:xfrm>
          <a:off x="8134350" y="4857750"/>
          <a:ext cx="2733674" cy="285750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533400</xdr:colOff>
      <xdr:row>29</xdr:row>
      <xdr:rowOff>76200</xdr:rowOff>
    </xdr:from>
    <xdr:to>
      <xdr:col>1</xdr:col>
      <xdr:colOff>561975</xdr:colOff>
      <xdr:row>32</xdr:row>
      <xdr:rowOff>76200</xdr:rowOff>
    </xdr:to>
    <xdr:sp macro="[0]!aargh" textlink="">
      <xdr:nvSpPr>
        <xdr:cNvPr id="12" name="Rectangle à coins arrondis 11"/>
        <xdr:cNvSpPr/>
      </xdr:nvSpPr>
      <xdr:spPr>
        <a:xfrm>
          <a:off x="533400" y="4772025"/>
          <a:ext cx="1704975" cy="4857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542925</xdr:colOff>
          <xdr:row>2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123825</xdr:colOff>
      <xdr:row>2</xdr:row>
      <xdr:rowOff>76200</xdr:rowOff>
    </xdr:from>
    <xdr:to>
      <xdr:col>25</xdr:col>
      <xdr:colOff>76200</xdr:colOff>
      <xdr:row>11</xdr:row>
      <xdr:rowOff>152400</xdr:rowOff>
    </xdr:to>
    <xdr:sp macro="" textlink="">
      <xdr:nvSpPr>
        <xdr:cNvPr id="3" name="TextBox 1"/>
        <xdr:cNvSpPr txBox="1"/>
      </xdr:nvSpPr>
      <xdr:spPr>
        <a:xfrm>
          <a:off x="10487025" y="400050"/>
          <a:ext cx="48291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mode d'emploi</a:t>
          </a:r>
        </a:p>
        <a:p>
          <a:r>
            <a:rPr lang="en-GB" sz="1100"/>
            <a:t>- remplir</a:t>
          </a:r>
          <a:r>
            <a:rPr lang="en-GB" sz="1100" baseline="0"/>
            <a:t> les lignes 1 à 5 en fonction du nombre de contrats</a:t>
          </a:r>
        </a:p>
        <a:p>
          <a:r>
            <a:rPr lang="en-GB" sz="1100" baseline="0"/>
            <a:t>-compléter les lignes 6 à n avec les informations tournées </a:t>
          </a:r>
        </a:p>
        <a:p>
          <a:endParaRPr lang="en-GB" sz="1100" baseline="0"/>
        </a:p>
        <a:p>
          <a:r>
            <a:rPr lang="en-GB" sz="1100" baseline="0"/>
            <a:t>-lancer la macro de recherche de l'optimum (bouton calcul)</a:t>
          </a:r>
        </a:p>
        <a:p>
          <a:endParaRPr lang="en-GB" sz="1100" baseline="0"/>
        </a:p>
        <a:p>
          <a:r>
            <a:rPr lang="en-GB" sz="1100" baseline="0"/>
            <a:t>résultats sous le tableau, N° tournée, meilleur choix du véhicule</a:t>
          </a:r>
          <a:endParaRPr lang="en-GB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52</xdr:row>
      <xdr:rowOff>1</xdr:rowOff>
    </xdr:from>
    <xdr:to>
      <xdr:col>6</xdr:col>
      <xdr:colOff>676275</xdr:colOff>
      <xdr:row>56</xdr:row>
      <xdr:rowOff>114301</xdr:rowOff>
    </xdr:to>
    <xdr:sp macro="[0]!CopieSimulation1" textlink="">
      <xdr:nvSpPr>
        <xdr:cNvPr id="2" name="Rectangle à coins arrondis 1"/>
        <xdr:cNvSpPr/>
      </xdr:nvSpPr>
      <xdr:spPr>
        <a:xfrm>
          <a:off x="6000750" y="857250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6</xdr:col>
      <xdr:colOff>923925</xdr:colOff>
      <xdr:row>52</xdr:row>
      <xdr:rowOff>8858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7953375" y="858135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8</xdr:col>
      <xdr:colOff>200025</xdr:colOff>
      <xdr:row>52</xdr:row>
      <xdr:rowOff>9525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9925050" y="858202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7</xdr:col>
      <xdr:colOff>723900</xdr:colOff>
      <xdr:row>45</xdr:row>
      <xdr:rowOff>114299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8810625" y="755332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5</xdr:col>
      <xdr:colOff>0</xdr:colOff>
      <xdr:row>57</xdr:row>
      <xdr:rowOff>28576</xdr:rowOff>
    </xdr:from>
    <xdr:to>
      <xdr:col>9</xdr:col>
      <xdr:colOff>581025</xdr:colOff>
      <xdr:row>58</xdr:row>
      <xdr:rowOff>133351</xdr:rowOff>
    </xdr:to>
    <xdr:sp macro="[0]!SupprimerCopiesSimulations" textlink="">
      <xdr:nvSpPr>
        <xdr:cNvPr id="6" name="Rectangle à coins arrondis 5"/>
        <xdr:cNvSpPr/>
      </xdr:nvSpPr>
      <xdr:spPr>
        <a:xfrm>
          <a:off x="6010275" y="941070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9</xdr:col>
      <xdr:colOff>676275</xdr:colOff>
      <xdr:row>42</xdr:row>
      <xdr:rowOff>66674</xdr:rowOff>
    </xdr:from>
    <xdr:to>
      <xdr:col>13</xdr:col>
      <xdr:colOff>142875</xdr:colOff>
      <xdr:row>46</xdr:row>
      <xdr:rowOff>85726</xdr:rowOff>
    </xdr:to>
    <xdr:sp macro="" textlink="">
      <xdr:nvSpPr>
        <xdr:cNvPr id="7" name="Légende encadrée 1 6"/>
        <xdr:cNvSpPr/>
      </xdr:nvSpPr>
      <xdr:spPr>
        <a:xfrm>
          <a:off x="11696700" y="701992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5</xdr:col>
      <xdr:colOff>495299</xdr:colOff>
      <xdr:row>45</xdr:row>
      <xdr:rowOff>95250</xdr:rowOff>
    </xdr:from>
    <xdr:to>
      <xdr:col>7</xdr:col>
      <xdr:colOff>542924</xdr:colOff>
      <xdr:row>50</xdr:row>
      <xdr:rowOff>133351</xdr:rowOff>
    </xdr:to>
    <xdr:sp macro="" textlink="">
      <xdr:nvSpPr>
        <xdr:cNvPr id="8" name="Rectangle à coins arrondis 7"/>
        <xdr:cNvSpPr/>
      </xdr:nvSpPr>
      <xdr:spPr>
        <a:xfrm>
          <a:off x="6505574" y="753427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3</xdr:col>
      <xdr:colOff>190500</xdr:colOff>
      <xdr:row>42</xdr:row>
      <xdr:rowOff>66675</xdr:rowOff>
    </xdr:from>
    <xdr:to>
      <xdr:col>3</xdr:col>
      <xdr:colOff>1285875</xdr:colOff>
      <xdr:row>48</xdr:row>
      <xdr:rowOff>114300</xdr:rowOff>
    </xdr:to>
    <xdr:sp macro="" textlink="">
      <xdr:nvSpPr>
        <xdr:cNvPr id="9" name="Légende encadrée 1 8"/>
        <xdr:cNvSpPr/>
      </xdr:nvSpPr>
      <xdr:spPr>
        <a:xfrm>
          <a:off x="4029075" y="701992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3</xdr:col>
      <xdr:colOff>1362076</xdr:colOff>
      <xdr:row>30</xdr:row>
      <xdr:rowOff>0</xdr:rowOff>
    </xdr:from>
    <xdr:to>
      <xdr:col>6</xdr:col>
      <xdr:colOff>1047750</xdr:colOff>
      <xdr:row>31</xdr:row>
      <xdr:rowOff>114300</xdr:rowOff>
    </xdr:to>
    <xdr:sp macro="[0]!AfficherDétails" textlink="">
      <xdr:nvSpPr>
        <xdr:cNvPr id="10" name="Rectangle à coins arrondis 9"/>
        <xdr:cNvSpPr/>
      </xdr:nvSpPr>
      <xdr:spPr>
        <a:xfrm>
          <a:off x="5200651" y="4857750"/>
          <a:ext cx="2876549" cy="2762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47625</xdr:colOff>
      <xdr:row>30</xdr:row>
      <xdr:rowOff>0</xdr:rowOff>
    </xdr:from>
    <xdr:to>
      <xdr:col>8</xdr:col>
      <xdr:colOff>1142999</xdr:colOff>
      <xdr:row>31</xdr:row>
      <xdr:rowOff>123825</xdr:rowOff>
    </xdr:to>
    <xdr:sp macro="[0]!MasquerDétails" textlink="">
      <xdr:nvSpPr>
        <xdr:cNvPr id="11" name="Rectangle à coins arrondis 10"/>
        <xdr:cNvSpPr/>
      </xdr:nvSpPr>
      <xdr:spPr>
        <a:xfrm>
          <a:off x="8134350" y="4857750"/>
          <a:ext cx="2733674" cy="285750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533400</xdr:colOff>
      <xdr:row>29</xdr:row>
      <xdr:rowOff>76200</xdr:rowOff>
    </xdr:from>
    <xdr:to>
      <xdr:col>1</xdr:col>
      <xdr:colOff>561975</xdr:colOff>
      <xdr:row>32</xdr:row>
      <xdr:rowOff>76200</xdr:rowOff>
    </xdr:to>
    <xdr:sp macro="[0]!aargh" textlink="">
      <xdr:nvSpPr>
        <xdr:cNvPr id="12" name="Rectangle à coins arrondis 11"/>
        <xdr:cNvSpPr/>
      </xdr:nvSpPr>
      <xdr:spPr>
        <a:xfrm>
          <a:off x="533400" y="4772025"/>
          <a:ext cx="1704975" cy="4857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JPB003/AppData/Local/Microsoft/Windows/Temporary%20Internet%20Files/Content.IE5/BCK2KU15/OptV&#233;hic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RECAP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5"/>
      <sheetName val="6 NAUCELLE"/>
      <sheetName val="6"/>
      <sheetName val="Analyse Kangoo- TCD 7"/>
      <sheetName val="7 ONET-PDS-REQ"/>
      <sheetName val="Analyse Kangoo- TCD 8"/>
      <sheetName val="7"/>
      <sheetName val="8 RIEUPEYROUX"/>
      <sheetName val="Analyse Kangoo- TCD 9"/>
      <sheetName val="8"/>
      <sheetName val="9 VDP"/>
      <sheetName val="9"/>
      <sheetName val="Nouveau"/>
      <sheetName val="Actuel"/>
      <sheetName val="Rendu 2017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/>
      <sheetData sheetId="3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700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200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400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100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500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600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800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300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">
          <cell r="B1" t="str">
            <v>(Plusieurs éléments)</v>
          </cell>
          <cell r="C1" t="str">
            <v>B3;B3D;B3D1</v>
          </cell>
          <cell r="E1" t="str">
            <v xml:space="preserve"> Site</v>
          </cell>
          <cell r="F1" t="str">
            <v>Immatriculation</v>
          </cell>
          <cell r="G1" t="str">
            <v>Nbr mois avant fin contrat</v>
          </cell>
          <cell r="H1" t="str">
            <v>Km restants pour arriver au contrat</v>
          </cell>
        </row>
        <row r="2">
          <cell r="D2" t="str">
            <v xml:space="preserve"> Site</v>
          </cell>
        </row>
        <row r="3">
          <cell r="D3" t="str">
            <v>Immatriculation</v>
          </cell>
        </row>
        <row r="4">
          <cell r="D4" t="str">
            <v>Contrat</v>
          </cell>
        </row>
        <row r="5">
          <cell r="D5" t="str">
            <v>Nbr mois avant fin contrat</v>
          </cell>
        </row>
        <row r="6">
          <cell r="B6" t="str">
            <v>Immatriculation</v>
          </cell>
          <cell r="D6" t="str">
            <v>Km restants pour arriver au contrat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Sheet1"/>
    </sheetNames>
    <definedNames>
      <definedName name="aargh"/>
    </definedNames>
    <sheetDataSet>
      <sheetData sheetId="0">
        <row r="43">
          <cell r="C43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EC6C2"/>
  </sheetPr>
  <dimension ref="A1:Q59"/>
  <sheetViews>
    <sheetView showGridLines="0" workbookViewId="0">
      <selection activeCell="B40" sqref="B40"/>
    </sheetView>
  </sheetViews>
  <sheetFormatPr baseColWidth="10" defaultRowHeight="12.75" x14ac:dyDescent="0.2"/>
  <cols>
    <col min="1" max="1" width="25.140625" bestFit="1" customWidth="1"/>
    <col min="2" max="2" width="25" bestFit="1" customWidth="1"/>
    <col min="5" max="5" width="12" bestFit="1" customWidth="1"/>
    <col min="6" max="7" width="25" bestFit="1" customWidth="1"/>
    <col min="8" max="8" width="24.5703125" customWidth="1"/>
    <col min="13" max="13" width="15.42578125" bestFit="1" customWidth="1"/>
  </cols>
  <sheetData>
    <row r="1" spans="1:15" x14ac:dyDescent="0.2">
      <c r="A1" s="1" t="s">
        <v>0</v>
      </c>
      <c r="B1" s="2" t="s">
        <v>13</v>
      </c>
      <c r="C1" s="3" t="s">
        <v>14</v>
      </c>
      <c r="D1" s="4">
        <v>0</v>
      </c>
      <c r="E1" s="5" t="s">
        <v>15</v>
      </c>
      <c r="F1" s="5" t="s">
        <v>4</v>
      </c>
      <c r="G1" s="5" t="s">
        <v>16</v>
      </c>
      <c r="H1" s="5" t="s">
        <v>17</v>
      </c>
      <c r="I1" s="6" t="s">
        <v>1</v>
      </c>
    </row>
    <row r="2" spans="1:15" x14ac:dyDescent="0.2">
      <c r="A2" s="7"/>
      <c r="B2" s="8"/>
      <c r="C2" s="4"/>
      <c r="D2" s="9" t="s">
        <v>15</v>
      </c>
      <c r="E2" s="10" t="s">
        <v>24</v>
      </c>
      <c r="F2" s="10" t="s">
        <v>25</v>
      </c>
      <c r="G2" s="10" t="s">
        <v>25</v>
      </c>
      <c r="H2" s="10" t="s">
        <v>25</v>
      </c>
    </row>
    <row r="3" spans="1:15" x14ac:dyDescent="0.2">
      <c r="A3" s="7"/>
      <c r="B3" s="8"/>
      <c r="C3" s="4"/>
      <c r="D3" s="9" t="s">
        <v>4</v>
      </c>
      <c r="E3" s="10" t="s">
        <v>20</v>
      </c>
      <c r="F3" s="10" t="s">
        <v>21</v>
      </c>
      <c r="G3" s="10" t="s">
        <v>22</v>
      </c>
      <c r="H3" s="10" t="s">
        <v>23</v>
      </c>
    </row>
    <row r="4" spans="1:15" x14ac:dyDescent="0.2">
      <c r="A4" s="7"/>
      <c r="B4" s="8"/>
      <c r="C4" s="4"/>
      <c r="D4" s="9" t="s">
        <v>18</v>
      </c>
      <c r="E4" s="11">
        <v>100000</v>
      </c>
      <c r="F4" s="11">
        <v>100000</v>
      </c>
      <c r="G4" s="11">
        <v>100000</v>
      </c>
      <c r="H4" s="11">
        <v>100000</v>
      </c>
    </row>
    <row r="5" spans="1:15" x14ac:dyDescent="0.2">
      <c r="A5" s="7"/>
      <c r="B5" s="8"/>
      <c r="C5" s="4"/>
      <c r="D5" s="9" t="s">
        <v>16</v>
      </c>
      <c r="E5" s="11">
        <v>56</v>
      </c>
      <c r="F5" s="11">
        <v>11</v>
      </c>
      <c r="G5" s="11">
        <v>19</v>
      </c>
      <c r="H5" s="11">
        <v>56</v>
      </c>
    </row>
    <row r="6" spans="1:15" x14ac:dyDescent="0.2">
      <c r="A6" s="12"/>
      <c r="B6" s="13" t="s">
        <v>4</v>
      </c>
      <c r="C6" s="14">
        <v>0</v>
      </c>
      <c r="D6" s="15" t="s">
        <v>17</v>
      </c>
      <c r="E6" s="13">
        <v>-90044</v>
      </c>
      <c r="F6" s="13">
        <v>-57452</v>
      </c>
      <c r="G6" s="13">
        <v>230</v>
      </c>
      <c r="H6" s="13">
        <v>-90390</v>
      </c>
    </row>
    <row r="7" spans="1:15" x14ac:dyDescent="0.2">
      <c r="A7" s="16" t="s">
        <v>2</v>
      </c>
      <c r="B7" s="16" t="s">
        <v>4</v>
      </c>
      <c r="C7" s="16" t="s">
        <v>3</v>
      </c>
      <c r="D7" s="16" t="s">
        <v>19</v>
      </c>
      <c r="E7" s="17">
        <v>8</v>
      </c>
      <c r="F7" s="17">
        <v>5</v>
      </c>
      <c r="G7" s="17">
        <v>2</v>
      </c>
      <c r="H7" s="17">
        <v>4</v>
      </c>
      <c r="I7" s="16" t="s">
        <v>3</v>
      </c>
      <c r="J7" s="16" t="s">
        <v>4</v>
      </c>
    </row>
    <row r="8" spans="1:15" x14ac:dyDescent="0.2">
      <c r="A8" s="16" t="s">
        <v>24</v>
      </c>
      <c r="B8" s="16" t="s">
        <v>20</v>
      </c>
      <c r="C8" s="16">
        <v>8</v>
      </c>
      <c r="D8" s="18">
        <v>1659.3333333333333</v>
      </c>
      <c r="E8" s="19">
        <v>2878.666666666657</v>
      </c>
      <c r="F8" s="19">
        <v>39199.333333333336</v>
      </c>
      <c r="G8" s="19">
        <v>31757.333333333343</v>
      </c>
      <c r="H8" s="19">
        <v>2532.666666666657</v>
      </c>
      <c r="I8" s="16">
        <v>8</v>
      </c>
      <c r="J8" s="16" t="s">
        <v>20</v>
      </c>
    </row>
    <row r="9" spans="1:15" x14ac:dyDescent="0.2">
      <c r="A9" s="16" t="s">
        <v>25</v>
      </c>
      <c r="B9" s="16" t="s">
        <v>21</v>
      </c>
      <c r="C9" s="16">
        <v>5</v>
      </c>
      <c r="D9" s="18">
        <v>808.66666666666663</v>
      </c>
      <c r="E9" s="19">
        <v>44758.666666666672</v>
      </c>
      <c r="F9" s="19">
        <v>48556.666666666672</v>
      </c>
      <c r="G9" s="19">
        <v>15594.666666666672</v>
      </c>
      <c r="H9" s="19">
        <v>45104.666666666672</v>
      </c>
      <c r="I9" s="16">
        <v>5</v>
      </c>
      <c r="J9" s="16" t="s">
        <v>21</v>
      </c>
    </row>
    <row r="10" spans="1:15" x14ac:dyDescent="0.2">
      <c r="A10" s="16" t="s">
        <v>25</v>
      </c>
      <c r="B10" s="16" t="s">
        <v>22</v>
      </c>
      <c r="C10" s="16">
        <v>2</v>
      </c>
      <c r="D10" s="18">
        <v>1932</v>
      </c>
      <c r="E10" s="19">
        <v>18148</v>
      </c>
      <c r="F10" s="19">
        <v>36200</v>
      </c>
      <c r="G10" s="19">
        <v>36938</v>
      </c>
      <c r="H10" s="19">
        <v>17802</v>
      </c>
      <c r="I10" s="16">
        <v>2</v>
      </c>
      <c r="J10" s="16" t="s">
        <v>22</v>
      </c>
    </row>
    <row r="11" spans="1:15" x14ac:dyDescent="0.2">
      <c r="A11" s="16" t="s">
        <v>25</v>
      </c>
      <c r="B11" s="16" t="s">
        <v>23</v>
      </c>
      <c r="C11" s="16">
        <v>4</v>
      </c>
      <c r="D11" s="18">
        <v>1601.6666666666667</v>
      </c>
      <c r="E11" s="19">
        <v>350.66666666665697</v>
      </c>
      <c r="F11" s="19">
        <v>39833.666666666664</v>
      </c>
      <c r="G11" s="19">
        <v>30661.666666666672</v>
      </c>
      <c r="H11" s="19">
        <v>696.66666666665697</v>
      </c>
      <c r="I11" s="16">
        <v>4</v>
      </c>
      <c r="J11" s="16" t="s">
        <v>23</v>
      </c>
    </row>
    <row r="12" spans="1:15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7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7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7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7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7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7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7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7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7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7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7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7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7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">
      <c r="A31" s="20"/>
      <c r="B31" s="20"/>
      <c r="C31" s="20"/>
      <c r="D31" s="20"/>
      <c r="E31" s="20"/>
      <c r="F31" s="20"/>
      <c r="G31" s="20"/>
      <c r="H31" s="28"/>
      <c r="I31" s="20"/>
      <c r="J31" s="20"/>
      <c r="K31" s="20"/>
      <c r="L31" s="20"/>
      <c r="M31" s="20"/>
      <c r="N31" s="20"/>
      <c r="O31" s="20"/>
      <c r="P31" s="20"/>
      <c r="Q31" s="20"/>
    </row>
    <row r="33" spans="2:17" x14ac:dyDescent="0.2">
      <c r="B33" s="29" t="s">
        <v>5</v>
      </c>
      <c r="C33" s="17" t="str">
        <f>E3</f>
        <v>EH-733-F</v>
      </c>
      <c r="D33" s="17" t="str">
        <f t="shared" ref="D33:F33" si="0">F3</f>
        <v>CR-502-S</v>
      </c>
      <c r="E33" s="17" t="str">
        <f t="shared" si="0"/>
        <v>CZ-510-Z</v>
      </c>
      <c r="F33" s="17" t="str">
        <f t="shared" si="0"/>
        <v>EH-360-N</v>
      </c>
    </row>
    <row r="34" spans="2:17" x14ac:dyDescent="0.2">
      <c r="B34" s="29" t="s">
        <v>6</v>
      </c>
      <c r="C34" s="17">
        <f>E7</f>
        <v>8</v>
      </c>
      <c r="D34" s="17">
        <f t="shared" ref="D34:F34" si="1">F7</f>
        <v>5</v>
      </c>
      <c r="E34" s="17">
        <f t="shared" si="1"/>
        <v>2</v>
      </c>
      <c r="F34" s="17">
        <f t="shared" si="1"/>
        <v>4</v>
      </c>
    </row>
    <row r="35" spans="2:17" ht="15" x14ac:dyDescent="0.2">
      <c r="B35" s="29" t="s">
        <v>7</v>
      </c>
      <c r="C35" s="17">
        <f>VLOOKUP(C33,$B$8:$H$11,4,FALSE)</f>
        <v>2878.666666666657</v>
      </c>
      <c r="D35" s="17">
        <f t="shared" ref="D35:F35" si="2">VLOOKUP(D33,$B$8:$H$11,4,FALSE)</f>
        <v>44758.666666666672</v>
      </c>
      <c r="E35" s="17">
        <f t="shared" si="2"/>
        <v>18148</v>
      </c>
      <c r="F35" s="17">
        <f t="shared" si="2"/>
        <v>350.66666666665697</v>
      </c>
      <c r="G35" s="30">
        <f>SUM(C35:F35)</f>
        <v>66135.999999999985</v>
      </c>
    </row>
    <row r="36" spans="2:17" x14ac:dyDescent="0.2">
      <c r="B36" s="6"/>
    </row>
    <row r="37" spans="2:17" x14ac:dyDescent="0.2">
      <c r="B37" s="21" t="s">
        <v>8</v>
      </c>
      <c r="C37" s="32">
        <f t="array" ref="C37">VLOOKUP(INDEX(E$8:E$11,MATCH(MIN(ABS(ValeurCible-E$8:E$11)),ABS(ValeurCible-E$8:E$11),0)),E$8:I$11,5,FALSE)</f>
        <v>4</v>
      </c>
      <c r="D37" s="32">
        <f t="array" ref="D37">VLOOKUP(INDEX(F$8:F$11,MATCH(MIN(ABS(ValeurCible-F$8:F$11)),ABS(ValeurCible-F$8:F$11),0)),F$8:I$11,4,FALSE)</f>
        <v>2</v>
      </c>
      <c r="E37" s="32">
        <f t="array" ref="E37">VLOOKUP(INDEX(G$8:G$11,MATCH(MIN(ABS(ValeurCible-G$8:G$11)),ABS(ValeurCible-G$8:G$11),0)),G$8:I$11,3,FALSE)</f>
        <v>5</v>
      </c>
      <c r="F37" s="32">
        <v>8</v>
      </c>
      <c r="G37" s="22"/>
    </row>
    <row r="38" spans="2:17" ht="15" x14ac:dyDescent="0.2">
      <c r="B38" s="21" t="s">
        <v>9</v>
      </c>
      <c r="C38" s="33">
        <f t="array" ref="C38">VLOOKUP(C37,$C$8:$I$12,3,FALSE)</f>
        <v>350.66666666665697</v>
      </c>
      <c r="D38" s="33">
        <f t="array" ref="D38">VLOOKUP(D37,$C$8:$I$12,4,FALSE)</f>
        <v>36200</v>
      </c>
      <c r="E38" s="33">
        <f t="array" ref="E38">VLOOKUP(E37,$C$8:$I$12,5,FALSE)</f>
        <v>15594.666666666672</v>
      </c>
      <c r="F38" s="33">
        <f t="array" ref="F38">VLOOKUP(F37,$C$8:$I$12,6,FALSE)</f>
        <v>2532.666666666657</v>
      </c>
      <c r="G38" s="35">
        <f>SUM(C38:F38)</f>
        <v>54677.999999999985</v>
      </c>
      <c r="I38" s="23"/>
      <c r="J38" s="23"/>
      <c r="K38" s="23"/>
      <c r="L38" s="23"/>
      <c r="M38" s="23"/>
      <c r="N38" s="23"/>
      <c r="O38" s="23"/>
      <c r="P38" s="23"/>
      <c r="Q38" s="23"/>
    </row>
    <row r="39" spans="2:17" x14ac:dyDescent="0.2">
      <c r="B39" s="31" t="s">
        <v>10</v>
      </c>
      <c r="C39" s="34" t="str">
        <f t="array" ref="C39">VLOOKUP(C37,$I$8:$J$11,2,FALSE)</f>
        <v>EH-360-N</v>
      </c>
      <c r="D39" s="34" t="str">
        <f t="array" ref="D39">VLOOKUP(D37,$I$8:$J$11,2,FALSE)</f>
        <v>CZ-510-Z</v>
      </c>
      <c r="E39" s="34" t="str">
        <f t="array" ref="E39">VLOOKUP(E37,$I$8:$J$11,2,FALSE)</f>
        <v>CR-502-S</v>
      </c>
      <c r="F39" s="34" t="str">
        <f t="array" ref="F39">VLOOKUP(F37,$I$8:$J$11,2,FALSE)</f>
        <v>EH-733-F</v>
      </c>
      <c r="G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2:17" ht="21.75" customHeight="1" x14ac:dyDescent="0.2">
      <c r="C40" s="24">
        <f t="array" ref="C40">VLOOKUP(INDEX(E$8:E$11,MATCH(MIN(ABS(ValeurCible-E$8:E$11)),ABS(ValeurCible-E$8:E$11),0)),E$8:I$11,5,FALSE)</f>
        <v>4</v>
      </c>
      <c r="D40" s="24">
        <f t="array" ref="D40">VLOOKUP(INDEX(F$8:F$11,MATCH(MIN(ABS(ValeurCible-F$8:F$11)),ABS(ValeurCible-F$8:F$11),0)),F$8:I$11,4,FALSE)</f>
        <v>2</v>
      </c>
      <c r="E40" s="24">
        <f t="array" ref="E40">VLOOKUP(INDEX(G$8:G$11,MATCH(MIN(ABS(ValeurCible-G$8:G$11)),ABS(ValeurCible-G$8:G$11),0)),G$8:I$11,3,FALSE)</f>
        <v>5</v>
      </c>
      <c r="F40" s="24">
        <f t="array" ref="F40">VLOOKUP(INDEX(H$8:H$11,MATCH(MIN(ABS(ValeurCible-H$8:H$11)),ABS(ValeurCible-H$8:H$11),0)),H$8:I$11,2,FALSE)</f>
        <v>4</v>
      </c>
      <c r="G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2:17" ht="15" x14ac:dyDescent="0.2">
      <c r="B41" s="36" t="s">
        <v>11</v>
      </c>
      <c r="C41" s="37">
        <f>C38-C35</f>
        <v>-2528</v>
      </c>
      <c r="D41" s="37">
        <f t="shared" ref="D41:F41" si="3">D38-D35</f>
        <v>-8558.6666666666715</v>
      </c>
      <c r="E41" s="37">
        <f t="shared" si="3"/>
        <v>-2553.3333333333285</v>
      </c>
      <c r="F41" s="37">
        <f t="shared" si="3"/>
        <v>2182</v>
      </c>
      <c r="G41" s="25">
        <f>SUM(C41:F41)</f>
        <v>-11458</v>
      </c>
    </row>
    <row r="43" spans="2:17" x14ac:dyDescent="0.2">
      <c r="B43" s="38" t="s">
        <v>12</v>
      </c>
      <c r="C43" s="38">
        <v>0</v>
      </c>
      <c r="G43" s="26"/>
    </row>
    <row r="45" spans="2:17" x14ac:dyDescent="0.2">
      <c r="B45" s="27"/>
      <c r="C45" s="27"/>
      <c r="D45" s="27"/>
      <c r="E45" s="27"/>
      <c r="F45" s="27"/>
      <c r="G45" s="27"/>
    </row>
    <row r="46" spans="2:17" x14ac:dyDescent="0.2">
      <c r="B46" s="27"/>
      <c r="C46" s="27"/>
      <c r="D46" s="27"/>
      <c r="E46" s="27"/>
      <c r="F46" s="27"/>
      <c r="G46" s="27"/>
    </row>
    <row r="47" spans="2:17" x14ac:dyDescent="0.2">
      <c r="B47" s="27"/>
      <c r="C47" s="27"/>
      <c r="D47" s="27"/>
      <c r="E47" s="27"/>
      <c r="F47" s="27"/>
      <c r="G47" s="27"/>
    </row>
    <row r="48" spans="2:17" x14ac:dyDescent="0.2">
      <c r="B48" s="27"/>
      <c r="C48" s="27"/>
      <c r="D48" s="27"/>
      <c r="E48" s="27"/>
      <c r="F48" s="27"/>
      <c r="G48" s="27"/>
    </row>
    <row r="49" spans="2:7" x14ac:dyDescent="0.2">
      <c r="B49" s="27"/>
      <c r="C49" s="27"/>
      <c r="D49" s="27"/>
      <c r="E49" s="27"/>
      <c r="F49" s="27"/>
      <c r="G49" s="27"/>
    </row>
    <row r="50" spans="2:7" x14ac:dyDescent="0.2">
      <c r="B50" s="27"/>
      <c r="C50" s="27"/>
      <c r="D50" s="27"/>
      <c r="E50" s="27"/>
      <c r="F50" s="27"/>
      <c r="G50" s="27"/>
    </row>
    <row r="51" spans="2:7" x14ac:dyDescent="0.2">
      <c r="B51" s="27"/>
      <c r="C51" s="27"/>
      <c r="D51" s="27"/>
      <c r="E51" s="27"/>
      <c r="F51" s="27"/>
      <c r="G51" s="27"/>
    </row>
    <row r="52" spans="2:7" x14ac:dyDescent="0.2">
      <c r="B52" s="27"/>
      <c r="C52" s="27"/>
      <c r="D52" s="27"/>
      <c r="E52" s="27"/>
      <c r="F52" s="27"/>
      <c r="G52" s="27"/>
    </row>
    <row r="53" spans="2:7" x14ac:dyDescent="0.2">
      <c r="B53" s="27"/>
      <c r="C53" s="27"/>
      <c r="D53" s="27"/>
      <c r="E53" s="27"/>
      <c r="F53" s="27"/>
      <c r="G53" s="27"/>
    </row>
    <row r="54" spans="2:7" x14ac:dyDescent="0.2">
      <c r="B54" s="27"/>
      <c r="C54" s="27"/>
      <c r="D54" s="27"/>
      <c r="E54" s="27"/>
      <c r="F54" s="27"/>
      <c r="G54" s="27"/>
    </row>
    <row r="55" spans="2:7" x14ac:dyDescent="0.2">
      <c r="B55" s="27"/>
      <c r="C55" s="27"/>
      <c r="D55" s="27"/>
      <c r="E55" s="27"/>
      <c r="F55" s="27"/>
      <c r="G55" s="27"/>
    </row>
    <row r="56" spans="2:7" x14ac:dyDescent="0.2">
      <c r="B56" s="27"/>
      <c r="C56" s="27"/>
      <c r="D56" s="27"/>
      <c r="E56" s="27"/>
      <c r="F56" s="27"/>
      <c r="G56" s="27"/>
    </row>
    <row r="57" spans="2:7" x14ac:dyDescent="0.2">
      <c r="B57" s="27"/>
      <c r="C57" s="27"/>
      <c r="D57" s="27"/>
      <c r="E57" s="27"/>
      <c r="F57" s="27"/>
      <c r="G57" s="27"/>
    </row>
    <row r="58" spans="2:7" x14ac:dyDescent="0.2">
      <c r="B58" s="27"/>
      <c r="C58" s="27"/>
      <c r="D58" s="27"/>
      <c r="E58" s="27"/>
      <c r="F58" s="27"/>
      <c r="G58" s="27"/>
    </row>
    <row r="59" spans="2:7" x14ac:dyDescent="0.2">
      <c r="B59" s="27"/>
      <c r="C59" s="27"/>
      <c r="D59" s="27"/>
      <c r="E59" s="27"/>
      <c r="F59" s="27"/>
      <c r="G59" s="27"/>
    </row>
  </sheetData>
  <conditionalFormatting sqref="B6">
    <cfRule type="cellIs" dxfId="23" priority="29" operator="greaterThan">
      <formula>0</formula>
    </cfRule>
    <cfRule type="cellIs" dxfId="22" priority="30" operator="lessThan">
      <formula>0</formula>
    </cfRule>
  </conditionalFormatting>
  <conditionalFormatting sqref="A6 C6 E6:H6">
    <cfRule type="cellIs" dxfId="21" priority="31" operator="greaterThan">
      <formula>0</formula>
    </cfRule>
    <cfRule type="cellIs" dxfId="20" priority="32" operator="lessThan">
      <formula>0</formula>
    </cfRule>
  </conditionalFormatting>
  <conditionalFormatting sqref="G41">
    <cfRule type="cellIs" dxfId="19" priority="27" operator="lessThan">
      <formula>0</formula>
    </cfRule>
  </conditionalFormatting>
  <conditionalFormatting sqref="C37:F37">
    <cfRule type="duplicateValues" dxfId="18" priority="28"/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tabColor rgb="FFFEC6C2"/>
  </sheetPr>
  <dimension ref="A1:AE60"/>
  <sheetViews>
    <sheetView showGridLines="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B39" sqref="B39"/>
    </sheetView>
  </sheetViews>
  <sheetFormatPr baseColWidth="10" defaultRowHeight="12.75" x14ac:dyDescent="0.2"/>
  <cols>
    <col min="1" max="1" width="25.140625" bestFit="1" customWidth="1"/>
    <col min="2" max="2" width="18.140625" bestFit="1" customWidth="1"/>
    <col min="3" max="3" width="14.28515625" bestFit="1" customWidth="1"/>
    <col min="4" max="4" width="20.5703125" customWidth="1"/>
    <col min="5" max="5" width="12" bestFit="1" customWidth="1"/>
    <col min="6" max="6" width="15.28515625" bestFit="1" customWidth="1"/>
    <col min="7" max="7" width="15.85546875" customWidth="1"/>
    <col min="8" max="8" width="24.5703125" customWidth="1"/>
    <col min="9" max="9" width="19.42578125" bestFit="1" customWidth="1"/>
    <col min="13" max="26" width="11.42578125" customWidth="1"/>
    <col min="28" max="28" width="15.42578125" bestFit="1" customWidth="1"/>
  </cols>
  <sheetData>
    <row r="1" spans="1:31" x14ac:dyDescent="0.2">
      <c r="A1" s="1" t="s">
        <v>0</v>
      </c>
      <c r="B1" s="2" t="str">
        <f>'[1]7 ONET-PDS-REQ'!B1</f>
        <v>(Plusieurs éléments)</v>
      </c>
      <c r="C1" s="3" t="str">
        <f>'[1]7 ONET-PDS-REQ'!C1</f>
        <v>B3;B3D;B3D1</v>
      </c>
      <c r="D1" s="4">
        <f>'[1]7 ONET-PDS-REQ'!D1</f>
        <v>0</v>
      </c>
      <c r="E1" s="39" t="str">
        <f>'[1]7 ONET-PDS-REQ'!E1</f>
        <v xml:space="preserve"> Site</v>
      </c>
      <c r="F1" s="39" t="str">
        <f>'[1]7 ONET-PDS-REQ'!F1</f>
        <v>Immatriculation</v>
      </c>
      <c r="G1" s="39" t="str">
        <f>'[1]7 ONET-PDS-REQ'!G1</f>
        <v>Nbr mois avant fin contrat</v>
      </c>
      <c r="H1" s="39" t="str">
        <f>'[1]7 ONET-PDS-REQ'!H1</f>
        <v>Km restants pour arriver au contrat</v>
      </c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</row>
    <row r="2" spans="1:31" x14ac:dyDescent="0.2">
      <c r="A2" s="7"/>
      <c r="B2" s="5">
        <f>'[1]7 ONET-PDS-REQ'!B2</f>
        <v>0</v>
      </c>
      <c r="C2" s="40">
        <f>'[1]7 ONET-PDS-REQ'!C2</f>
        <v>0</v>
      </c>
      <c r="D2" s="9" t="str">
        <f>'[1]7 ONET-PDS-REQ'!D2</f>
        <v xml:space="preserve"> Site</v>
      </c>
      <c r="E2" s="57" t="s">
        <v>30</v>
      </c>
      <c r="F2" s="57" t="s">
        <v>30</v>
      </c>
      <c r="G2" s="57" t="s">
        <v>30</v>
      </c>
      <c r="H2" s="57" t="s">
        <v>30</v>
      </c>
      <c r="I2" s="57" t="s">
        <v>30</v>
      </c>
      <c r="J2" s="57" t="s">
        <v>30</v>
      </c>
      <c r="K2" s="57" t="s">
        <v>30</v>
      </c>
      <c r="L2" s="57" t="s">
        <v>30</v>
      </c>
      <c r="M2" s="57" t="s">
        <v>30</v>
      </c>
      <c r="N2" s="57" t="s">
        <v>27</v>
      </c>
      <c r="O2" s="57" t="s">
        <v>27</v>
      </c>
      <c r="P2" s="57" t="s">
        <v>27</v>
      </c>
      <c r="Q2" s="57" t="s">
        <v>27</v>
      </c>
      <c r="R2" s="57" t="s">
        <v>27</v>
      </c>
      <c r="S2" s="57" t="s">
        <v>27</v>
      </c>
      <c r="T2" s="57" t="s">
        <v>27</v>
      </c>
      <c r="U2" s="57" t="s">
        <v>27</v>
      </c>
      <c r="V2" s="57" t="s">
        <v>53</v>
      </c>
      <c r="W2" s="57" t="s">
        <v>53</v>
      </c>
      <c r="X2" s="57" t="s">
        <v>53</v>
      </c>
      <c r="Y2" s="57" t="s">
        <v>53</v>
      </c>
      <c r="Z2" s="57"/>
      <c r="AA2" s="57"/>
    </row>
    <row r="3" spans="1:31" x14ac:dyDescent="0.2">
      <c r="A3" s="7"/>
      <c r="B3" s="5">
        <f>'[1]7 ONET-PDS-REQ'!B3</f>
        <v>0</v>
      </c>
      <c r="C3" s="40">
        <f>'[1]7 ONET-PDS-REQ'!C3</f>
        <v>0</v>
      </c>
      <c r="D3" s="9" t="str">
        <f>'[1]7 ONET-PDS-REQ'!D3</f>
        <v>Immatriculation</v>
      </c>
      <c r="E3" s="57" t="s">
        <v>31</v>
      </c>
      <c r="F3" s="57" t="s">
        <v>32</v>
      </c>
      <c r="G3" s="57" t="s">
        <v>33</v>
      </c>
      <c r="H3" s="57" t="s">
        <v>34</v>
      </c>
      <c r="I3" s="57" t="s">
        <v>35</v>
      </c>
      <c r="J3" s="57" t="s">
        <v>36</v>
      </c>
      <c r="K3" s="57" t="s">
        <v>37</v>
      </c>
      <c r="L3" s="57" t="s">
        <v>38</v>
      </c>
      <c r="M3" s="57" t="s">
        <v>39</v>
      </c>
      <c r="N3" s="57" t="s">
        <v>40</v>
      </c>
      <c r="O3" s="57" t="s">
        <v>41</v>
      </c>
      <c r="P3" s="57" t="s">
        <v>43</v>
      </c>
      <c r="Q3" s="57" t="s">
        <v>44</v>
      </c>
      <c r="R3" s="57" t="s">
        <v>45</v>
      </c>
      <c r="S3" s="57" t="s">
        <v>46</v>
      </c>
      <c r="T3" s="57" t="s">
        <v>47</v>
      </c>
      <c r="U3" s="57" t="s">
        <v>48</v>
      </c>
      <c r="V3" s="57" t="s">
        <v>49</v>
      </c>
      <c r="W3" s="57" t="s">
        <v>50</v>
      </c>
      <c r="X3" s="57" t="s">
        <v>51</v>
      </c>
      <c r="Y3" s="57" t="s">
        <v>52</v>
      </c>
      <c r="Z3" s="57"/>
      <c r="AA3" s="57"/>
    </row>
    <row r="4" spans="1:31" x14ac:dyDescent="0.2">
      <c r="A4" s="7"/>
      <c r="B4" s="5">
        <f>'[1]7 ONET-PDS-REQ'!B4</f>
        <v>0</v>
      </c>
      <c r="C4" s="40">
        <f>'[1]7 ONET-PDS-REQ'!C4</f>
        <v>0</v>
      </c>
      <c r="D4" s="9" t="str">
        <f>'[1]7 ONET-PDS-REQ'!D4</f>
        <v>Contrat</v>
      </c>
      <c r="E4" s="58">
        <v>100000</v>
      </c>
      <c r="F4" s="58">
        <v>100000</v>
      </c>
      <c r="G4" s="58">
        <v>100000</v>
      </c>
      <c r="H4" s="58">
        <v>100000</v>
      </c>
      <c r="I4" s="58">
        <v>100000</v>
      </c>
      <c r="J4" s="58">
        <v>100000</v>
      </c>
      <c r="K4" s="58">
        <v>100000</v>
      </c>
      <c r="L4" s="58">
        <v>100000</v>
      </c>
      <c r="M4" s="58">
        <v>100000</v>
      </c>
      <c r="N4" s="58">
        <v>100000</v>
      </c>
      <c r="O4" s="58">
        <v>100000</v>
      </c>
      <c r="P4" s="58">
        <v>100000</v>
      </c>
      <c r="Q4" s="58">
        <v>100000</v>
      </c>
      <c r="R4" s="58">
        <v>100000</v>
      </c>
      <c r="S4" s="58">
        <v>100000</v>
      </c>
      <c r="T4" s="58">
        <v>100000</v>
      </c>
      <c r="U4" s="58">
        <v>100000</v>
      </c>
      <c r="V4" s="58">
        <v>100000</v>
      </c>
      <c r="W4" s="58">
        <v>100000</v>
      </c>
      <c r="X4" s="58">
        <v>100000</v>
      </c>
      <c r="Y4" s="58">
        <v>100000</v>
      </c>
      <c r="Z4" s="58"/>
      <c r="AA4" s="58"/>
    </row>
    <row r="5" spans="1:31" x14ac:dyDescent="0.2">
      <c r="A5" s="7"/>
      <c r="B5" s="5">
        <f>'[1]7 ONET-PDS-REQ'!B5</f>
        <v>0</v>
      </c>
      <c r="C5" s="40">
        <f>'[1]7 ONET-PDS-REQ'!C5</f>
        <v>0</v>
      </c>
      <c r="D5" s="9" t="str">
        <f>'[1]7 ONET-PDS-REQ'!D5</f>
        <v>Nbr mois avant fin contrat</v>
      </c>
      <c r="E5" s="58">
        <v>20</v>
      </c>
      <c r="F5" s="58">
        <v>23</v>
      </c>
      <c r="G5" s="58">
        <v>36</v>
      </c>
      <c r="H5" s="58">
        <v>38</v>
      </c>
      <c r="I5" s="58">
        <v>40</v>
      </c>
      <c r="J5" s="58">
        <v>4</v>
      </c>
      <c r="K5" s="58">
        <v>20</v>
      </c>
      <c r="L5" s="58">
        <v>23</v>
      </c>
      <c r="M5" s="58">
        <v>48</v>
      </c>
      <c r="N5" s="58">
        <v>13</v>
      </c>
      <c r="O5" s="58">
        <v>18</v>
      </c>
      <c r="P5" s="58">
        <v>18</v>
      </c>
      <c r="Q5" s="58">
        <v>18</v>
      </c>
      <c r="R5" s="58">
        <v>18</v>
      </c>
      <c r="S5" s="58">
        <v>32</v>
      </c>
      <c r="T5" s="58">
        <v>42</v>
      </c>
      <c r="U5" s="58">
        <v>48</v>
      </c>
      <c r="V5" s="58">
        <v>4</v>
      </c>
      <c r="W5" s="58">
        <v>18</v>
      </c>
      <c r="X5" s="58">
        <v>23</v>
      </c>
      <c r="Y5" s="58">
        <v>54</v>
      </c>
      <c r="Z5" s="58"/>
      <c r="AA5" s="58"/>
    </row>
    <row r="6" spans="1:31" x14ac:dyDescent="0.2">
      <c r="A6" s="12"/>
      <c r="B6" s="13" t="str">
        <f>'[1]7 ONET-PDS-REQ'!B6</f>
        <v>Immatriculation</v>
      </c>
      <c r="C6" s="41">
        <f>'[1]7 ONET-PDS-REQ'!C6</f>
        <v>0</v>
      </c>
      <c r="D6" s="15" t="str">
        <f>'[1]7 ONET-PDS-REQ'!D6</f>
        <v>Km restants pour arriver au contrat</v>
      </c>
      <c r="E6" s="59">
        <v>-57809</v>
      </c>
      <c r="F6" s="59">
        <v>-43091</v>
      </c>
      <c r="G6" s="59">
        <v>-62219</v>
      </c>
      <c r="H6" s="59">
        <v>-82246</v>
      </c>
      <c r="I6" s="59">
        <v>-86018</v>
      </c>
      <c r="J6" s="59">
        <v>-21382</v>
      </c>
      <c r="K6" s="59">
        <v>-44958</v>
      </c>
      <c r="L6" s="59">
        <v>-50501</v>
      </c>
      <c r="M6" s="59">
        <v>-90734</v>
      </c>
      <c r="N6" s="59">
        <v>8670</v>
      </c>
      <c r="O6" s="59">
        <v>1099</v>
      </c>
      <c r="P6" s="59">
        <v>14018</v>
      </c>
      <c r="Q6" s="59">
        <v>-22899</v>
      </c>
      <c r="R6" s="59">
        <v>-18862</v>
      </c>
      <c r="S6" s="59">
        <v>-66092</v>
      </c>
      <c r="T6" s="59">
        <v>-65196</v>
      </c>
      <c r="U6" s="59">
        <v>-75698</v>
      </c>
      <c r="V6" s="59">
        <v>-30939</v>
      </c>
      <c r="W6" s="59">
        <v>-18109</v>
      </c>
      <c r="X6" s="59">
        <v>-39605</v>
      </c>
      <c r="Y6" s="59">
        <v>-84560</v>
      </c>
      <c r="Z6" s="59"/>
      <c r="AA6" s="59"/>
    </row>
    <row r="7" spans="1:31" x14ac:dyDescent="0.2">
      <c r="A7" s="16" t="s">
        <v>2</v>
      </c>
      <c r="B7" s="16" t="s">
        <v>4</v>
      </c>
      <c r="C7" s="16" t="s">
        <v>3</v>
      </c>
      <c r="D7" s="16" t="s">
        <v>19</v>
      </c>
      <c r="E7" s="60">
        <v>46</v>
      </c>
      <c r="F7" s="60">
        <v>47</v>
      </c>
      <c r="G7" s="60">
        <v>54</v>
      </c>
      <c r="H7" s="60">
        <v>31</v>
      </c>
      <c r="I7" s="60">
        <v>5</v>
      </c>
      <c r="J7" s="60">
        <v>32</v>
      </c>
      <c r="K7" s="60">
        <v>34</v>
      </c>
      <c r="L7" s="60">
        <v>48</v>
      </c>
      <c r="M7" s="60">
        <v>36</v>
      </c>
      <c r="N7" s="60">
        <v>7</v>
      </c>
      <c r="O7" s="60" t="s">
        <v>42</v>
      </c>
      <c r="P7" s="60">
        <v>9</v>
      </c>
      <c r="Q7" s="60">
        <v>2</v>
      </c>
      <c r="R7" s="60">
        <v>11</v>
      </c>
      <c r="S7" s="60">
        <v>1</v>
      </c>
      <c r="T7" s="60">
        <v>6</v>
      </c>
      <c r="U7" s="60">
        <v>3</v>
      </c>
      <c r="V7" s="60">
        <v>700</v>
      </c>
      <c r="W7" s="60">
        <v>200</v>
      </c>
      <c r="X7" s="60">
        <v>300</v>
      </c>
      <c r="Y7" s="60">
        <v>600</v>
      </c>
      <c r="Z7" s="61" t="s">
        <v>3</v>
      </c>
      <c r="AA7" s="61" t="s">
        <v>4</v>
      </c>
    </row>
    <row r="8" spans="1:31" x14ac:dyDescent="0.2">
      <c r="A8" s="42" t="s">
        <v>30</v>
      </c>
      <c r="B8" s="42" t="s">
        <v>31</v>
      </c>
      <c r="C8" s="16">
        <v>46</v>
      </c>
      <c r="D8" s="18">
        <v>688.66666666666663</v>
      </c>
      <c r="E8" s="62">
        <v>44035.666666666672</v>
      </c>
      <c r="F8" s="62">
        <v>27251.666666666668</v>
      </c>
      <c r="G8" s="62">
        <v>37427</v>
      </c>
      <c r="H8" s="62">
        <v>56076.666666666672</v>
      </c>
      <c r="I8" s="62">
        <v>58471.333333333336</v>
      </c>
      <c r="J8" s="62">
        <v>18627.333333333332</v>
      </c>
      <c r="K8" s="62">
        <v>31184.666666666668</v>
      </c>
      <c r="L8" s="62">
        <v>34661.666666666672</v>
      </c>
      <c r="M8" s="62">
        <v>57678</v>
      </c>
      <c r="N8" s="62">
        <v>17622.666666666664</v>
      </c>
      <c r="O8" s="62">
        <v>13495</v>
      </c>
      <c r="P8" s="62">
        <v>26414</v>
      </c>
      <c r="Q8" s="62">
        <v>10503</v>
      </c>
      <c r="R8" s="62">
        <v>6466</v>
      </c>
      <c r="S8" s="62">
        <v>44054.666666666672</v>
      </c>
      <c r="T8" s="62">
        <v>36272</v>
      </c>
      <c r="U8" s="62">
        <v>42642</v>
      </c>
      <c r="V8" s="62">
        <v>28184.333333333332</v>
      </c>
      <c r="W8" s="62">
        <v>5713</v>
      </c>
      <c r="X8" s="62">
        <v>23765.666666666668</v>
      </c>
      <c r="Y8" s="62">
        <v>47372</v>
      </c>
      <c r="Z8" s="61">
        <f>C8</f>
        <v>46</v>
      </c>
      <c r="AA8" s="63" t="str">
        <f>B8</f>
        <v>CZ-209-PS</v>
      </c>
      <c r="AB8" s="19"/>
      <c r="AC8" s="19"/>
      <c r="AD8" s="19"/>
      <c r="AE8" s="19"/>
    </row>
    <row r="9" spans="1:31" x14ac:dyDescent="0.2">
      <c r="A9" s="42" t="s">
        <v>30</v>
      </c>
      <c r="B9" s="42" t="s">
        <v>32</v>
      </c>
      <c r="C9" s="16">
        <v>47</v>
      </c>
      <c r="D9" s="18">
        <v>1247.1666666666667</v>
      </c>
      <c r="E9" s="62">
        <v>32865.666666666664</v>
      </c>
      <c r="F9" s="62">
        <v>14406.166666666664</v>
      </c>
      <c r="G9" s="62">
        <v>17321</v>
      </c>
      <c r="H9" s="62">
        <v>34853.666666666664</v>
      </c>
      <c r="I9" s="62">
        <v>36131.333333333328</v>
      </c>
      <c r="J9" s="62">
        <v>16393.333333333332</v>
      </c>
      <c r="K9" s="62">
        <v>20014.666666666664</v>
      </c>
      <c r="L9" s="62">
        <v>21816.166666666664</v>
      </c>
      <c r="M9" s="62">
        <v>30870</v>
      </c>
      <c r="N9" s="62">
        <v>24883.166666666668</v>
      </c>
      <c r="O9" s="62">
        <v>23548</v>
      </c>
      <c r="P9" s="62">
        <v>36467</v>
      </c>
      <c r="Q9" s="62">
        <v>450</v>
      </c>
      <c r="R9" s="62">
        <v>3587</v>
      </c>
      <c r="S9" s="62">
        <v>26182.666666666664</v>
      </c>
      <c r="T9" s="62">
        <v>12815</v>
      </c>
      <c r="U9" s="62">
        <v>15834</v>
      </c>
      <c r="V9" s="62">
        <v>25950.333333333332</v>
      </c>
      <c r="W9" s="62">
        <v>4340</v>
      </c>
      <c r="X9" s="62">
        <v>10920.166666666664</v>
      </c>
      <c r="Y9" s="62">
        <v>17213</v>
      </c>
      <c r="Z9" s="61">
        <f t="shared" ref="Z9:Z28" si="0">C9</f>
        <v>47</v>
      </c>
      <c r="AA9" s="63" t="str">
        <f t="shared" ref="AA9:AA28" si="1">B9</f>
        <v>DD-283-VP</v>
      </c>
      <c r="AB9" s="19"/>
      <c r="AC9" s="19"/>
      <c r="AD9" s="19"/>
      <c r="AE9" s="19"/>
    </row>
    <row r="10" spans="1:31" x14ac:dyDescent="0.2">
      <c r="A10" s="42" t="s">
        <v>30</v>
      </c>
      <c r="B10" s="42" t="s">
        <v>33</v>
      </c>
      <c r="C10" s="16">
        <v>54</v>
      </c>
      <c r="D10" s="18">
        <v>1274.1666666666667</v>
      </c>
      <c r="E10" s="62">
        <v>32325.666666666664</v>
      </c>
      <c r="F10" s="62">
        <v>13785.166666666664</v>
      </c>
      <c r="G10" s="62">
        <v>16349</v>
      </c>
      <c r="H10" s="62">
        <v>33827.666666666664</v>
      </c>
      <c r="I10" s="62">
        <v>35051.333333333328</v>
      </c>
      <c r="J10" s="62">
        <v>16285.333333333332</v>
      </c>
      <c r="K10" s="62">
        <v>19474.666666666664</v>
      </c>
      <c r="L10" s="62">
        <v>21195.166666666664</v>
      </c>
      <c r="M10" s="62">
        <v>29574</v>
      </c>
      <c r="N10" s="62">
        <v>25234.166666666668</v>
      </c>
      <c r="O10" s="62">
        <v>24034</v>
      </c>
      <c r="P10" s="62">
        <v>36953</v>
      </c>
      <c r="Q10" s="62">
        <v>36</v>
      </c>
      <c r="R10" s="62">
        <v>4073</v>
      </c>
      <c r="S10" s="62">
        <v>25318.666666666664</v>
      </c>
      <c r="T10" s="62">
        <v>11681</v>
      </c>
      <c r="U10" s="62">
        <v>14538</v>
      </c>
      <c r="V10" s="62">
        <v>25842.333333333332</v>
      </c>
      <c r="W10" s="62">
        <v>4826</v>
      </c>
      <c r="X10" s="62">
        <v>10299.166666666664</v>
      </c>
      <c r="Y10" s="62">
        <v>15755</v>
      </c>
      <c r="Z10" s="61">
        <f t="shared" si="0"/>
        <v>54</v>
      </c>
      <c r="AA10" s="63" t="str">
        <f t="shared" si="1"/>
        <v>DQ-872-XL</v>
      </c>
      <c r="AB10" s="19"/>
      <c r="AC10" s="19"/>
      <c r="AD10" s="19"/>
      <c r="AE10" s="19"/>
    </row>
    <row r="11" spans="1:31" x14ac:dyDescent="0.2">
      <c r="A11" s="42" t="s">
        <v>30</v>
      </c>
      <c r="B11" s="42" t="s">
        <v>34</v>
      </c>
      <c r="C11" s="16">
        <v>31</v>
      </c>
      <c r="D11" s="18">
        <v>693.33333333333337</v>
      </c>
      <c r="E11" s="62">
        <v>43942.333333333328</v>
      </c>
      <c r="F11" s="62">
        <v>27144.333333333332</v>
      </c>
      <c r="G11" s="62">
        <v>37259</v>
      </c>
      <c r="H11" s="62">
        <v>55899.333333333328</v>
      </c>
      <c r="I11" s="62">
        <v>58284.666666666664</v>
      </c>
      <c r="J11" s="62">
        <v>18608.666666666668</v>
      </c>
      <c r="K11" s="62">
        <v>31091.333333333332</v>
      </c>
      <c r="L11" s="62">
        <v>34554.333333333328</v>
      </c>
      <c r="M11" s="62">
        <v>57454</v>
      </c>
      <c r="N11" s="62">
        <v>17683.333333333336</v>
      </c>
      <c r="O11" s="62">
        <v>13579</v>
      </c>
      <c r="P11" s="62">
        <v>26498</v>
      </c>
      <c r="Q11" s="62">
        <v>10419</v>
      </c>
      <c r="R11" s="62">
        <v>6382</v>
      </c>
      <c r="S11" s="62">
        <v>43905.333333333328</v>
      </c>
      <c r="T11" s="62">
        <v>36076</v>
      </c>
      <c r="U11" s="62">
        <v>42418</v>
      </c>
      <c r="V11" s="62">
        <v>28165.666666666668</v>
      </c>
      <c r="W11" s="62">
        <v>5629</v>
      </c>
      <c r="X11" s="62">
        <v>23658.333333333332</v>
      </c>
      <c r="Y11" s="62">
        <v>47120</v>
      </c>
      <c r="Z11" s="61">
        <f t="shared" si="0"/>
        <v>31</v>
      </c>
      <c r="AA11" s="63" t="str">
        <f t="shared" si="1"/>
        <v>DS-958-YQ</v>
      </c>
      <c r="AB11" s="19"/>
      <c r="AC11" s="19"/>
      <c r="AD11" s="19"/>
      <c r="AE11" s="19"/>
    </row>
    <row r="12" spans="1:31" x14ac:dyDescent="0.2">
      <c r="A12" s="42" t="s">
        <v>30</v>
      </c>
      <c r="B12" s="42" t="s">
        <v>35</v>
      </c>
      <c r="C12" s="16">
        <v>5</v>
      </c>
      <c r="D12" s="18">
        <v>556</v>
      </c>
      <c r="E12" s="62">
        <v>46689</v>
      </c>
      <c r="F12" s="62">
        <v>30303</v>
      </c>
      <c r="G12" s="62">
        <v>42203</v>
      </c>
      <c r="H12" s="62">
        <v>61118</v>
      </c>
      <c r="I12" s="62">
        <v>63778</v>
      </c>
      <c r="J12" s="62">
        <v>19158</v>
      </c>
      <c r="K12" s="62">
        <v>33838</v>
      </c>
      <c r="L12" s="62">
        <v>37713</v>
      </c>
      <c r="M12" s="62">
        <v>64046</v>
      </c>
      <c r="N12" s="62">
        <v>15898</v>
      </c>
      <c r="O12" s="62">
        <v>11107</v>
      </c>
      <c r="P12" s="62">
        <v>24026</v>
      </c>
      <c r="Q12" s="62">
        <v>12891</v>
      </c>
      <c r="R12" s="62">
        <v>8854</v>
      </c>
      <c r="S12" s="62">
        <v>48300</v>
      </c>
      <c r="T12" s="62">
        <v>41844</v>
      </c>
      <c r="U12" s="62">
        <v>49010</v>
      </c>
      <c r="V12" s="62">
        <v>28715</v>
      </c>
      <c r="W12" s="62">
        <v>8101</v>
      </c>
      <c r="X12" s="62">
        <v>26817</v>
      </c>
      <c r="Y12" s="62">
        <v>54536</v>
      </c>
      <c r="Z12" s="61">
        <f t="shared" si="0"/>
        <v>5</v>
      </c>
      <c r="AA12" s="63" t="str">
        <f t="shared" si="1"/>
        <v>DV-263-DZ</v>
      </c>
      <c r="AB12" s="19"/>
      <c r="AC12" s="19"/>
      <c r="AD12" s="19"/>
      <c r="AE12" s="19"/>
    </row>
    <row r="13" spans="1:31" x14ac:dyDescent="0.2">
      <c r="A13" s="42" t="s">
        <v>30</v>
      </c>
      <c r="B13" s="42" t="s">
        <v>36</v>
      </c>
      <c r="C13" s="16">
        <v>32</v>
      </c>
      <c r="D13" s="18">
        <v>1232.5</v>
      </c>
      <c r="E13" s="62">
        <v>33159</v>
      </c>
      <c r="F13" s="62">
        <v>14743.5</v>
      </c>
      <c r="G13" s="62">
        <v>17849</v>
      </c>
      <c r="H13" s="62">
        <v>35411</v>
      </c>
      <c r="I13" s="62">
        <v>36718</v>
      </c>
      <c r="J13" s="62">
        <v>16452</v>
      </c>
      <c r="K13" s="62">
        <v>20308</v>
      </c>
      <c r="L13" s="62">
        <v>22153.5</v>
      </c>
      <c r="M13" s="62">
        <v>31574</v>
      </c>
      <c r="N13" s="62">
        <v>24692.5</v>
      </c>
      <c r="O13" s="62">
        <v>23284</v>
      </c>
      <c r="P13" s="62">
        <v>36203</v>
      </c>
      <c r="Q13" s="62">
        <v>714</v>
      </c>
      <c r="R13" s="62">
        <v>3323</v>
      </c>
      <c r="S13" s="62">
        <v>26652</v>
      </c>
      <c r="T13" s="62">
        <v>13431</v>
      </c>
      <c r="U13" s="62">
        <v>16538</v>
      </c>
      <c r="V13" s="62">
        <v>26009</v>
      </c>
      <c r="W13" s="62">
        <v>4076</v>
      </c>
      <c r="X13" s="62">
        <v>11257.5</v>
      </c>
      <c r="Y13" s="62">
        <v>18005</v>
      </c>
      <c r="Z13" s="61">
        <f t="shared" si="0"/>
        <v>32</v>
      </c>
      <c r="AA13" s="63" t="str">
        <f t="shared" si="1"/>
        <v>CK-369-QV</v>
      </c>
      <c r="AB13" s="19"/>
      <c r="AC13" s="19"/>
      <c r="AD13" s="19"/>
      <c r="AE13" s="19"/>
    </row>
    <row r="14" spans="1:31" x14ac:dyDescent="0.2">
      <c r="A14" s="42" t="s">
        <v>30</v>
      </c>
      <c r="B14" s="42" t="s">
        <v>37</v>
      </c>
      <c r="C14" s="16">
        <v>34</v>
      </c>
      <c r="D14" s="18">
        <v>1095.5</v>
      </c>
      <c r="E14" s="62">
        <v>35899</v>
      </c>
      <c r="F14" s="62">
        <v>17894.5</v>
      </c>
      <c r="G14" s="62">
        <v>22781</v>
      </c>
      <c r="H14" s="62">
        <v>40617</v>
      </c>
      <c r="I14" s="62">
        <v>42198</v>
      </c>
      <c r="J14" s="62">
        <v>17000</v>
      </c>
      <c r="K14" s="62">
        <v>23048</v>
      </c>
      <c r="L14" s="62">
        <v>25304.5</v>
      </c>
      <c r="M14" s="62">
        <v>38150</v>
      </c>
      <c r="N14" s="62">
        <v>22911.5</v>
      </c>
      <c r="O14" s="62">
        <v>20818</v>
      </c>
      <c r="P14" s="62">
        <v>33737</v>
      </c>
      <c r="Q14" s="62">
        <v>3180</v>
      </c>
      <c r="R14" s="62">
        <v>857</v>
      </c>
      <c r="S14" s="62">
        <v>31036</v>
      </c>
      <c r="T14" s="62">
        <v>19185</v>
      </c>
      <c r="U14" s="62">
        <v>23114</v>
      </c>
      <c r="V14" s="62">
        <v>26557</v>
      </c>
      <c r="W14" s="62">
        <v>1610</v>
      </c>
      <c r="X14" s="62">
        <v>14408.5</v>
      </c>
      <c r="Y14" s="62">
        <v>25403</v>
      </c>
      <c r="Z14" s="61">
        <f t="shared" si="0"/>
        <v>34</v>
      </c>
      <c r="AA14" s="63" t="str">
        <f t="shared" si="1"/>
        <v>CZ-474-PS</v>
      </c>
      <c r="AB14" s="19"/>
      <c r="AC14" s="19"/>
      <c r="AD14" s="19"/>
      <c r="AE14" s="19"/>
    </row>
    <row r="15" spans="1:31" x14ac:dyDescent="0.2">
      <c r="A15" s="42" t="s">
        <v>30</v>
      </c>
      <c r="B15" s="42" t="s">
        <v>38</v>
      </c>
      <c r="C15" s="16">
        <v>48</v>
      </c>
      <c r="D15" s="18">
        <v>1147.8333333333333</v>
      </c>
      <c r="E15" s="62">
        <v>34852.333333333336</v>
      </c>
      <c r="F15" s="62">
        <v>16690.833333333336</v>
      </c>
      <c r="G15" s="62">
        <v>20897</v>
      </c>
      <c r="H15" s="62">
        <v>38628.333333333336</v>
      </c>
      <c r="I15" s="62">
        <v>40104.666666666672</v>
      </c>
      <c r="J15" s="62">
        <v>16790.666666666668</v>
      </c>
      <c r="K15" s="62">
        <v>22001.333333333336</v>
      </c>
      <c r="L15" s="62">
        <v>24100.833333333336</v>
      </c>
      <c r="M15" s="62">
        <v>35638</v>
      </c>
      <c r="N15" s="62">
        <v>23591.833333333332</v>
      </c>
      <c r="O15" s="62">
        <v>21760</v>
      </c>
      <c r="P15" s="62">
        <v>34679</v>
      </c>
      <c r="Q15" s="62">
        <v>2238</v>
      </c>
      <c r="R15" s="62">
        <v>1799</v>
      </c>
      <c r="S15" s="62">
        <v>29361.333333333336</v>
      </c>
      <c r="T15" s="62">
        <v>16987</v>
      </c>
      <c r="U15" s="62">
        <v>20602</v>
      </c>
      <c r="V15" s="62">
        <v>26347.666666666668</v>
      </c>
      <c r="W15" s="62">
        <v>2552</v>
      </c>
      <c r="X15" s="62">
        <v>13204.833333333336</v>
      </c>
      <c r="Y15" s="62">
        <v>22577.000000000007</v>
      </c>
      <c r="Z15" s="61">
        <f t="shared" si="0"/>
        <v>48</v>
      </c>
      <c r="AA15" s="63" t="str">
        <f t="shared" si="1"/>
        <v>DD-262-VP</v>
      </c>
      <c r="AB15" s="19"/>
      <c r="AC15" s="19"/>
      <c r="AD15" s="19"/>
      <c r="AE15" s="19"/>
    </row>
    <row r="16" spans="1:31" x14ac:dyDescent="0.2">
      <c r="A16" s="42" t="s">
        <v>30</v>
      </c>
      <c r="B16" s="42" t="s">
        <v>39</v>
      </c>
      <c r="C16" s="16">
        <v>36</v>
      </c>
      <c r="D16" s="18">
        <v>613.16666666666663</v>
      </c>
      <c r="E16" s="62">
        <v>45545.666666666672</v>
      </c>
      <c r="F16" s="62">
        <v>28988.166666666668</v>
      </c>
      <c r="G16" s="62">
        <v>40145</v>
      </c>
      <c r="H16" s="62">
        <v>58945.666666666672</v>
      </c>
      <c r="I16" s="62">
        <v>61491.333333333336</v>
      </c>
      <c r="J16" s="62">
        <v>18929.333333333332</v>
      </c>
      <c r="K16" s="62">
        <v>32694.666666666668</v>
      </c>
      <c r="L16" s="62">
        <v>36398.166666666672</v>
      </c>
      <c r="M16" s="62">
        <v>61302</v>
      </c>
      <c r="N16" s="62">
        <v>16641.166666666664</v>
      </c>
      <c r="O16" s="62">
        <v>12136</v>
      </c>
      <c r="P16" s="62">
        <v>25055</v>
      </c>
      <c r="Q16" s="62">
        <v>11862</v>
      </c>
      <c r="R16" s="62">
        <v>7825</v>
      </c>
      <c r="S16" s="62">
        <v>46470.666666666672</v>
      </c>
      <c r="T16" s="62">
        <v>39443</v>
      </c>
      <c r="U16" s="62">
        <v>46266</v>
      </c>
      <c r="V16" s="62">
        <v>28486.333333333332</v>
      </c>
      <c r="W16" s="62">
        <v>7072</v>
      </c>
      <c r="X16" s="62">
        <v>25502.166666666668</v>
      </c>
      <c r="Y16" s="62">
        <v>51449</v>
      </c>
      <c r="Z16" s="61">
        <f t="shared" si="0"/>
        <v>36</v>
      </c>
      <c r="AA16" s="63" t="str">
        <f t="shared" si="1"/>
        <v>EB-084-PM</v>
      </c>
      <c r="AB16" s="19"/>
      <c r="AC16" s="19"/>
      <c r="AD16" s="19"/>
      <c r="AE16" s="19"/>
    </row>
    <row r="17" spans="1:31" x14ac:dyDescent="0.2">
      <c r="A17" s="42" t="s">
        <v>27</v>
      </c>
      <c r="B17" s="42" t="s">
        <v>40</v>
      </c>
      <c r="C17" s="16">
        <v>7</v>
      </c>
      <c r="D17" s="18">
        <v>1658.1666666666667</v>
      </c>
      <c r="E17" s="62">
        <v>24645.666666666664</v>
      </c>
      <c r="F17" s="62">
        <v>4953.1666666666642</v>
      </c>
      <c r="G17" s="62">
        <v>2525</v>
      </c>
      <c r="H17" s="62">
        <v>19235.666666666664</v>
      </c>
      <c r="I17" s="62">
        <v>19691.333333333328</v>
      </c>
      <c r="J17" s="62">
        <v>14749.333333333332</v>
      </c>
      <c r="K17" s="62">
        <v>11794.666666666664</v>
      </c>
      <c r="L17" s="62">
        <v>12363.166666666664</v>
      </c>
      <c r="M17" s="62">
        <v>11142</v>
      </c>
      <c r="N17" s="62">
        <v>30226.166666666668</v>
      </c>
      <c r="O17" s="62">
        <v>30946</v>
      </c>
      <c r="P17" s="62">
        <v>43865</v>
      </c>
      <c r="Q17" s="62">
        <v>6948</v>
      </c>
      <c r="R17" s="62">
        <v>10985</v>
      </c>
      <c r="S17" s="62">
        <v>13030.666666666664</v>
      </c>
      <c r="T17" s="62">
        <v>4447</v>
      </c>
      <c r="U17" s="62">
        <v>3894</v>
      </c>
      <c r="V17" s="62">
        <v>24306.333333333332</v>
      </c>
      <c r="W17" s="62">
        <v>11738</v>
      </c>
      <c r="X17" s="62">
        <v>1467.1666666666642</v>
      </c>
      <c r="Y17" s="62">
        <v>4981</v>
      </c>
      <c r="Z17" s="61">
        <f t="shared" si="0"/>
        <v>7</v>
      </c>
      <c r="AA17" s="63" t="str">
        <f t="shared" si="1"/>
        <v>CT-631-TJ</v>
      </c>
      <c r="AB17" s="19"/>
      <c r="AC17" s="19"/>
      <c r="AD17" s="19"/>
      <c r="AE17" s="19"/>
    </row>
    <row r="18" spans="1:31" x14ac:dyDescent="0.2">
      <c r="A18" s="42" t="s">
        <v>27</v>
      </c>
      <c r="B18" s="42" t="s">
        <v>41</v>
      </c>
      <c r="C18" s="16" t="s">
        <v>42</v>
      </c>
      <c r="D18" s="18">
        <v>1747.8333333333333</v>
      </c>
      <c r="E18" s="62">
        <v>22852.333333333336</v>
      </c>
      <c r="F18" s="62">
        <v>2890.8333333333358</v>
      </c>
      <c r="G18" s="62">
        <v>703</v>
      </c>
      <c r="H18" s="62">
        <v>15828.333333333343</v>
      </c>
      <c r="I18" s="62">
        <v>16104.666666666672</v>
      </c>
      <c r="J18" s="62">
        <v>14390.666666666668</v>
      </c>
      <c r="K18" s="62">
        <v>10001.333333333336</v>
      </c>
      <c r="L18" s="62">
        <v>10300.833333333336</v>
      </c>
      <c r="M18" s="62">
        <v>6838</v>
      </c>
      <c r="N18" s="62">
        <v>31391.833333333332</v>
      </c>
      <c r="O18" s="62">
        <v>32560</v>
      </c>
      <c r="P18" s="62">
        <v>45479</v>
      </c>
      <c r="Q18" s="62">
        <v>8562</v>
      </c>
      <c r="R18" s="62">
        <v>12599</v>
      </c>
      <c r="S18" s="62">
        <v>10161.333333333336</v>
      </c>
      <c r="T18" s="62">
        <v>8213</v>
      </c>
      <c r="U18" s="62">
        <v>8198</v>
      </c>
      <c r="V18" s="62">
        <v>23947.666666666668</v>
      </c>
      <c r="W18" s="62">
        <v>13352</v>
      </c>
      <c r="X18" s="62">
        <v>595.16666666666424</v>
      </c>
      <c r="Y18" s="62">
        <v>9823</v>
      </c>
      <c r="Z18" s="61" t="str">
        <f t="shared" si="0"/>
        <v>Renfort</v>
      </c>
      <c r="AA18" s="63" t="str">
        <f t="shared" si="1"/>
        <v>CZ-150-PS</v>
      </c>
      <c r="AB18" s="19"/>
      <c r="AC18" s="19"/>
      <c r="AD18" s="19"/>
      <c r="AE18" s="19"/>
    </row>
    <row r="19" spans="1:31" x14ac:dyDescent="0.2">
      <c r="A19" s="42" t="s">
        <v>27</v>
      </c>
      <c r="B19" s="42" t="s">
        <v>43</v>
      </c>
      <c r="C19" s="16">
        <v>9</v>
      </c>
      <c r="D19" s="18">
        <v>1436</v>
      </c>
      <c r="E19" s="62">
        <v>29089</v>
      </c>
      <c r="F19" s="62">
        <v>10063</v>
      </c>
      <c r="G19" s="62">
        <v>10523</v>
      </c>
      <c r="H19" s="62">
        <v>27678</v>
      </c>
      <c r="I19" s="62">
        <v>28578</v>
      </c>
      <c r="J19" s="62">
        <v>15638</v>
      </c>
      <c r="K19" s="62">
        <v>16238</v>
      </c>
      <c r="L19" s="62">
        <v>17473</v>
      </c>
      <c r="M19" s="62">
        <v>21806</v>
      </c>
      <c r="N19" s="62">
        <v>27338</v>
      </c>
      <c r="O19" s="62">
        <v>26947</v>
      </c>
      <c r="P19" s="62">
        <v>39866</v>
      </c>
      <c r="Q19" s="62">
        <v>2949</v>
      </c>
      <c r="R19" s="62">
        <v>6986</v>
      </c>
      <c r="S19" s="62">
        <v>20140</v>
      </c>
      <c r="T19" s="62">
        <v>4884</v>
      </c>
      <c r="U19" s="62">
        <v>6770</v>
      </c>
      <c r="V19" s="62">
        <v>25195</v>
      </c>
      <c r="W19" s="62">
        <v>7739</v>
      </c>
      <c r="X19" s="62">
        <v>6577</v>
      </c>
      <c r="Y19" s="62">
        <v>7016</v>
      </c>
      <c r="Z19" s="61">
        <f t="shared" si="0"/>
        <v>9</v>
      </c>
      <c r="AA19" s="63" t="str">
        <f t="shared" si="1"/>
        <v>CZ-453-PS</v>
      </c>
      <c r="AB19" s="19"/>
      <c r="AC19" s="19"/>
      <c r="AD19" s="19"/>
      <c r="AE19" s="19"/>
    </row>
    <row r="20" spans="1:31" x14ac:dyDescent="0.2">
      <c r="A20" s="42" t="s">
        <v>27</v>
      </c>
      <c r="B20" s="42" t="s">
        <v>44</v>
      </c>
      <c r="C20" s="16">
        <v>2</v>
      </c>
      <c r="D20" s="18">
        <v>1271</v>
      </c>
      <c r="E20" s="62">
        <v>32389</v>
      </c>
      <c r="F20" s="62">
        <v>13858</v>
      </c>
      <c r="G20" s="62">
        <v>16463</v>
      </c>
      <c r="H20" s="62">
        <v>33948</v>
      </c>
      <c r="I20" s="62">
        <v>35178</v>
      </c>
      <c r="J20" s="62">
        <v>16298</v>
      </c>
      <c r="K20" s="62">
        <v>19538</v>
      </c>
      <c r="L20" s="62">
        <v>21268</v>
      </c>
      <c r="M20" s="62">
        <v>29726</v>
      </c>
      <c r="N20" s="62">
        <v>25193</v>
      </c>
      <c r="O20" s="62">
        <v>23977</v>
      </c>
      <c r="P20" s="62">
        <v>36896</v>
      </c>
      <c r="Q20" s="62">
        <v>21</v>
      </c>
      <c r="R20" s="62">
        <v>4016</v>
      </c>
      <c r="S20" s="62">
        <v>25420</v>
      </c>
      <c r="T20" s="62">
        <v>11814</v>
      </c>
      <c r="U20" s="62">
        <v>14690</v>
      </c>
      <c r="V20" s="62">
        <v>25855</v>
      </c>
      <c r="W20" s="62">
        <v>4769</v>
      </c>
      <c r="X20" s="62">
        <v>10372</v>
      </c>
      <c r="Y20" s="62">
        <v>15926</v>
      </c>
      <c r="Z20" s="61">
        <f t="shared" si="0"/>
        <v>2</v>
      </c>
      <c r="AA20" s="63" t="str">
        <f t="shared" si="1"/>
        <v>CZ-694-PS</v>
      </c>
      <c r="AB20" s="19"/>
      <c r="AC20" s="19"/>
      <c r="AD20" s="19"/>
      <c r="AE20" s="19"/>
    </row>
    <row r="21" spans="1:31" x14ac:dyDescent="0.2">
      <c r="A21" s="42" t="s">
        <v>27</v>
      </c>
      <c r="B21" s="42" t="s">
        <v>45</v>
      </c>
      <c r="C21" s="16">
        <v>11</v>
      </c>
      <c r="D21" s="18">
        <v>1362.8333333333333</v>
      </c>
      <c r="E21" s="62">
        <v>30552.333333333336</v>
      </c>
      <c r="F21" s="62">
        <v>11745.833333333336</v>
      </c>
      <c r="G21" s="62">
        <v>13157</v>
      </c>
      <c r="H21" s="62">
        <v>30458.333333333336</v>
      </c>
      <c r="I21" s="62">
        <v>31504.666666666672</v>
      </c>
      <c r="J21" s="62">
        <v>15930.666666666668</v>
      </c>
      <c r="K21" s="62">
        <v>17701.333333333336</v>
      </c>
      <c r="L21" s="62">
        <v>19155.833333333336</v>
      </c>
      <c r="M21" s="62">
        <v>25318</v>
      </c>
      <c r="N21" s="62">
        <v>26386.833333333332</v>
      </c>
      <c r="O21" s="62">
        <v>25630</v>
      </c>
      <c r="P21" s="62">
        <v>38549</v>
      </c>
      <c r="Q21" s="62">
        <v>1632</v>
      </c>
      <c r="R21" s="62">
        <v>5669</v>
      </c>
      <c r="S21" s="62">
        <v>22481.333333333336</v>
      </c>
      <c r="T21" s="62">
        <v>7957</v>
      </c>
      <c r="U21" s="62">
        <v>10282</v>
      </c>
      <c r="V21" s="62">
        <v>25487.666666666668</v>
      </c>
      <c r="W21" s="62">
        <v>6422</v>
      </c>
      <c r="X21" s="62">
        <v>8259.8333333333358</v>
      </c>
      <c r="Y21" s="62">
        <v>10967</v>
      </c>
      <c r="Z21" s="61">
        <f t="shared" si="0"/>
        <v>11</v>
      </c>
      <c r="AA21" s="63" t="str">
        <f t="shared" si="1"/>
        <v>CZ-962-PS</v>
      </c>
      <c r="AB21" s="19"/>
      <c r="AC21" s="19"/>
      <c r="AD21" s="19"/>
      <c r="AE21" s="19"/>
    </row>
    <row r="22" spans="1:31" x14ac:dyDescent="0.2">
      <c r="A22" s="42" t="s">
        <v>27</v>
      </c>
      <c r="B22" s="42" t="s">
        <v>46</v>
      </c>
      <c r="C22" s="16">
        <v>1</v>
      </c>
      <c r="D22" s="18">
        <v>1165.3333333333333</v>
      </c>
      <c r="E22" s="62">
        <v>34502.333333333336</v>
      </c>
      <c r="F22" s="62">
        <v>16288.333333333336</v>
      </c>
      <c r="G22" s="62">
        <v>20267</v>
      </c>
      <c r="H22" s="62">
        <v>37963.333333333336</v>
      </c>
      <c r="I22" s="62">
        <v>39404.666666666672</v>
      </c>
      <c r="J22" s="62">
        <v>16720.666666666668</v>
      </c>
      <c r="K22" s="62">
        <v>21651.333333333336</v>
      </c>
      <c r="L22" s="62">
        <v>23698.333333333336</v>
      </c>
      <c r="M22" s="62">
        <v>34798</v>
      </c>
      <c r="N22" s="62">
        <v>23819.333333333332</v>
      </c>
      <c r="O22" s="62">
        <v>22075</v>
      </c>
      <c r="P22" s="62">
        <v>34994</v>
      </c>
      <c r="Q22" s="62">
        <v>1923</v>
      </c>
      <c r="R22" s="62">
        <v>2114</v>
      </c>
      <c r="S22" s="62">
        <v>28801.333333333336</v>
      </c>
      <c r="T22" s="62">
        <v>16252</v>
      </c>
      <c r="U22" s="62">
        <v>19762</v>
      </c>
      <c r="V22" s="62">
        <v>26277.666666666668</v>
      </c>
      <c r="W22" s="62">
        <v>2867</v>
      </c>
      <c r="X22" s="62">
        <v>12802.333333333336</v>
      </c>
      <c r="Y22" s="62">
        <v>21632.000000000007</v>
      </c>
      <c r="Z22" s="61">
        <f t="shared" si="0"/>
        <v>1</v>
      </c>
      <c r="AA22" s="63" t="str">
        <f t="shared" si="1"/>
        <v>DM-184-ST</v>
      </c>
      <c r="AB22" s="19"/>
      <c r="AC22" s="19"/>
      <c r="AD22" s="19"/>
      <c r="AE22" s="19"/>
    </row>
    <row r="23" spans="1:31" x14ac:dyDescent="0.2">
      <c r="A23" s="42" t="s">
        <v>27</v>
      </c>
      <c r="B23" s="42" t="s">
        <v>47</v>
      </c>
      <c r="C23" s="16">
        <v>6</v>
      </c>
      <c r="D23" s="18">
        <v>1315.5</v>
      </c>
      <c r="E23" s="62">
        <v>31499</v>
      </c>
      <c r="F23" s="62">
        <v>12834.5</v>
      </c>
      <c r="G23" s="62">
        <v>14861</v>
      </c>
      <c r="H23" s="62">
        <v>32257</v>
      </c>
      <c r="I23" s="62">
        <v>33398</v>
      </c>
      <c r="J23" s="62">
        <v>16120</v>
      </c>
      <c r="K23" s="62">
        <v>18648</v>
      </c>
      <c r="L23" s="62">
        <v>20244.5</v>
      </c>
      <c r="M23" s="62">
        <v>27590</v>
      </c>
      <c r="N23" s="62">
        <v>25771.5</v>
      </c>
      <c r="O23" s="62">
        <v>24778</v>
      </c>
      <c r="P23" s="62">
        <v>37697</v>
      </c>
      <c r="Q23" s="62">
        <v>780</v>
      </c>
      <c r="R23" s="62">
        <v>4817</v>
      </c>
      <c r="S23" s="62">
        <v>23996</v>
      </c>
      <c r="T23" s="62">
        <v>9945</v>
      </c>
      <c r="U23" s="62">
        <v>12554</v>
      </c>
      <c r="V23" s="62">
        <v>25677</v>
      </c>
      <c r="W23" s="62">
        <v>5570</v>
      </c>
      <c r="X23" s="62">
        <v>9348.5</v>
      </c>
      <c r="Y23" s="62">
        <v>13523</v>
      </c>
      <c r="Z23" s="61">
        <f t="shared" si="0"/>
        <v>6</v>
      </c>
      <c r="AA23" s="63" t="str">
        <f t="shared" si="1"/>
        <v>DW-018-XC</v>
      </c>
      <c r="AB23" s="19"/>
      <c r="AC23" s="19"/>
      <c r="AD23" s="19"/>
      <c r="AE23" s="19"/>
    </row>
    <row r="24" spans="1:31" x14ac:dyDescent="0.2">
      <c r="A24" s="42" t="s">
        <v>27</v>
      </c>
      <c r="B24" s="42" t="s">
        <v>48</v>
      </c>
      <c r="C24" s="16">
        <v>3</v>
      </c>
      <c r="D24" s="18">
        <v>1410.3333333333333</v>
      </c>
      <c r="E24" s="62">
        <v>29602.333333333336</v>
      </c>
      <c r="F24" s="62">
        <v>10653.333333333336</v>
      </c>
      <c r="G24" s="62">
        <v>11447</v>
      </c>
      <c r="H24" s="62">
        <v>28653.333333333336</v>
      </c>
      <c r="I24" s="62">
        <v>29604.666666666672</v>
      </c>
      <c r="J24" s="62">
        <v>15740.666666666668</v>
      </c>
      <c r="K24" s="62">
        <v>16751.333333333336</v>
      </c>
      <c r="L24" s="62">
        <v>18063.333333333336</v>
      </c>
      <c r="M24" s="62">
        <v>23038</v>
      </c>
      <c r="N24" s="62">
        <v>27004.333333333332</v>
      </c>
      <c r="O24" s="62">
        <v>26485</v>
      </c>
      <c r="P24" s="62">
        <v>39404</v>
      </c>
      <c r="Q24" s="62">
        <v>2487</v>
      </c>
      <c r="R24" s="62">
        <v>6524</v>
      </c>
      <c r="S24" s="62">
        <v>20961.333333333336</v>
      </c>
      <c r="T24" s="62">
        <v>5962</v>
      </c>
      <c r="U24" s="62">
        <v>8002</v>
      </c>
      <c r="V24" s="62">
        <v>25297.666666666668</v>
      </c>
      <c r="W24" s="62">
        <v>7277</v>
      </c>
      <c r="X24" s="62">
        <v>7167.3333333333358</v>
      </c>
      <c r="Y24" s="62">
        <v>8402</v>
      </c>
      <c r="Z24" s="61">
        <f t="shared" si="0"/>
        <v>3</v>
      </c>
      <c r="AA24" s="63" t="str">
        <f t="shared" si="1"/>
        <v>EB-738-PM</v>
      </c>
      <c r="AB24" s="19"/>
      <c r="AC24" s="19"/>
      <c r="AD24" s="19"/>
      <c r="AE24" s="19"/>
    </row>
    <row r="25" spans="1:31" x14ac:dyDescent="0.2">
      <c r="A25" s="42" t="s">
        <v>53</v>
      </c>
      <c r="B25" s="42" t="s">
        <v>49</v>
      </c>
      <c r="C25" s="16">
        <v>700</v>
      </c>
      <c r="D25" s="18">
        <v>810.5</v>
      </c>
      <c r="E25" s="62">
        <v>41599</v>
      </c>
      <c r="F25" s="62">
        <v>24449.5</v>
      </c>
      <c r="G25" s="62">
        <v>33041</v>
      </c>
      <c r="H25" s="62">
        <v>51447</v>
      </c>
      <c r="I25" s="62">
        <v>53598</v>
      </c>
      <c r="J25" s="62">
        <v>18140</v>
      </c>
      <c r="K25" s="62">
        <v>28748</v>
      </c>
      <c r="L25" s="62">
        <v>31859.5</v>
      </c>
      <c r="M25" s="62">
        <v>51830</v>
      </c>
      <c r="N25" s="62">
        <v>19206.5</v>
      </c>
      <c r="O25" s="62">
        <v>15688</v>
      </c>
      <c r="P25" s="62">
        <v>28607</v>
      </c>
      <c r="Q25" s="62">
        <v>8310</v>
      </c>
      <c r="R25" s="62">
        <v>4273</v>
      </c>
      <c r="S25" s="62">
        <v>40156</v>
      </c>
      <c r="T25" s="62">
        <v>31155</v>
      </c>
      <c r="U25" s="62">
        <v>36794</v>
      </c>
      <c r="V25" s="62">
        <v>27697</v>
      </c>
      <c r="W25" s="62">
        <v>3520</v>
      </c>
      <c r="X25" s="62">
        <v>20963.5</v>
      </c>
      <c r="Y25" s="62">
        <v>40793</v>
      </c>
      <c r="Z25" s="61">
        <f t="shared" si="0"/>
        <v>700</v>
      </c>
      <c r="AA25" s="63" t="str">
        <f t="shared" si="1"/>
        <v>BR-599-KW</v>
      </c>
      <c r="AB25" s="19"/>
      <c r="AC25" s="19"/>
      <c r="AD25" s="19"/>
      <c r="AE25" s="19"/>
    </row>
    <row r="26" spans="1:31" x14ac:dyDescent="0.2">
      <c r="A26" s="42" t="s">
        <v>53</v>
      </c>
      <c r="B26" s="42" t="s">
        <v>50</v>
      </c>
      <c r="C26" s="16">
        <v>200</v>
      </c>
      <c r="D26" s="18">
        <v>1568</v>
      </c>
      <c r="E26" s="62">
        <v>26449</v>
      </c>
      <c r="F26" s="62">
        <v>7027</v>
      </c>
      <c r="G26" s="62">
        <v>5771</v>
      </c>
      <c r="H26" s="62">
        <v>22662</v>
      </c>
      <c r="I26" s="62">
        <v>23298</v>
      </c>
      <c r="J26" s="62">
        <v>15110</v>
      </c>
      <c r="K26" s="62">
        <v>13598</v>
      </c>
      <c r="L26" s="62">
        <v>14437</v>
      </c>
      <c r="M26" s="62">
        <v>15470</v>
      </c>
      <c r="N26" s="62">
        <v>29054</v>
      </c>
      <c r="O26" s="62">
        <v>29323</v>
      </c>
      <c r="P26" s="62">
        <v>42242</v>
      </c>
      <c r="Q26" s="62">
        <v>5325</v>
      </c>
      <c r="R26" s="62">
        <v>9362</v>
      </c>
      <c r="S26" s="62">
        <v>15916</v>
      </c>
      <c r="T26" s="62">
        <v>660</v>
      </c>
      <c r="U26" s="62">
        <v>434</v>
      </c>
      <c r="V26" s="62">
        <v>24667</v>
      </c>
      <c r="W26" s="62">
        <v>10115</v>
      </c>
      <c r="X26" s="62">
        <v>3541</v>
      </c>
      <c r="Y26" s="62">
        <v>112</v>
      </c>
      <c r="Z26" s="61">
        <f t="shared" si="0"/>
        <v>200</v>
      </c>
      <c r="AA26" s="63" t="str">
        <f t="shared" si="1"/>
        <v>CZ-531-PS</v>
      </c>
      <c r="AB26" s="19"/>
      <c r="AC26" s="19"/>
      <c r="AD26" s="19"/>
      <c r="AE26" s="19"/>
    </row>
    <row r="27" spans="1:31" x14ac:dyDescent="0.2">
      <c r="A27" s="42" t="s">
        <v>53</v>
      </c>
      <c r="B27" s="42" t="s">
        <v>51</v>
      </c>
      <c r="C27" s="16">
        <v>300</v>
      </c>
      <c r="D27" s="18">
        <v>1311.6666666666667</v>
      </c>
      <c r="E27" s="62">
        <v>31575.666666666664</v>
      </c>
      <c r="F27" s="62">
        <v>12922.666666666664</v>
      </c>
      <c r="G27" s="62">
        <v>14999</v>
      </c>
      <c r="H27" s="62">
        <v>32402.666666666664</v>
      </c>
      <c r="I27" s="62">
        <v>33551.333333333328</v>
      </c>
      <c r="J27" s="62">
        <v>16135.333333333332</v>
      </c>
      <c r="K27" s="62">
        <v>18724.666666666664</v>
      </c>
      <c r="L27" s="62">
        <v>20332.666666666664</v>
      </c>
      <c r="M27" s="62">
        <v>27774</v>
      </c>
      <c r="N27" s="62">
        <v>25721.666666666668</v>
      </c>
      <c r="O27" s="62">
        <v>24709</v>
      </c>
      <c r="P27" s="62">
        <v>37628</v>
      </c>
      <c r="Q27" s="62">
        <v>711</v>
      </c>
      <c r="R27" s="62">
        <v>4748</v>
      </c>
      <c r="S27" s="62">
        <v>24118.666666666664</v>
      </c>
      <c r="T27" s="62">
        <v>10106</v>
      </c>
      <c r="U27" s="62">
        <v>12738</v>
      </c>
      <c r="V27" s="62">
        <v>25692.333333333332</v>
      </c>
      <c r="W27" s="62">
        <v>5501</v>
      </c>
      <c r="X27" s="62">
        <v>9436.6666666666642</v>
      </c>
      <c r="Y27" s="62">
        <v>13730</v>
      </c>
      <c r="Z27" s="61">
        <f t="shared" si="0"/>
        <v>300</v>
      </c>
      <c r="AA27" s="63" t="str">
        <f t="shared" si="1"/>
        <v>DD-497-VP</v>
      </c>
      <c r="AB27" s="19"/>
      <c r="AC27" s="19"/>
      <c r="AD27" s="19"/>
      <c r="AE27" s="19"/>
    </row>
    <row r="28" spans="1:31" x14ac:dyDescent="0.2">
      <c r="A28" s="42" t="s">
        <v>53</v>
      </c>
      <c r="B28" s="42" t="s">
        <v>52</v>
      </c>
      <c r="C28" s="16">
        <v>600</v>
      </c>
      <c r="D28" s="18">
        <v>1887.6666666666667</v>
      </c>
      <c r="E28" s="62">
        <v>20055.666666666664</v>
      </c>
      <c r="F28" s="62">
        <v>325.33333333333576</v>
      </c>
      <c r="G28" s="62">
        <v>5737</v>
      </c>
      <c r="H28" s="62">
        <v>10514.666666666657</v>
      </c>
      <c r="I28" s="62">
        <v>10511.333333333328</v>
      </c>
      <c r="J28" s="62">
        <v>13831.333333333332</v>
      </c>
      <c r="K28" s="62">
        <v>7204.6666666666642</v>
      </c>
      <c r="L28" s="62">
        <v>7084.6666666666642</v>
      </c>
      <c r="M28" s="62">
        <v>126</v>
      </c>
      <c r="N28" s="62">
        <v>33209.666666666672</v>
      </c>
      <c r="O28" s="62">
        <v>35077</v>
      </c>
      <c r="P28" s="62">
        <v>47996</v>
      </c>
      <c r="Q28" s="62">
        <v>11079</v>
      </c>
      <c r="R28" s="62">
        <v>15116</v>
      </c>
      <c r="S28" s="62">
        <v>5686.6666666666642</v>
      </c>
      <c r="T28" s="62">
        <v>14086</v>
      </c>
      <c r="U28" s="62">
        <v>14910</v>
      </c>
      <c r="V28" s="62">
        <v>23388.333333333332</v>
      </c>
      <c r="W28" s="62">
        <v>15869</v>
      </c>
      <c r="X28" s="62">
        <v>3811.3333333333358</v>
      </c>
      <c r="Y28" s="62">
        <v>17374</v>
      </c>
      <c r="Z28" s="61">
        <f t="shared" si="0"/>
        <v>600</v>
      </c>
      <c r="AA28" s="63" t="str">
        <f t="shared" si="1"/>
        <v>EE-976-EK</v>
      </c>
      <c r="AB28" s="19"/>
      <c r="AC28" s="19"/>
      <c r="AD28" s="19"/>
      <c r="AE28" s="19"/>
    </row>
    <row r="29" spans="1:31" x14ac:dyDescent="0.2"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31" x14ac:dyDescent="0.2"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31" x14ac:dyDescent="0.2">
      <c r="E31" s="43"/>
      <c r="F31" s="43"/>
      <c r="G31" s="43"/>
      <c r="H31" s="43"/>
      <c r="I31" s="43"/>
      <c r="J31" s="43"/>
    </row>
    <row r="33" spans="4:29" x14ac:dyDescent="0.2">
      <c r="D33" s="21" t="s">
        <v>5</v>
      </c>
      <c r="E33" s="64" t="str">
        <f>E3</f>
        <v>CZ-209-PS</v>
      </c>
      <c r="F33" s="65" t="str">
        <f t="shared" ref="F33:Y33" si="2">F3</f>
        <v>DD-283-VP</v>
      </c>
      <c r="G33" s="65" t="str">
        <f t="shared" si="2"/>
        <v>DQ-872-XL</v>
      </c>
      <c r="H33" s="65" t="str">
        <f t="shared" si="2"/>
        <v>DS-958-YQ</v>
      </c>
      <c r="I33" s="65" t="str">
        <f t="shared" si="2"/>
        <v>DV-263-DZ</v>
      </c>
      <c r="J33" s="65" t="str">
        <f t="shared" si="2"/>
        <v>CK-369-QV</v>
      </c>
      <c r="K33" s="65" t="str">
        <f t="shared" si="2"/>
        <v>CZ-474-PS</v>
      </c>
      <c r="L33" s="65" t="str">
        <f t="shared" si="2"/>
        <v>DD-262-VP</v>
      </c>
      <c r="M33" s="65" t="str">
        <f t="shared" si="2"/>
        <v>EB-084-PM</v>
      </c>
      <c r="N33" s="65" t="str">
        <f t="shared" si="2"/>
        <v>CT-631-TJ</v>
      </c>
      <c r="O33" s="65" t="str">
        <f t="shared" si="2"/>
        <v>CZ-150-PS</v>
      </c>
      <c r="P33" s="65" t="str">
        <f t="shared" si="2"/>
        <v>CZ-453-PS</v>
      </c>
      <c r="Q33" s="65" t="str">
        <f t="shared" si="2"/>
        <v>CZ-694-PS</v>
      </c>
      <c r="R33" s="65" t="str">
        <f t="shared" si="2"/>
        <v>CZ-962-PS</v>
      </c>
      <c r="S33" s="65" t="str">
        <f t="shared" si="2"/>
        <v>DM-184-ST</v>
      </c>
      <c r="T33" s="65" t="str">
        <f t="shared" si="2"/>
        <v>DW-018-XC</v>
      </c>
      <c r="U33" s="65" t="str">
        <f t="shared" si="2"/>
        <v>EB-738-PM</v>
      </c>
      <c r="V33" s="65" t="str">
        <f t="shared" si="2"/>
        <v>BR-599-KW</v>
      </c>
      <c r="W33" s="65" t="str">
        <f t="shared" si="2"/>
        <v>CZ-531-PS</v>
      </c>
      <c r="X33" s="65" t="str">
        <f t="shared" si="2"/>
        <v>DD-497-VP</v>
      </c>
      <c r="Y33" s="66" t="str">
        <f t="shared" si="2"/>
        <v>EE-976-EK</v>
      </c>
      <c r="Z33" s="44"/>
    </row>
    <row r="34" spans="4:29" x14ac:dyDescent="0.2">
      <c r="D34" s="21" t="s">
        <v>6</v>
      </c>
      <c r="E34" s="67">
        <f t="shared" ref="E34:Y34" si="3">E7</f>
        <v>46</v>
      </c>
      <c r="F34" s="68">
        <f t="shared" si="3"/>
        <v>47</v>
      </c>
      <c r="G34" s="68">
        <f t="shared" si="3"/>
        <v>54</v>
      </c>
      <c r="H34" s="68">
        <f t="shared" si="3"/>
        <v>31</v>
      </c>
      <c r="I34" s="68">
        <f t="shared" si="3"/>
        <v>5</v>
      </c>
      <c r="J34" s="68">
        <f t="shared" si="3"/>
        <v>32</v>
      </c>
      <c r="K34" s="68">
        <f t="shared" si="3"/>
        <v>34</v>
      </c>
      <c r="L34" s="68">
        <f t="shared" si="3"/>
        <v>48</v>
      </c>
      <c r="M34" s="68">
        <f t="shared" si="3"/>
        <v>36</v>
      </c>
      <c r="N34" s="68">
        <f t="shared" si="3"/>
        <v>7</v>
      </c>
      <c r="O34" s="68" t="str">
        <f t="shared" si="3"/>
        <v>Renfort</v>
      </c>
      <c r="P34" s="68">
        <f t="shared" si="3"/>
        <v>9</v>
      </c>
      <c r="Q34" s="68">
        <f t="shared" si="3"/>
        <v>2</v>
      </c>
      <c r="R34" s="68">
        <f t="shared" si="3"/>
        <v>11</v>
      </c>
      <c r="S34" s="68">
        <f t="shared" si="3"/>
        <v>1</v>
      </c>
      <c r="T34" s="68">
        <f t="shared" si="3"/>
        <v>6</v>
      </c>
      <c r="U34" s="68">
        <f t="shared" si="3"/>
        <v>3</v>
      </c>
      <c r="V34" s="68">
        <f t="shared" si="3"/>
        <v>700</v>
      </c>
      <c r="W34" s="68">
        <f t="shared" si="3"/>
        <v>200</v>
      </c>
      <c r="X34" s="68">
        <f t="shared" si="3"/>
        <v>300</v>
      </c>
      <c r="Y34" s="69">
        <f t="shared" si="3"/>
        <v>600</v>
      </c>
      <c r="Z34" s="44"/>
    </row>
    <row r="35" spans="4:29" ht="15" x14ac:dyDescent="0.25">
      <c r="D35" s="21" t="s">
        <v>7</v>
      </c>
      <c r="E35" s="67">
        <f>VLOOKUP(E33,$B$8:$Z$28,4,FALSE)</f>
        <v>44035.666666666672</v>
      </c>
      <c r="F35" s="68">
        <f>VLOOKUP(F33,$B$8:$Z$28,5,FALSE)</f>
        <v>14406.166666666664</v>
      </c>
      <c r="G35" s="68">
        <f>VLOOKUP(G33,$B$8:$Z$28,6,FALSE)</f>
        <v>16349</v>
      </c>
      <c r="H35" s="68">
        <f>VLOOKUP(H33,$B$8:$Z$28,7,FALSE)</f>
        <v>55899.333333333328</v>
      </c>
      <c r="I35" s="68">
        <f>VLOOKUP(I33,$B$8:$Z$28,8,FALSE)</f>
        <v>63778</v>
      </c>
      <c r="J35" s="68">
        <f>VLOOKUP(J33,$B$8:$Z$28,9,FALSE)</f>
        <v>16452</v>
      </c>
      <c r="K35" s="68">
        <f t="array" ref="K35">VLOOKUP(K33,$B$8:$Z$28,10,FALSE)</f>
        <v>23048</v>
      </c>
      <c r="L35" s="68">
        <f t="array" ref="L35">VLOOKUP(L33,$B$8:$Z$28,11,FALSE)</f>
        <v>24100.833333333336</v>
      </c>
      <c r="M35" s="68">
        <f t="array" ref="M35">VLOOKUP(M33,$B$8:$Z$28,12,FALSE)</f>
        <v>61302</v>
      </c>
      <c r="N35" s="68">
        <f t="array" ref="N35">VLOOKUP(N33,$B$8:$Z$28,13,FALSE)</f>
        <v>30226.166666666668</v>
      </c>
      <c r="O35" s="68">
        <f>VLOOKUP(O33,$B$8:$Z$28,14,FALSE)</f>
        <v>32560</v>
      </c>
      <c r="P35" s="68">
        <f t="array" ref="P35">VLOOKUP(P33,$B$8:$Z$28,15,FALSE)</f>
        <v>39866</v>
      </c>
      <c r="Q35" s="68">
        <f>VLOOKUP(Q33,$B$8:$Z$28,16,FALSE)</f>
        <v>21</v>
      </c>
      <c r="R35" s="68">
        <f>VLOOKUP(R33,$B$8:$Z$28,17,FALSE)</f>
        <v>5669</v>
      </c>
      <c r="S35" s="68">
        <f>VLOOKUP(S33,$B$8:$Z$28,18,FALSE)</f>
        <v>28801.333333333336</v>
      </c>
      <c r="T35" s="68">
        <f>VLOOKUP(T33,$B$8:$Z$28,19,FALSE)</f>
        <v>9945</v>
      </c>
      <c r="U35" s="68">
        <f>VLOOKUP(U33,$B$8:$Z$28,20,FALSE)</f>
        <v>8002</v>
      </c>
      <c r="V35" s="68">
        <f>VLOOKUP(V33,$B$8:$Z$28,21,FALSE)</f>
        <v>27697</v>
      </c>
      <c r="W35" s="68">
        <f>VLOOKUP(W33,$B$8:$Z$28,22,FALSE)</f>
        <v>10115</v>
      </c>
      <c r="X35" s="68">
        <f>VLOOKUP(X33,$B$8:$Z$28,23,FALSE)</f>
        <v>9436.6666666666642</v>
      </c>
      <c r="Y35" s="69">
        <f>VLOOKUP(Y33,$B$8:$Z$28,24,FALSE)</f>
        <v>17374</v>
      </c>
      <c r="Z35" s="45">
        <f>SUM(E35:Y35)</f>
        <v>539084.16666666674</v>
      </c>
    </row>
    <row r="36" spans="4:29" x14ac:dyDescent="0.2">
      <c r="D36" s="6"/>
      <c r="E36" s="46" t="s">
        <v>26</v>
      </c>
      <c r="F36" s="47" t="s">
        <v>26</v>
      </c>
      <c r="G36" s="47" t="s">
        <v>26</v>
      </c>
      <c r="H36" s="47" t="s">
        <v>26</v>
      </c>
      <c r="I36" s="47" t="s">
        <v>26</v>
      </c>
      <c r="J36" s="47" t="s">
        <v>26</v>
      </c>
      <c r="K36" s="47" t="s">
        <v>26</v>
      </c>
      <c r="L36" s="47" t="s">
        <v>26</v>
      </c>
      <c r="M36" s="47" t="s">
        <v>26</v>
      </c>
      <c r="N36" s="47" t="s">
        <v>27</v>
      </c>
      <c r="O36" s="47" t="s">
        <v>27</v>
      </c>
      <c r="P36" s="47" t="s">
        <v>27</v>
      </c>
      <c r="Q36" s="47" t="s">
        <v>27</v>
      </c>
      <c r="R36" s="47" t="s">
        <v>27</v>
      </c>
      <c r="S36" s="47" t="s">
        <v>27</v>
      </c>
      <c r="T36" s="47" t="s">
        <v>27</v>
      </c>
      <c r="U36" s="47" t="s">
        <v>27</v>
      </c>
      <c r="V36" s="47" t="s">
        <v>28</v>
      </c>
      <c r="W36" s="47" t="s">
        <v>28</v>
      </c>
      <c r="X36" s="47" t="s">
        <v>28</v>
      </c>
      <c r="Y36" s="48" t="s">
        <v>28</v>
      </c>
      <c r="Z36" s="49"/>
    </row>
    <row r="37" spans="4:29" x14ac:dyDescent="0.2">
      <c r="D37" s="70" t="s">
        <v>8</v>
      </c>
      <c r="E37" s="71">
        <f t="array" ref="E37">VLOOKUP(INDEX(E$8:E$28,MATCH(MIN(ABS(ValeurCible-E$8:E$28)),ABS(ValeurCible-E$8:E$28),0)),E$8:$Z$28,22,FALSE)</f>
        <v>600</v>
      </c>
      <c r="F37" s="72">
        <f t="array" ref="F37">VLOOKUP(INDEX(F$8:F$28,MATCH(MIN(ABS(ValeurCible-F$8:F$28)),ABS(ValeurCible-F$8:F$28),0)),F$8:$Z$28,21,FALSE)</f>
        <v>600</v>
      </c>
      <c r="G37" s="72" t="str">
        <f t="array" ref="G37">VLOOKUP(INDEX(G$8:G$28,MATCH(MIN(ABS(ValeurCible-G$8:G$28)),ABS(ValeurCible-G$8:G$28),0)),G$8:$Z$28,20,FALSE)</f>
        <v>Renfort</v>
      </c>
      <c r="H37" s="72">
        <f t="array" ref="H37">VLOOKUP(INDEX(H$8:H$28,MATCH(MIN(ABS(ValeurCible-H$8:H$28)),ABS(ValeurCible-H$8:H$28),0)),H$8:$Z$28,19,FALSE)</f>
        <v>600</v>
      </c>
      <c r="I37" s="72">
        <f t="array" ref="I37">VLOOKUP(INDEX(I$8:I$28,MATCH(MIN(ABS(ValeurCible-I$8:I$28)),ABS(ValeurCible-I$8:I$28),0)),I$8:$Z$28,18,FALSE)</f>
        <v>600</v>
      </c>
      <c r="J37" s="72">
        <f t="array" ref="J37">VLOOKUP(INDEX(J$8:J$28,MATCH(MIN(ABS(ValeurCible-J$8:J$28)),ABS(ValeurCible-J$8:J$28),0)),J$8:$Z$28,17,FALSE)</f>
        <v>600</v>
      </c>
      <c r="K37" s="72">
        <f t="array" ref="K37">VLOOKUP(INDEX(K$8:K$28,MATCH(MIN(ABS(ValeurCible-K$8:K$28)),ABS(ValeurCible-K$8:K$28),0)),K$8:$Z$28,16,FALSE)</f>
        <v>600</v>
      </c>
      <c r="L37" s="72">
        <f t="array" ref="L37">VLOOKUP(INDEX(L$8:L$28,MATCH(MIN(ABS(ValeurCible-L$8:L$28)),ABS(ValeurCible-L$8:L$28),0)),L$8:$Z$28,15,FALSE)</f>
        <v>600</v>
      </c>
      <c r="M37" s="72">
        <f t="array" ref="M37">VLOOKUP(INDEX(M$8:M$28,MATCH(MIN(ABS(ValeurCible-M$8:M$28)),ABS(ValeurCible-M$8:M$28),0)),M$8:$Z$28,14,FALSE)</f>
        <v>600</v>
      </c>
      <c r="N37" s="72">
        <f t="array" ref="N37">VLOOKUP(INDEX(N$8:N$28,MATCH(MIN(ABS(ValeurCible-N$8:N$28)),ABS(ValeurCible-N$8:N$28),0)),N$8:$Z$28,13,FALSE)</f>
        <v>5</v>
      </c>
      <c r="O37" s="72">
        <f t="array" ref="O37">VLOOKUP(INDEX(O$8:O$28,MATCH(MIN(ABS(ValeurCible-O$8:O$28)),ABS(ValeurCible-O$8:O$28),0)),O$8:$Z$28,12,FALSE)</f>
        <v>5</v>
      </c>
      <c r="P37" s="72">
        <f t="array" ref="P37">VLOOKUP(INDEX(P$8:P$28,MATCH(MIN(ABS(ValeurCible-P$8:P$28)),ABS(ValeurCible-P$8:P$28),0)),P$8:$Z$28,11,FALSE)</f>
        <v>5</v>
      </c>
      <c r="Q37" s="72">
        <f t="array" ref="Q37">VLOOKUP(INDEX(Q$8:Q$28,MATCH(MIN(ABS(ValeurCible-Q$8:Q$28)),ABS(ValeurCible-Q$8:Q$28),0)),Q$8:$Z$28,10,FALSE)</f>
        <v>2</v>
      </c>
      <c r="R37" s="72">
        <f t="array" ref="R37">VLOOKUP(INDEX(R$8:R$28,MATCH(MIN(ABS(ValeurCible-R$8:R$28)),ABS(ValeurCible-R$8:R$28),0)),R$8:AA$28,9,FALSE)</f>
        <v>34</v>
      </c>
      <c r="S37" s="72">
        <f t="array" ref="S37">VLOOKUP(INDEX(S$8:S$28,MATCH(MIN(ABS(ValeurCible-S$8:S$28)),ABS(ValeurCible-S$8:S$28),0)),S$8:AA$28,8,FALSE)</f>
        <v>600</v>
      </c>
      <c r="T37" s="72">
        <f t="array" ref="T37">VLOOKUP(INDEX(T$8:T$28,MATCH(MIN(ABS(ValeurCible-T$8:T$28)),ABS(ValeurCible-T$8:T$28),0)),T$8:AA$28,7,FALSE)</f>
        <v>200</v>
      </c>
      <c r="U37" s="72">
        <f t="array" ref="U37">VLOOKUP(INDEX(U$8:U$28,MATCH(MIN(ABS(ValeurCible-U$8:U$28)),ABS(ValeurCible-U$8:U$28),0)),U$8:AA$28,6,FALSE)</f>
        <v>200</v>
      </c>
      <c r="V37" s="72">
        <f t="array" ref="V37">VLOOKUP(INDEX(V$8:V$28,MATCH(MIN(ABS(ValeurCible-V$8:V$28)),ABS(ValeurCible-V$8:V$28),0)),V$8:AA$28,5,FALSE)</f>
        <v>600</v>
      </c>
      <c r="W37" s="72">
        <f t="array" ref="W37">VLOOKUP(INDEX(W$8:W$28,MATCH(MIN(ABS(ValeurCible-W$8:W$28)),ABS(ValeurCible-W$8:W$28),0)),W$8:AA$28,4,FALSE)</f>
        <v>34</v>
      </c>
      <c r="X37" s="72" t="str">
        <f t="array" ref="X37">VLOOKUP(INDEX(X$8:X$28,MATCH(MIN(ABS(ValeurCible-X$8:X$28)),ABS(ValeurCible-X$8:X$28),0)),X$8:AA$28,3,FALSE)</f>
        <v>Renfort</v>
      </c>
      <c r="Y37" s="73">
        <f t="array" ref="Y37">VLOOKUP(INDEX(Y$8:Y$28,MATCH(MIN(ABS(ValeurCible-Y$8:Y$28)),ABS(ValeurCible-Y$8:Y$28),0)),Y$8:AA$28,2,FALSE)</f>
        <v>200</v>
      </c>
      <c r="Z37" s="44"/>
    </row>
    <row r="38" spans="4:29" ht="15" x14ac:dyDescent="0.25">
      <c r="D38" s="70" t="s">
        <v>29</v>
      </c>
      <c r="E38" s="74">
        <f t="array" ref="E38">VLOOKUP(E37,$C$8:$Z$28,3,FALSE)</f>
        <v>20055.666666666664</v>
      </c>
      <c r="F38" s="75">
        <f t="array" ref="F38">VLOOKUP(F37,$C$8:$Z$28,4,FALSE)</f>
        <v>325.33333333333576</v>
      </c>
      <c r="G38" s="75">
        <f t="array" ref="G38">VLOOKUP(G37,$C$8:$Z$28,5,FALSE)</f>
        <v>703</v>
      </c>
      <c r="H38" s="75">
        <f t="array" ref="H38">VLOOKUP(H37,$C$8:$Z$28,6,FALSE)</f>
        <v>10514.666666666657</v>
      </c>
      <c r="I38" s="75">
        <f t="array" ref="I38">VLOOKUP(I37,$C$8:$Z$28,7,FALSE)</f>
        <v>10511.333333333328</v>
      </c>
      <c r="J38" s="75">
        <f t="array" ref="J38">VLOOKUP(J37,$C$8:$Z$28,8,FALSE)</f>
        <v>13831.333333333332</v>
      </c>
      <c r="K38" s="75">
        <f t="array" ref="K38">VLOOKUP(K37,$C$8:$Z$28,9,FALSE)</f>
        <v>7204.6666666666642</v>
      </c>
      <c r="L38" s="75">
        <f t="array" ref="L38">VLOOKUP(L37,$C$8:$Z$28,10,FALSE)</f>
        <v>7084.6666666666642</v>
      </c>
      <c r="M38" s="75">
        <f t="array" ref="M38">VLOOKUP(M37,$C$8:$Z$28,11,FALSE)</f>
        <v>126</v>
      </c>
      <c r="N38" s="75">
        <f>VLOOKUP(N37,$C$8:$Z$28,12,FALSE)</f>
        <v>15898</v>
      </c>
      <c r="O38" s="75">
        <f>VLOOKUP(O37,$C$8:$Z$28,13,FALSE)</f>
        <v>11107</v>
      </c>
      <c r="P38" s="75">
        <f>VLOOKUP(P37,$C$8:$Z$28,14,FALSE)</f>
        <v>24026</v>
      </c>
      <c r="Q38" s="75">
        <f>VLOOKUP(Q37,$C$8:$Z$28,15,FALSE)</f>
        <v>21</v>
      </c>
      <c r="R38" s="75">
        <f t="array" ref="R38">VLOOKUP(R37,$C$8:$Z$28,11,FALSE)</f>
        <v>38150</v>
      </c>
      <c r="S38" s="75">
        <f t="array" ref="S38">VLOOKUP(S37,$C$8:$Z$28,11,FALSE)</f>
        <v>126</v>
      </c>
      <c r="T38" s="75">
        <f t="array" ref="T38">VLOOKUP(T37,$C$8:$Z$28,11,FALSE)</f>
        <v>15470</v>
      </c>
      <c r="U38" s="75">
        <f t="array" ref="U38">VLOOKUP(U37,$C$8:$Z$28,11,FALSE)</f>
        <v>15470</v>
      </c>
      <c r="V38" s="75">
        <f t="array" ref="V38">VLOOKUP(V37,$C$8:$Z$28,11,FALSE)</f>
        <v>126</v>
      </c>
      <c r="W38" s="75">
        <f t="array" ref="W38">VLOOKUP(W37,$C$8:$Z$28,11,FALSE)</f>
        <v>38150</v>
      </c>
      <c r="X38" s="75">
        <f t="array" ref="X38">VLOOKUP(X37,$C$8:$Z$28,11,FALSE)</f>
        <v>6838</v>
      </c>
      <c r="Y38" s="76">
        <f t="array" ref="Y38">VLOOKUP(Y37,$C$8:$Z$28,11,FALSE)</f>
        <v>15470</v>
      </c>
      <c r="Z38" s="50">
        <f>SUM(E38:Y38)</f>
        <v>251208.66666666663</v>
      </c>
      <c r="AB38" s="51"/>
      <c r="AC38" s="51"/>
    </row>
    <row r="39" spans="4:29" x14ac:dyDescent="0.2">
      <c r="D39" s="77" t="s">
        <v>10</v>
      </c>
      <c r="E39" s="78" t="str">
        <f t="shared" ref="E39:Y39" si="4">VLOOKUP(E37,$Z$8:$AA$28,2,FALSE)</f>
        <v>EE-976-EK</v>
      </c>
      <c r="F39" s="79" t="str">
        <f t="shared" si="4"/>
        <v>EE-976-EK</v>
      </c>
      <c r="G39" s="79" t="str">
        <f t="shared" si="4"/>
        <v>CZ-150-PS</v>
      </c>
      <c r="H39" s="79" t="str">
        <f t="shared" si="4"/>
        <v>EE-976-EK</v>
      </c>
      <c r="I39" s="79" t="str">
        <f t="shared" si="4"/>
        <v>EE-976-EK</v>
      </c>
      <c r="J39" s="79" t="str">
        <f t="shared" si="4"/>
        <v>EE-976-EK</v>
      </c>
      <c r="K39" s="79" t="str">
        <f t="shared" si="4"/>
        <v>EE-976-EK</v>
      </c>
      <c r="L39" s="79" t="str">
        <f t="shared" si="4"/>
        <v>EE-976-EK</v>
      </c>
      <c r="M39" s="79" t="str">
        <f t="shared" si="4"/>
        <v>EE-976-EK</v>
      </c>
      <c r="N39" s="79" t="str">
        <f t="shared" si="4"/>
        <v>DV-263-DZ</v>
      </c>
      <c r="O39" s="79" t="str">
        <f t="shared" si="4"/>
        <v>DV-263-DZ</v>
      </c>
      <c r="P39" s="79" t="str">
        <f t="shared" si="4"/>
        <v>DV-263-DZ</v>
      </c>
      <c r="Q39" s="79" t="str">
        <f t="shared" si="4"/>
        <v>CZ-694-PS</v>
      </c>
      <c r="R39" s="79" t="str">
        <f t="shared" si="4"/>
        <v>CZ-474-PS</v>
      </c>
      <c r="S39" s="79" t="str">
        <f t="shared" si="4"/>
        <v>EE-976-EK</v>
      </c>
      <c r="T39" s="79" t="str">
        <f t="shared" si="4"/>
        <v>CZ-531-PS</v>
      </c>
      <c r="U39" s="79" t="str">
        <f t="shared" si="4"/>
        <v>CZ-531-PS</v>
      </c>
      <c r="V39" s="79" t="str">
        <f t="shared" si="4"/>
        <v>EE-976-EK</v>
      </c>
      <c r="W39" s="79" t="str">
        <f t="shared" si="4"/>
        <v>CZ-474-PS</v>
      </c>
      <c r="X39" s="79" t="str">
        <f t="shared" si="4"/>
        <v>CZ-150-PS</v>
      </c>
      <c r="Y39" s="80" t="str">
        <f t="shared" si="4"/>
        <v>CZ-531-PS</v>
      </c>
      <c r="Z39" s="52"/>
      <c r="AB39" s="51"/>
      <c r="AC39" s="51"/>
    </row>
    <row r="40" spans="4:29" ht="18" customHeight="1" x14ac:dyDescent="0.2">
      <c r="E40" s="53" t="str">
        <f t="array" ref="E40">HLOOKUP(E37,$E$34:$Y$36,3,FALSE)</f>
        <v>REQUISTA</v>
      </c>
      <c r="F40" s="54" t="str">
        <f t="array" ref="F40">HLOOKUP(F37,$E$34:$Y$36,3,FALSE)</f>
        <v>REQUISTA</v>
      </c>
      <c r="G40" s="54" t="str">
        <f t="array" ref="G40">HLOOKUP(G37,$E$34:$Y$36,3,FALSE)</f>
        <v>PDS</v>
      </c>
      <c r="H40" s="54" t="str">
        <f t="array" ref="H40">HLOOKUP(H37,$E$34:$Y$36,3,FALSE)</f>
        <v>REQUISTA</v>
      </c>
      <c r="I40" s="54" t="str">
        <f t="array" ref="I40">HLOOKUP(I37,$E$34:$Y$36,3,FALSE)</f>
        <v>REQUISTA</v>
      </c>
      <c r="J40" s="54" t="str">
        <f t="array" ref="J40">HLOOKUP(J37,$E$34:$Y$36,3,FALSE)</f>
        <v>REQUISTA</v>
      </c>
      <c r="K40" s="54" t="str">
        <f t="array" ref="K40">HLOOKUP(K37,$E$34:$Y$36,3,FALSE)</f>
        <v>REQUISTA</v>
      </c>
      <c r="L40" s="54" t="str">
        <f t="array" ref="L40">HLOOKUP(L37,$E$34:$Y$36,3,FALSE)</f>
        <v>REQUISTA</v>
      </c>
      <c r="M40" s="54" t="str">
        <f t="array" ref="M40">HLOOKUP(M37,$E$34:$Y$36,3,FALSE)</f>
        <v>REQUISTA</v>
      </c>
      <c r="N40" s="54" t="str">
        <f t="array" ref="N40">HLOOKUP(N37,$E$34:$Y$36,3,FALSE)</f>
        <v>ONET</v>
      </c>
      <c r="O40" s="54" t="str">
        <f t="array" ref="O40">HLOOKUP(O37,$E$34:$Y$36,3,FALSE)</f>
        <v>ONET</v>
      </c>
      <c r="P40" s="54" t="str">
        <f t="array" ref="P40">HLOOKUP(P37,$E$34:$Y$36,3,FALSE)</f>
        <v>ONET</v>
      </c>
      <c r="Q40" s="54" t="str">
        <f t="array" ref="Q40">HLOOKUP(Q37,$E$34:$Y$36,3,FALSE)</f>
        <v>PDS</v>
      </c>
      <c r="R40" s="54" t="str">
        <f t="array" ref="R40">HLOOKUP(R37,$E$34:$Y$36,3,FALSE)</f>
        <v>ONET</v>
      </c>
      <c r="S40" s="54" t="str">
        <f t="array" ref="S40">HLOOKUP(S37,$E$34:$Y$36,3,FALSE)</f>
        <v>REQUISTA</v>
      </c>
      <c r="T40" s="54" t="str">
        <f t="array" ref="T40">HLOOKUP(T37,$E$34:$Y$36,3,FALSE)</f>
        <v>REQUISTA</v>
      </c>
      <c r="U40" s="54" t="str">
        <f t="array" ref="U40">HLOOKUP(U37,$E$34:$Y$36,3,FALSE)</f>
        <v>REQUISTA</v>
      </c>
      <c r="V40" s="54" t="str">
        <f t="array" ref="V40">HLOOKUP(V37,$E$34:$Y$36,3,FALSE)</f>
        <v>REQUISTA</v>
      </c>
      <c r="W40" s="54" t="str">
        <f t="array" ref="W40">HLOOKUP(W37,$E$34:$Y$36,3,FALSE)</f>
        <v>ONET</v>
      </c>
      <c r="X40" s="54" t="str">
        <f t="array" ref="X40">HLOOKUP(X37,$E$34:$Y$36,3,FALSE)</f>
        <v>PDS</v>
      </c>
      <c r="Y40" s="55" t="str">
        <f t="array" ref="Y40">HLOOKUP(Y37,$E$34:$Y$36,3,FALSE)</f>
        <v>REQUISTA</v>
      </c>
      <c r="Z40" s="44"/>
      <c r="AB40" s="51"/>
      <c r="AC40" s="51"/>
    </row>
    <row r="41" spans="4:29" ht="15" x14ac:dyDescent="0.25">
      <c r="D41" s="81" t="s">
        <v>11</v>
      </c>
      <c r="E41" s="82">
        <f>E38-E35</f>
        <v>-23980.000000000007</v>
      </c>
      <c r="F41" s="82">
        <f t="shared" ref="F41:Y41" si="5">F38-F35</f>
        <v>-14080.833333333328</v>
      </c>
      <c r="G41" s="82">
        <f t="shared" si="5"/>
        <v>-15646</v>
      </c>
      <c r="H41" s="82">
        <f t="shared" si="5"/>
        <v>-45384.666666666672</v>
      </c>
      <c r="I41" s="82">
        <f t="shared" si="5"/>
        <v>-53266.666666666672</v>
      </c>
      <c r="J41" s="82">
        <f t="shared" si="5"/>
        <v>-2620.6666666666679</v>
      </c>
      <c r="K41" s="82">
        <f t="shared" si="5"/>
        <v>-15843.333333333336</v>
      </c>
      <c r="L41" s="82">
        <f t="shared" si="5"/>
        <v>-17016.166666666672</v>
      </c>
      <c r="M41" s="82">
        <f t="shared" si="5"/>
        <v>-61176</v>
      </c>
      <c r="N41" s="82">
        <f t="shared" si="5"/>
        <v>-14328.166666666668</v>
      </c>
      <c r="O41" s="82">
        <f t="shared" si="5"/>
        <v>-21453</v>
      </c>
      <c r="P41" s="82">
        <f t="shared" si="5"/>
        <v>-15840</v>
      </c>
      <c r="Q41" s="82">
        <f t="shared" si="5"/>
        <v>0</v>
      </c>
      <c r="R41" s="82">
        <f t="shared" si="5"/>
        <v>32481</v>
      </c>
      <c r="S41" s="82">
        <f t="shared" si="5"/>
        <v>-28675.333333333336</v>
      </c>
      <c r="T41" s="82">
        <f t="shared" si="5"/>
        <v>5525</v>
      </c>
      <c r="U41" s="82">
        <f t="shared" si="5"/>
        <v>7468</v>
      </c>
      <c r="V41" s="82">
        <f t="shared" si="5"/>
        <v>-27571</v>
      </c>
      <c r="W41" s="82">
        <f t="shared" si="5"/>
        <v>28035</v>
      </c>
      <c r="X41" s="82">
        <f t="shared" si="5"/>
        <v>-2598.6666666666642</v>
      </c>
      <c r="Y41" s="82">
        <f t="shared" si="5"/>
        <v>-1904</v>
      </c>
      <c r="Z41" s="56">
        <f>SUM(E41:Y41)</f>
        <v>-287875.50000000006</v>
      </c>
    </row>
    <row r="42" spans="4:29" x14ac:dyDescent="0.2">
      <c r="K42" s="51"/>
    </row>
    <row r="43" spans="4:29" x14ac:dyDescent="0.2">
      <c r="D43" s="83" t="s">
        <v>12</v>
      </c>
      <c r="E43" s="83">
        <v>0</v>
      </c>
      <c r="I43" s="26"/>
      <c r="K43" s="51"/>
    </row>
    <row r="44" spans="4:29" x14ac:dyDescent="0.2">
      <c r="I44" s="51"/>
    </row>
    <row r="45" spans="4:29" x14ac:dyDescent="0.2">
      <c r="I45" s="51"/>
    </row>
    <row r="46" spans="4:29" x14ac:dyDescent="0.2">
      <c r="E46" s="27"/>
      <c r="F46" s="27"/>
      <c r="G46" s="27"/>
      <c r="H46" s="27"/>
      <c r="I46" s="27"/>
      <c r="J46" s="27"/>
    </row>
    <row r="47" spans="4:29" x14ac:dyDescent="0.2">
      <c r="E47" s="27"/>
      <c r="F47" s="27"/>
      <c r="G47" s="27"/>
      <c r="H47" s="27"/>
      <c r="I47" s="27"/>
      <c r="J47" s="27"/>
    </row>
    <row r="48" spans="4:29" x14ac:dyDescent="0.2">
      <c r="E48" s="27"/>
      <c r="F48" s="27"/>
      <c r="G48" s="27"/>
      <c r="H48" s="27"/>
      <c r="I48" s="27"/>
      <c r="J48" s="27"/>
    </row>
    <row r="49" spans="5:10" x14ac:dyDescent="0.2">
      <c r="E49" s="27"/>
      <c r="F49" s="27"/>
      <c r="G49" s="27"/>
      <c r="H49" s="27"/>
      <c r="I49" s="27"/>
      <c r="J49" s="27"/>
    </row>
    <row r="50" spans="5:10" x14ac:dyDescent="0.2">
      <c r="E50" s="27"/>
      <c r="F50" s="27"/>
      <c r="G50" s="27"/>
      <c r="H50" s="27"/>
      <c r="I50" s="27"/>
      <c r="J50" s="27"/>
    </row>
    <row r="51" spans="5:10" x14ac:dyDescent="0.2">
      <c r="E51" s="27"/>
      <c r="F51" s="27"/>
      <c r="G51" s="27"/>
      <c r="H51" s="27"/>
      <c r="I51" s="27"/>
      <c r="J51" s="27"/>
    </row>
    <row r="52" spans="5:10" x14ac:dyDescent="0.2">
      <c r="E52" s="27"/>
      <c r="F52" s="27"/>
      <c r="G52" s="27"/>
      <c r="H52" s="27"/>
      <c r="I52" s="27"/>
      <c r="J52" s="27"/>
    </row>
    <row r="53" spans="5:10" x14ac:dyDescent="0.2">
      <c r="E53" s="27"/>
      <c r="F53" s="27"/>
      <c r="G53" s="27"/>
      <c r="H53" s="27"/>
      <c r="I53" s="27"/>
      <c r="J53" s="27"/>
    </row>
    <row r="54" spans="5:10" x14ac:dyDescent="0.2">
      <c r="E54" s="27"/>
      <c r="F54" s="27"/>
      <c r="G54" s="27"/>
      <c r="H54" s="27"/>
      <c r="I54" s="27"/>
      <c r="J54" s="27"/>
    </row>
    <row r="55" spans="5:10" x14ac:dyDescent="0.2">
      <c r="E55" s="27"/>
      <c r="F55" s="27"/>
      <c r="G55" s="27"/>
      <c r="H55" s="27"/>
      <c r="I55" s="27"/>
      <c r="J55" s="27"/>
    </row>
    <row r="56" spans="5:10" x14ac:dyDescent="0.2">
      <c r="E56" s="27"/>
      <c r="F56" s="27"/>
      <c r="G56" s="27"/>
      <c r="H56" s="27"/>
      <c r="I56" s="27"/>
      <c r="J56" s="27"/>
    </row>
    <row r="57" spans="5:10" x14ac:dyDescent="0.2">
      <c r="E57" s="27"/>
      <c r="F57" s="27"/>
      <c r="G57" s="27"/>
      <c r="H57" s="27"/>
      <c r="I57" s="27"/>
      <c r="J57" s="27"/>
    </row>
    <row r="58" spans="5:10" x14ac:dyDescent="0.2">
      <c r="E58" s="27"/>
      <c r="F58" s="27"/>
      <c r="G58" s="27"/>
      <c r="H58" s="27"/>
      <c r="I58" s="27"/>
      <c r="J58" s="27"/>
    </row>
    <row r="59" spans="5:10" x14ac:dyDescent="0.2">
      <c r="E59" s="27"/>
      <c r="F59" s="27"/>
      <c r="G59" s="27"/>
      <c r="H59" s="27"/>
      <c r="I59" s="27"/>
      <c r="J59" s="27"/>
    </row>
    <row r="60" spans="5:10" x14ac:dyDescent="0.2">
      <c r="E60" s="27"/>
      <c r="F60" s="27"/>
      <c r="G60" s="27"/>
      <c r="H60" s="27"/>
      <c r="I60" s="27"/>
      <c r="J60" s="27"/>
    </row>
  </sheetData>
  <conditionalFormatting sqref="B6">
    <cfRule type="cellIs" dxfId="17" priority="5" operator="greaterThan">
      <formula>0</formula>
    </cfRule>
    <cfRule type="cellIs" dxfId="16" priority="6" operator="lessThan">
      <formula>0</formula>
    </cfRule>
  </conditionalFormatting>
  <conditionalFormatting sqref="A6 C6 E6:AA6">
    <cfRule type="cellIs" dxfId="15" priority="7" operator="greaterThan">
      <formula>0</formula>
    </cfRule>
    <cfRule type="cellIs" dxfId="14" priority="8" operator="lessThan">
      <formula>0</formula>
    </cfRule>
  </conditionalFormatting>
  <conditionalFormatting sqref="E37:Y37">
    <cfRule type="duplicateValues" dxfId="13" priority="4"/>
  </conditionalFormatting>
  <conditionalFormatting sqref="Z41">
    <cfRule type="cellIs" dxfId="12" priority="3" operator="lessThan">
      <formula>0</formula>
    </cfRule>
  </conditionalFormatting>
  <conditionalFormatting sqref="E40:Y40">
    <cfRule type="expression" dxfId="11" priority="1">
      <formula>E$40=E$36</formula>
    </cfRule>
    <cfRule type="expression" dxfId="10" priority="2">
      <formula>$E$40&lt;&gt;$E$36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14"/>
  <sheetViews>
    <sheetView workbookViewId="0">
      <selection activeCell="I16" sqref="I16"/>
    </sheetView>
  </sheetViews>
  <sheetFormatPr baseColWidth="10" defaultColWidth="9.140625" defaultRowHeight="12.75" x14ac:dyDescent="0.2"/>
  <sheetData>
    <row r="1" spans="1:6" x14ac:dyDescent="0.2">
      <c r="B1" s="9" t="s">
        <v>15</v>
      </c>
      <c r="C1" s="10" t="s">
        <v>24</v>
      </c>
      <c r="D1" s="10" t="s">
        <v>25</v>
      </c>
      <c r="E1" s="10" t="s">
        <v>25</v>
      </c>
      <c r="F1" s="10" t="s">
        <v>25</v>
      </c>
    </row>
    <row r="2" spans="1:6" x14ac:dyDescent="0.2">
      <c r="B2" s="9" t="s">
        <v>4</v>
      </c>
      <c r="C2" s="10" t="s">
        <v>20</v>
      </c>
      <c r="D2" s="10" t="s">
        <v>21</v>
      </c>
      <c r="E2" s="10" t="s">
        <v>22</v>
      </c>
      <c r="F2" s="10" t="s">
        <v>23</v>
      </c>
    </row>
    <row r="3" spans="1:6" x14ac:dyDescent="0.2">
      <c r="B3" s="9" t="s">
        <v>18</v>
      </c>
      <c r="C3" s="11">
        <v>100000</v>
      </c>
      <c r="D3" s="11">
        <v>100000</v>
      </c>
      <c r="E3" s="11">
        <v>100000</v>
      </c>
      <c r="F3" s="11">
        <v>100000</v>
      </c>
    </row>
    <row r="4" spans="1:6" x14ac:dyDescent="0.2">
      <c r="B4" s="9" t="s">
        <v>16</v>
      </c>
      <c r="C4" s="11">
        <v>56</v>
      </c>
      <c r="D4" s="11">
        <v>11</v>
      </c>
      <c r="E4" s="11">
        <v>19</v>
      </c>
      <c r="F4" s="11">
        <v>56</v>
      </c>
    </row>
    <row r="5" spans="1:6" x14ac:dyDescent="0.2">
      <c r="B5" s="15" t="s">
        <v>17</v>
      </c>
      <c r="C5" s="13">
        <v>-90044</v>
      </c>
      <c r="D5" s="13">
        <v>-57452</v>
      </c>
      <c r="E5" s="13">
        <v>230</v>
      </c>
      <c r="F5" s="13">
        <v>-90390</v>
      </c>
    </row>
    <row r="6" spans="1:6" x14ac:dyDescent="0.2">
      <c r="A6" s="16">
        <v>8</v>
      </c>
      <c r="B6" s="18">
        <v>1659.3333333333333</v>
      </c>
      <c r="C6" s="84">
        <v>2878.666666666657</v>
      </c>
      <c r="D6" s="84">
        <v>39199.333333333336</v>
      </c>
      <c r="E6" s="84">
        <v>31757.333333333332</v>
      </c>
      <c r="F6" s="84">
        <v>2532.666666666657</v>
      </c>
    </row>
    <row r="7" spans="1:6" x14ac:dyDescent="0.2">
      <c r="A7" s="16">
        <v>5</v>
      </c>
      <c r="B7" s="18">
        <v>808.66666666666663</v>
      </c>
      <c r="C7" s="84">
        <v>44758.666666666672</v>
      </c>
      <c r="D7" s="84">
        <v>48556.666666666672</v>
      </c>
      <c r="E7" s="84">
        <v>15594.666666666666</v>
      </c>
      <c r="F7" s="84">
        <v>45104.666666666672</v>
      </c>
    </row>
    <row r="8" spans="1:6" x14ac:dyDescent="0.2">
      <c r="A8" s="16">
        <v>2</v>
      </c>
      <c r="B8" s="18">
        <v>1932</v>
      </c>
      <c r="C8" s="84">
        <v>18148</v>
      </c>
      <c r="D8" s="84">
        <v>36200</v>
      </c>
      <c r="E8" s="84">
        <v>36938</v>
      </c>
      <c r="F8" s="84">
        <v>17802</v>
      </c>
    </row>
    <row r="9" spans="1:6" x14ac:dyDescent="0.2">
      <c r="A9" s="16">
        <v>4</v>
      </c>
      <c r="B9" s="18">
        <v>1601.6666666666667</v>
      </c>
      <c r="C9" s="84">
        <v>350.66666666665697</v>
      </c>
      <c r="D9" s="84">
        <v>39833.666666666664</v>
      </c>
      <c r="E9" s="84">
        <v>30661.666666666668</v>
      </c>
      <c r="F9" s="84">
        <v>696.66666666665697</v>
      </c>
    </row>
    <row r="10" spans="1:6" x14ac:dyDescent="0.2">
      <c r="B10" t="s">
        <v>54</v>
      </c>
    </row>
    <row r="11" spans="1:6" x14ac:dyDescent="0.2">
      <c r="B11">
        <v>8</v>
      </c>
      <c r="C11" t="s">
        <v>23</v>
      </c>
    </row>
    <row r="12" spans="1:6" x14ac:dyDescent="0.2">
      <c r="B12">
        <v>5</v>
      </c>
      <c r="C12" t="s">
        <v>22</v>
      </c>
    </row>
    <row r="13" spans="1:6" x14ac:dyDescent="0.2">
      <c r="B13">
        <v>2</v>
      </c>
      <c r="C13" t="s">
        <v>21</v>
      </c>
    </row>
    <row r="14" spans="1:6" x14ac:dyDescent="0.2">
      <c r="B14">
        <v>4</v>
      </c>
      <c r="C14" t="s">
        <v>20</v>
      </c>
    </row>
  </sheetData>
  <conditionalFormatting sqref="C5:F5">
    <cfRule type="cellIs" dxfId="9" priority="1" operator="greaterThan">
      <formula>0</formula>
    </cfRule>
    <cfRule type="cellIs" dxfId="8" priority="2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2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tabColor rgb="FFFEC6C2"/>
  </sheetPr>
  <dimension ref="A1:AE60"/>
  <sheetViews>
    <sheetView showGridLines="0" tabSelected="1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C38" sqref="C38"/>
    </sheetView>
  </sheetViews>
  <sheetFormatPr baseColWidth="10" defaultRowHeight="12.75" x14ac:dyDescent="0.2"/>
  <cols>
    <col min="1" max="1" width="25.140625" bestFit="1" customWidth="1"/>
    <col min="2" max="2" width="18.140625" bestFit="1" customWidth="1"/>
    <col min="3" max="3" width="14.28515625" bestFit="1" customWidth="1"/>
    <col min="4" max="4" width="20.5703125" customWidth="1"/>
    <col min="5" max="5" width="12" bestFit="1" customWidth="1"/>
    <col min="6" max="6" width="15.28515625" bestFit="1" customWidth="1"/>
    <col min="7" max="7" width="15.85546875" customWidth="1"/>
    <col min="8" max="8" width="24.5703125" customWidth="1"/>
    <col min="9" max="9" width="19.42578125" bestFit="1" customWidth="1"/>
    <col min="13" max="26" width="11.42578125" customWidth="1"/>
    <col min="28" max="28" width="15.42578125" bestFit="1" customWidth="1"/>
  </cols>
  <sheetData>
    <row r="1" spans="1:31" x14ac:dyDescent="0.2">
      <c r="A1" s="1" t="s">
        <v>0</v>
      </c>
      <c r="B1" s="2" t="str">
        <f>'[1]7 ONET-PDS-REQ'!B1</f>
        <v>(Plusieurs éléments)</v>
      </c>
      <c r="C1" s="3" t="str">
        <f>'[1]7 ONET-PDS-REQ'!C1</f>
        <v>B3;B3D;B3D1</v>
      </c>
      <c r="D1" s="4">
        <f>'[1]7 ONET-PDS-REQ'!D1</f>
        <v>0</v>
      </c>
      <c r="E1" s="39" t="str">
        <f>'[1]7 ONET-PDS-REQ'!E1</f>
        <v xml:space="preserve"> Site</v>
      </c>
      <c r="F1" s="39" t="str">
        <f>'[1]7 ONET-PDS-REQ'!F1</f>
        <v>Immatriculation</v>
      </c>
      <c r="G1" s="39" t="str">
        <f>'[1]7 ONET-PDS-REQ'!G1</f>
        <v>Nbr mois avant fin contrat</v>
      </c>
      <c r="H1" s="39" t="str">
        <f>'[1]7 ONET-PDS-REQ'!H1</f>
        <v>Km restants pour arriver au contrat</v>
      </c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</row>
    <row r="2" spans="1:31" x14ac:dyDescent="0.2">
      <c r="A2" s="7"/>
      <c r="B2" s="5">
        <f>'[1]7 ONET-PDS-REQ'!B2</f>
        <v>0</v>
      </c>
      <c r="C2" s="40">
        <f>'[1]7 ONET-PDS-REQ'!C2</f>
        <v>0</v>
      </c>
      <c r="D2" s="9" t="str">
        <f>'[1]7 ONET-PDS-REQ'!D2</f>
        <v xml:space="preserve"> Site</v>
      </c>
      <c r="E2" s="57" t="s">
        <v>30</v>
      </c>
      <c r="F2" s="57" t="s">
        <v>30</v>
      </c>
      <c r="G2" s="57" t="s">
        <v>30</v>
      </c>
      <c r="H2" s="57" t="s">
        <v>30</v>
      </c>
      <c r="I2" s="57" t="s">
        <v>30</v>
      </c>
      <c r="J2" s="57" t="s">
        <v>30</v>
      </c>
      <c r="K2" s="57" t="s">
        <v>30</v>
      </c>
      <c r="L2" s="57" t="s">
        <v>30</v>
      </c>
      <c r="M2" s="57" t="s">
        <v>30</v>
      </c>
      <c r="N2" s="57" t="s">
        <v>27</v>
      </c>
      <c r="O2" s="57" t="s">
        <v>27</v>
      </c>
      <c r="P2" s="57" t="s">
        <v>27</v>
      </c>
      <c r="Q2" s="57" t="s">
        <v>27</v>
      </c>
      <c r="R2" s="57" t="s">
        <v>27</v>
      </c>
      <c r="S2" s="57" t="s">
        <v>27</v>
      </c>
      <c r="T2" s="57" t="s">
        <v>27</v>
      </c>
      <c r="U2" s="57" t="s">
        <v>27</v>
      </c>
      <c r="V2" s="57" t="s">
        <v>53</v>
      </c>
      <c r="W2" s="57" t="s">
        <v>53</v>
      </c>
      <c r="X2" s="57" t="s">
        <v>53</v>
      </c>
      <c r="Y2" s="57" t="s">
        <v>53</v>
      </c>
      <c r="Z2" s="57"/>
      <c r="AA2" s="57"/>
    </row>
    <row r="3" spans="1:31" x14ac:dyDescent="0.2">
      <c r="A3" s="7"/>
      <c r="B3" s="5">
        <f>'[1]7 ONET-PDS-REQ'!B3</f>
        <v>0</v>
      </c>
      <c r="C3" s="40">
        <f>'[1]7 ONET-PDS-REQ'!C3</f>
        <v>0</v>
      </c>
      <c r="D3" s="9" t="str">
        <f>'[1]7 ONET-PDS-REQ'!D3</f>
        <v>Immatriculation</v>
      </c>
      <c r="E3" s="57" t="s">
        <v>31</v>
      </c>
      <c r="F3" s="57" t="s">
        <v>32</v>
      </c>
      <c r="G3" s="57" t="s">
        <v>33</v>
      </c>
      <c r="H3" s="57" t="s">
        <v>34</v>
      </c>
      <c r="I3" s="57" t="s">
        <v>35</v>
      </c>
      <c r="J3" s="57" t="s">
        <v>36</v>
      </c>
      <c r="K3" s="57" t="s">
        <v>37</v>
      </c>
      <c r="L3" s="57" t="s">
        <v>38</v>
      </c>
      <c r="M3" s="57" t="s">
        <v>39</v>
      </c>
      <c r="N3" s="57" t="s">
        <v>40</v>
      </c>
      <c r="O3" s="57" t="s">
        <v>41</v>
      </c>
      <c r="P3" s="57" t="s">
        <v>43</v>
      </c>
      <c r="Q3" s="57" t="s">
        <v>44</v>
      </c>
      <c r="R3" s="57" t="s">
        <v>45</v>
      </c>
      <c r="S3" s="57" t="s">
        <v>46</v>
      </c>
      <c r="T3" s="57" t="s">
        <v>47</v>
      </c>
      <c r="U3" s="57" t="s">
        <v>48</v>
      </c>
      <c r="V3" s="57" t="s">
        <v>49</v>
      </c>
      <c r="W3" s="57" t="s">
        <v>50</v>
      </c>
      <c r="X3" s="57" t="s">
        <v>51</v>
      </c>
      <c r="Y3" s="57" t="s">
        <v>52</v>
      </c>
      <c r="Z3" s="57"/>
      <c r="AA3" s="57"/>
    </row>
    <row r="4" spans="1:31" x14ac:dyDescent="0.2">
      <c r="A4" s="7"/>
      <c r="B4" s="5">
        <f>'[1]7 ONET-PDS-REQ'!B4</f>
        <v>0</v>
      </c>
      <c r="C4" s="40">
        <f>'[1]7 ONET-PDS-REQ'!C4</f>
        <v>0</v>
      </c>
      <c r="D4" s="9" t="str">
        <f>'[1]7 ONET-PDS-REQ'!D4</f>
        <v>Contrat</v>
      </c>
      <c r="E4" s="58">
        <v>100000</v>
      </c>
      <c r="F4" s="58">
        <v>100000</v>
      </c>
      <c r="G4" s="58">
        <v>100000</v>
      </c>
      <c r="H4" s="58">
        <v>100000</v>
      </c>
      <c r="I4" s="58">
        <v>100000</v>
      </c>
      <c r="J4" s="58">
        <v>100000</v>
      </c>
      <c r="K4" s="58">
        <v>100000</v>
      </c>
      <c r="L4" s="58">
        <v>100000</v>
      </c>
      <c r="M4" s="58">
        <v>100000</v>
      </c>
      <c r="N4" s="58">
        <v>100000</v>
      </c>
      <c r="O4" s="58">
        <v>100000</v>
      </c>
      <c r="P4" s="58">
        <v>100000</v>
      </c>
      <c r="Q4" s="58">
        <v>100000</v>
      </c>
      <c r="R4" s="58">
        <v>100000</v>
      </c>
      <c r="S4" s="58">
        <v>100000</v>
      </c>
      <c r="T4" s="58">
        <v>100000</v>
      </c>
      <c r="U4" s="58">
        <v>100000</v>
      </c>
      <c r="V4" s="58">
        <v>100000</v>
      </c>
      <c r="W4" s="58">
        <v>100000</v>
      </c>
      <c r="X4" s="58">
        <v>100000</v>
      </c>
      <c r="Y4" s="58">
        <v>100000</v>
      </c>
      <c r="Z4" s="58"/>
      <c r="AA4" s="58"/>
    </row>
    <row r="5" spans="1:31" x14ac:dyDescent="0.2">
      <c r="A5" s="7"/>
      <c r="B5" s="5">
        <f>'[1]7 ONET-PDS-REQ'!B5</f>
        <v>0</v>
      </c>
      <c r="C5" s="40">
        <f>'[1]7 ONET-PDS-REQ'!C5</f>
        <v>0</v>
      </c>
      <c r="D5" s="9" t="str">
        <f>'[1]7 ONET-PDS-REQ'!D5</f>
        <v>Nbr mois avant fin contrat</v>
      </c>
      <c r="E5" s="58">
        <v>20</v>
      </c>
      <c r="F5" s="58">
        <v>23</v>
      </c>
      <c r="G5" s="58">
        <v>36</v>
      </c>
      <c r="H5" s="58">
        <v>38</v>
      </c>
      <c r="I5" s="58">
        <v>40</v>
      </c>
      <c r="J5" s="58">
        <v>4</v>
      </c>
      <c r="K5" s="58">
        <v>20</v>
      </c>
      <c r="L5" s="58">
        <v>23</v>
      </c>
      <c r="M5" s="58">
        <v>48</v>
      </c>
      <c r="N5" s="58">
        <v>13</v>
      </c>
      <c r="O5" s="58">
        <v>18</v>
      </c>
      <c r="P5" s="58">
        <v>18</v>
      </c>
      <c r="Q5" s="58">
        <v>18</v>
      </c>
      <c r="R5" s="58">
        <v>18</v>
      </c>
      <c r="S5" s="58">
        <v>32</v>
      </c>
      <c r="T5" s="58">
        <v>42</v>
      </c>
      <c r="U5" s="58">
        <v>48</v>
      </c>
      <c r="V5" s="58">
        <v>4</v>
      </c>
      <c r="W5" s="58">
        <v>18</v>
      </c>
      <c r="X5" s="58">
        <v>23</v>
      </c>
      <c r="Y5" s="58">
        <v>54</v>
      </c>
      <c r="Z5" s="58"/>
      <c r="AA5" s="58"/>
    </row>
    <row r="6" spans="1:31" x14ac:dyDescent="0.2">
      <c r="A6" s="12"/>
      <c r="B6" s="13" t="str">
        <f>'[1]7 ONET-PDS-REQ'!B6</f>
        <v>Immatriculation</v>
      </c>
      <c r="C6" s="41">
        <f>'[1]7 ONET-PDS-REQ'!C6</f>
        <v>0</v>
      </c>
      <c r="D6" s="15" t="str">
        <f>'[1]7 ONET-PDS-REQ'!D6</f>
        <v>Km restants pour arriver au contrat</v>
      </c>
      <c r="E6" s="59">
        <v>-57809</v>
      </c>
      <c r="F6" s="59">
        <v>-43091</v>
      </c>
      <c r="G6" s="59">
        <v>-62219</v>
      </c>
      <c r="H6" s="59">
        <v>-82246</v>
      </c>
      <c r="I6" s="59">
        <v>-86018</v>
      </c>
      <c r="J6" s="59">
        <v>-21382</v>
      </c>
      <c r="K6" s="59">
        <v>-44958</v>
      </c>
      <c r="L6" s="59">
        <v>-50501</v>
      </c>
      <c r="M6" s="59">
        <v>-90734</v>
      </c>
      <c r="N6" s="59">
        <v>8670</v>
      </c>
      <c r="O6" s="59">
        <v>1099</v>
      </c>
      <c r="P6" s="59">
        <v>14018</v>
      </c>
      <c r="Q6" s="59">
        <v>-22899</v>
      </c>
      <c r="R6" s="59">
        <v>-18862</v>
      </c>
      <c r="S6" s="59">
        <v>-66092</v>
      </c>
      <c r="T6" s="59">
        <v>-65196</v>
      </c>
      <c r="U6" s="59">
        <v>-75698</v>
      </c>
      <c r="V6" s="59">
        <v>-30939</v>
      </c>
      <c r="W6" s="59">
        <v>-18109</v>
      </c>
      <c r="X6" s="59">
        <v>-39605</v>
      </c>
      <c r="Y6" s="59">
        <v>-84560</v>
      </c>
      <c r="Z6" s="59"/>
      <c r="AA6" s="59"/>
    </row>
    <row r="7" spans="1:31" x14ac:dyDescent="0.2">
      <c r="A7" s="16" t="s">
        <v>2</v>
      </c>
      <c r="B7" s="16" t="s">
        <v>4</v>
      </c>
      <c r="C7" s="16" t="s">
        <v>3</v>
      </c>
      <c r="D7" s="16" t="s">
        <v>19</v>
      </c>
      <c r="E7" s="60">
        <v>46</v>
      </c>
      <c r="F7" s="60">
        <v>47</v>
      </c>
      <c r="G7" s="60">
        <v>54</v>
      </c>
      <c r="H7" s="60">
        <v>31</v>
      </c>
      <c r="I7" s="60">
        <v>5</v>
      </c>
      <c r="J7" s="60">
        <v>32</v>
      </c>
      <c r="K7" s="60">
        <v>34</v>
      </c>
      <c r="L7" s="60">
        <v>48</v>
      </c>
      <c r="M7" s="60">
        <v>36</v>
      </c>
      <c r="N7" s="60">
        <v>7</v>
      </c>
      <c r="O7" s="60" t="s">
        <v>42</v>
      </c>
      <c r="P7" s="60">
        <v>9</v>
      </c>
      <c r="Q7" s="60">
        <v>2</v>
      </c>
      <c r="R7" s="60">
        <v>11</v>
      </c>
      <c r="S7" s="60">
        <v>1</v>
      </c>
      <c r="T7" s="60">
        <v>6</v>
      </c>
      <c r="U7" s="60">
        <v>3</v>
      </c>
      <c r="V7" s="60">
        <v>700</v>
      </c>
      <c r="W7" s="60">
        <v>200</v>
      </c>
      <c r="X7" s="60">
        <v>300</v>
      </c>
      <c r="Y7" s="60">
        <v>600</v>
      </c>
      <c r="Z7" s="61" t="s">
        <v>3</v>
      </c>
      <c r="AA7" s="61" t="s">
        <v>4</v>
      </c>
    </row>
    <row r="8" spans="1:31" x14ac:dyDescent="0.2">
      <c r="A8" s="42" t="s">
        <v>30</v>
      </c>
      <c r="B8" s="42" t="s">
        <v>31</v>
      </c>
      <c r="C8" s="16">
        <v>46</v>
      </c>
      <c r="D8" s="18">
        <v>688.66666666666663</v>
      </c>
      <c r="E8" s="62">
        <v>44035.666666666672</v>
      </c>
      <c r="F8" s="62">
        <v>27251.666666666668</v>
      </c>
      <c r="G8" s="62">
        <v>37427</v>
      </c>
      <c r="H8" s="62">
        <v>56076.666666666672</v>
      </c>
      <c r="I8" s="62">
        <v>58471.333333333336</v>
      </c>
      <c r="J8" s="62">
        <v>18627.333333333332</v>
      </c>
      <c r="K8" s="62">
        <v>31184.666666666668</v>
      </c>
      <c r="L8" s="62">
        <v>34661.666666666672</v>
      </c>
      <c r="M8" s="62">
        <v>57678</v>
      </c>
      <c r="N8" s="62">
        <v>17622.666666666664</v>
      </c>
      <c r="O8" s="62">
        <v>13495</v>
      </c>
      <c r="P8" s="62">
        <v>26414</v>
      </c>
      <c r="Q8" s="62">
        <v>10503</v>
      </c>
      <c r="R8" s="62">
        <v>6466</v>
      </c>
      <c r="S8" s="62">
        <v>44054.666666666672</v>
      </c>
      <c r="T8" s="62">
        <v>36272</v>
      </c>
      <c r="U8" s="62">
        <v>42642</v>
      </c>
      <c r="V8" s="62">
        <v>28184.333333333332</v>
      </c>
      <c r="W8" s="62">
        <v>5713</v>
      </c>
      <c r="X8" s="62">
        <v>23765.666666666668</v>
      </c>
      <c r="Y8" s="62">
        <v>47372</v>
      </c>
      <c r="Z8" s="61">
        <f>C8</f>
        <v>46</v>
      </c>
      <c r="AA8" s="63" t="str">
        <f>B8</f>
        <v>CZ-209-PS</v>
      </c>
      <c r="AB8" s="19"/>
      <c r="AC8" s="19"/>
      <c r="AD8" s="19"/>
      <c r="AE8" s="19"/>
    </row>
    <row r="9" spans="1:31" x14ac:dyDescent="0.2">
      <c r="A9" s="42" t="s">
        <v>30</v>
      </c>
      <c r="B9" s="42" t="s">
        <v>32</v>
      </c>
      <c r="C9" s="16">
        <v>47</v>
      </c>
      <c r="D9" s="18">
        <v>1247.1666666666667</v>
      </c>
      <c r="E9" s="62">
        <v>32865.666666666664</v>
      </c>
      <c r="F9" s="62">
        <v>14406.166666666664</v>
      </c>
      <c r="G9" s="62">
        <v>17321</v>
      </c>
      <c r="H9" s="62">
        <v>34853.666666666664</v>
      </c>
      <c r="I9" s="62">
        <v>36131.333333333328</v>
      </c>
      <c r="J9" s="62">
        <v>16393.333333333332</v>
      </c>
      <c r="K9" s="62">
        <v>20014.666666666664</v>
      </c>
      <c r="L9" s="62">
        <v>21816.166666666664</v>
      </c>
      <c r="M9" s="62">
        <v>30870</v>
      </c>
      <c r="N9" s="62">
        <v>24883.166666666668</v>
      </c>
      <c r="O9" s="62">
        <v>23548</v>
      </c>
      <c r="P9" s="62">
        <v>36467</v>
      </c>
      <c r="Q9" s="62">
        <v>450</v>
      </c>
      <c r="R9" s="62">
        <v>3587</v>
      </c>
      <c r="S9" s="62">
        <v>26182.666666666664</v>
      </c>
      <c r="T9" s="62">
        <v>12815</v>
      </c>
      <c r="U9" s="62">
        <v>15834</v>
      </c>
      <c r="V9" s="62">
        <v>25950.333333333332</v>
      </c>
      <c r="W9" s="62">
        <v>4340</v>
      </c>
      <c r="X9" s="62">
        <v>10920.166666666664</v>
      </c>
      <c r="Y9" s="62">
        <v>17213</v>
      </c>
      <c r="Z9" s="61">
        <f t="shared" ref="Z9:Z28" si="0">C9</f>
        <v>47</v>
      </c>
      <c r="AA9" s="63" t="str">
        <f t="shared" ref="AA9:AA28" si="1">B9</f>
        <v>DD-283-VP</v>
      </c>
      <c r="AB9" s="19"/>
      <c r="AC9" s="19"/>
      <c r="AD9" s="19"/>
      <c r="AE9" s="19"/>
    </row>
    <row r="10" spans="1:31" x14ac:dyDescent="0.2">
      <c r="A10" s="42" t="s">
        <v>30</v>
      </c>
      <c r="B10" s="42" t="s">
        <v>33</v>
      </c>
      <c r="C10" s="16">
        <v>54</v>
      </c>
      <c r="D10" s="18">
        <v>1274.1666666666667</v>
      </c>
      <c r="E10" s="62">
        <v>32325.666666666664</v>
      </c>
      <c r="F10" s="62">
        <v>13785.166666666664</v>
      </c>
      <c r="G10" s="62">
        <v>16349</v>
      </c>
      <c r="H10" s="62">
        <v>33827.666666666664</v>
      </c>
      <c r="I10" s="62">
        <v>35051.333333333328</v>
      </c>
      <c r="J10" s="62">
        <v>16285.333333333332</v>
      </c>
      <c r="K10" s="62">
        <v>19474.666666666664</v>
      </c>
      <c r="L10" s="62">
        <v>21195.166666666664</v>
      </c>
      <c r="M10" s="62">
        <v>29574</v>
      </c>
      <c r="N10" s="62">
        <v>25234.166666666668</v>
      </c>
      <c r="O10" s="62">
        <v>24034</v>
      </c>
      <c r="P10" s="62">
        <v>36953</v>
      </c>
      <c r="Q10" s="62">
        <v>36</v>
      </c>
      <c r="R10" s="62">
        <v>4073</v>
      </c>
      <c r="S10" s="62">
        <v>25318.666666666664</v>
      </c>
      <c r="T10" s="62">
        <v>11681</v>
      </c>
      <c r="U10" s="62">
        <v>14538</v>
      </c>
      <c r="V10" s="62">
        <v>25842.333333333332</v>
      </c>
      <c r="W10" s="62">
        <v>4826</v>
      </c>
      <c r="X10" s="62">
        <v>10299.166666666664</v>
      </c>
      <c r="Y10" s="62">
        <v>15755</v>
      </c>
      <c r="Z10" s="61">
        <f t="shared" si="0"/>
        <v>54</v>
      </c>
      <c r="AA10" s="63" t="str">
        <f t="shared" si="1"/>
        <v>DQ-872-XL</v>
      </c>
      <c r="AB10" s="19"/>
      <c r="AC10" s="19"/>
      <c r="AD10" s="19"/>
      <c r="AE10" s="19"/>
    </row>
    <row r="11" spans="1:31" x14ac:dyDescent="0.2">
      <c r="A11" s="42" t="s">
        <v>30</v>
      </c>
      <c r="B11" s="42" t="s">
        <v>34</v>
      </c>
      <c r="C11" s="16">
        <v>31</v>
      </c>
      <c r="D11" s="18">
        <v>693.33333333333337</v>
      </c>
      <c r="E11" s="62">
        <v>43942.333333333328</v>
      </c>
      <c r="F11" s="62">
        <v>27144.333333333332</v>
      </c>
      <c r="G11" s="62">
        <v>37259</v>
      </c>
      <c r="H11" s="62">
        <v>55899.333333333328</v>
      </c>
      <c r="I11" s="62">
        <v>58284.666666666664</v>
      </c>
      <c r="J11" s="62">
        <v>18608.666666666668</v>
      </c>
      <c r="K11" s="62">
        <v>31091.333333333332</v>
      </c>
      <c r="L11" s="62">
        <v>34554.333333333328</v>
      </c>
      <c r="M11" s="62">
        <v>57454</v>
      </c>
      <c r="N11" s="62">
        <v>17683.333333333336</v>
      </c>
      <c r="O11" s="62">
        <v>13579</v>
      </c>
      <c r="P11" s="62">
        <v>26498</v>
      </c>
      <c r="Q11" s="62">
        <v>10419</v>
      </c>
      <c r="R11" s="62">
        <v>6382</v>
      </c>
      <c r="S11" s="62">
        <v>43905.333333333328</v>
      </c>
      <c r="T11" s="62">
        <v>36076</v>
      </c>
      <c r="U11" s="62">
        <v>42418</v>
      </c>
      <c r="V11" s="62">
        <v>28165.666666666668</v>
      </c>
      <c r="W11" s="62">
        <v>5629</v>
      </c>
      <c r="X11" s="62">
        <v>23658.333333333332</v>
      </c>
      <c r="Y11" s="62">
        <v>47120</v>
      </c>
      <c r="Z11" s="61">
        <f t="shared" si="0"/>
        <v>31</v>
      </c>
      <c r="AA11" s="63" t="str">
        <f t="shared" si="1"/>
        <v>DS-958-YQ</v>
      </c>
      <c r="AB11" s="19"/>
      <c r="AC11" s="19"/>
      <c r="AD11" s="19"/>
      <c r="AE11" s="19"/>
    </row>
    <row r="12" spans="1:31" x14ac:dyDescent="0.2">
      <c r="A12" s="42" t="s">
        <v>30</v>
      </c>
      <c r="B12" s="42" t="s">
        <v>35</v>
      </c>
      <c r="C12" s="16">
        <v>5</v>
      </c>
      <c r="D12" s="18">
        <v>556</v>
      </c>
      <c r="E12" s="62">
        <v>46689</v>
      </c>
      <c r="F12" s="62">
        <v>30303</v>
      </c>
      <c r="G12" s="62">
        <v>42203</v>
      </c>
      <c r="H12" s="62">
        <v>61118</v>
      </c>
      <c r="I12" s="62">
        <v>63778</v>
      </c>
      <c r="J12" s="62">
        <v>19158</v>
      </c>
      <c r="K12" s="62">
        <v>33838</v>
      </c>
      <c r="L12" s="62">
        <v>37713</v>
      </c>
      <c r="M12" s="62">
        <v>64046</v>
      </c>
      <c r="N12" s="62">
        <v>15898</v>
      </c>
      <c r="O12" s="62">
        <v>11107</v>
      </c>
      <c r="P12" s="62">
        <v>24026</v>
      </c>
      <c r="Q12" s="62">
        <v>12891</v>
      </c>
      <c r="R12" s="62">
        <v>8854</v>
      </c>
      <c r="S12" s="62">
        <v>48300</v>
      </c>
      <c r="T12" s="62">
        <v>41844</v>
      </c>
      <c r="U12" s="62">
        <v>49010</v>
      </c>
      <c r="V12" s="62">
        <v>28715</v>
      </c>
      <c r="W12" s="62">
        <v>8101</v>
      </c>
      <c r="X12" s="62">
        <v>26817</v>
      </c>
      <c r="Y12" s="62">
        <v>54536</v>
      </c>
      <c r="Z12" s="61">
        <f t="shared" si="0"/>
        <v>5</v>
      </c>
      <c r="AA12" s="63" t="str">
        <f t="shared" si="1"/>
        <v>DV-263-DZ</v>
      </c>
      <c r="AB12" s="19"/>
      <c r="AC12" s="19"/>
      <c r="AD12" s="19"/>
      <c r="AE12" s="19"/>
    </row>
    <row r="13" spans="1:31" x14ac:dyDescent="0.2">
      <c r="A13" s="42" t="s">
        <v>30</v>
      </c>
      <c r="B13" s="42" t="s">
        <v>36</v>
      </c>
      <c r="C13" s="16">
        <v>32</v>
      </c>
      <c r="D13" s="18">
        <v>1232.5</v>
      </c>
      <c r="E13" s="62">
        <v>33159</v>
      </c>
      <c r="F13" s="62">
        <v>14743.5</v>
      </c>
      <c r="G13" s="62">
        <v>17849</v>
      </c>
      <c r="H13" s="62">
        <v>35411</v>
      </c>
      <c r="I13" s="62">
        <v>36718</v>
      </c>
      <c r="J13" s="62">
        <v>16452</v>
      </c>
      <c r="K13" s="62">
        <v>20308</v>
      </c>
      <c r="L13" s="62">
        <v>22153.5</v>
      </c>
      <c r="M13" s="62">
        <v>31574</v>
      </c>
      <c r="N13" s="62">
        <v>24692.5</v>
      </c>
      <c r="O13" s="62">
        <v>23284</v>
      </c>
      <c r="P13" s="62">
        <v>36203</v>
      </c>
      <c r="Q13" s="62">
        <v>714</v>
      </c>
      <c r="R13" s="62">
        <v>3323</v>
      </c>
      <c r="S13" s="62">
        <v>26652</v>
      </c>
      <c r="T13" s="62">
        <v>13431</v>
      </c>
      <c r="U13" s="62">
        <v>16538</v>
      </c>
      <c r="V13" s="62">
        <v>26009</v>
      </c>
      <c r="W13" s="62">
        <v>4076</v>
      </c>
      <c r="X13" s="62">
        <v>11257.5</v>
      </c>
      <c r="Y13" s="62">
        <v>18005</v>
      </c>
      <c r="Z13" s="61">
        <f t="shared" si="0"/>
        <v>32</v>
      </c>
      <c r="AA13" s="63" t="str">
        <f t="shared" si="1"/>
        <v>CK-369-QV</v>
      </c>
      <c r="AB13" s="19"/>
      <c r="AC13" s="19"/>
      <c r="AD13" s="19"/>
      <c r="AE13" s="19"/>
    </row>
    <row r="14" spans="1:31" x14ac:dyDescent="0.2">
      <c r="A14" s="42" t="s">
        <v>30</v>
      </c>
      <c r="B14" s="42" t="s">
        <v>37</v>
      </c>
      <c r="C14" s="16">
        <v>34</v>
      </c>
      <c r="D14" s="18">
        <v>1095.5</v>
      </c>
      <c r="E14" s="62">
        <v>35899</v>
      </c>
      <c r="F14" s="62">
        <v>17894.5</v>
      </c>
      <c r="G14" s="62">
        <v>22781</v>
      </c>
      <c r="H14" s="62">
        <v>40617</v>
      </c>
      <c r="I14" s="62">
        <v>42198</v>
      </c>
      <c r="J14" s="62">
        <v>17000</v>
      </c>
      <c r="K14" s="62">
        <v>23048</v>
      </c>
      <c r="L14" s="62">
        <v>25304.5</v>
      </c>
      <c r="M14" s="62">
        <v>38150</v>
      </c>
      <c r="N14" s="62">
        <v>22911.5</v>
      </c>
      <c r="O14" s="62">
        <v>20818</v>
      </c>
      <c r="P14" s="62">
        <v>33737</v>
      </c>
      <c r="Q14" s="62">
        <v>3180</v>
      </c>
      <c r="R14" s="62">
        <v>857</v>
      </c>
      <c r="S14" s="62">
        <v>31036</v>
      </c>
      <c r="T14" s="62">
        <v>19185</v>
      </c>
      <c r="U14" s="62">
        <v>23114</v>
      </c>
      <c r="V14" s="62">
        <v>26557</v>
      </c>
      <c r="W14" s="62">
        <v>1610</v>
      </c>
      <c r="X14" s="62">
        <v>14408.5</v>
      </c>
      <c r="Y14" s="62">
        <v>25403</v>
      </c>
      <c r="Z14" s="61">
        <f t="shared" si="0"/>
        <v>34</v>
      </c>
      <c r="AA14" s="63" t="str">
        <f t="shared" si="1"/>
        <v>CZ-474-PS</v>
      </c>
      <c r="AB14" s="19"/>
      <c r="AC14" s="19"/>
      <c r="AD14" s="19"/>
      <c r="AE14" s="19"/>
    </row>
    <row r="15" spans="1:31" x14ac:dyDescent="0.2">
      <c r="A15" s="42" t="s">
        <v>30</v>
      </c>
      <c r="B15" s="42" t="s">
        <v>38</v>
      </c>
      <c r="C15" s="16">
        <v>48</v>
      </c>
      <c r="D15" s="18">
        <v>1147.8333333333333</v>
      </c>
      <c r="E15" s="62">
        <v>34852.333333333336</v>
      </c>
      <c r="F15" s="62">
        <v>16690.833333333336</v>
      </c>
      <c r="G15" s="62">
        <v>20897</v>
      </c>
      <c r="H15" s="62">
        <v>38628.333333333336</v>
      </c>
      <c r="I15" s="62">
        <v>40104.666666666672</v>
      </c>
      <c r="J15" s="62">
        <v>16790.666666666668</v>
      </c>
      <c r="K15" s="62">
        <v>22001.333333333336</v>
      </c>
      <c r="L15" s="62">
        <v>24100.833333333336</v>
      </c>
      <c r="M15" s="62">
        <v>35638</v>
      </c>
      <c r="N15" s="62">
        <v>23591.833333333332</v>
      </c>
      <c r="O15" s="62">
        <v>21760</v>
      </c>
      <c r="P15" s="62">
        <v>34679</v>
      </c>
      <c r="Q15" s="62">
        <v>2238</v>
      </c>
      <c r="R15" s="62">
        <v>1799</v>
      </c>
      <c r="S15" s="62">
        <v>29361.333333333336</v>
      </c>
      <c r="T15" s="62">
        <v>16987</v>
      </c>
      <c r="U15" s="62">
        <v>20602</v>
      </c>
      <c r="V15" s="62">
        <v>26347.666666666668</v>
      </c>
      <c r="W15" s="62">
        <v>2552</v>
      </c>
      <c r="X15" s="62">
        <v>13204.833333333336</v>
      </c>
      <c r="Y15" s="62">
        <v>22577.000000000007</v>
      </c>
      <c r="Z15" s="61">
        <f t="shared" si="0"/>
        <v>48</v>
      </c>
      <c r="AA15" s="63" t="str">
        <f t="shared" si="1"/>
        <v>DD-262-VP</v>
      </c>
      <c r="AB15" s="19"/>
      <c r="AC15" s="19"/>
      <c r="AD15" s="19"/>
      <c r="AE15" s="19"/>
    </row>
    <row r="16" spans="1:31" x14ac:dyDescent="0.2">
      <c r="A16" s="42" t="s">
        <v>30</v>
      </c>
      <c r="B16" s="42" t="s">
        <v>39</v>
      </c>
      <c r="C16" s="16">
        <v>36</v>
      </c>
      <c r="D16" s="18">
        <v>613.16666666666663</v>
      </c>
      <c r="E16" s="62">
        <v>45545.666666666672</v>
      </c>
      <c r="F16" s="62">
        <v>28988.166666666668</v>
      </c>
      <c r="G16" s="62">
        <v>40145</v>
      </c>
      <c r="H16" s="62">
        <v>58945.666666666672</v>
      </c>
      <c r="I16" s="62">
        <v>61491.333333333336</v>
      </c>
      <c r="J16" s="62">
        <v>18929.333333333332</v>
      </c>
      <c r="K16" s="62">
        <v>32694.666666666668</v>
      </c>
      <c r="L16" s="62">
        <v>36398.166666666672</v>
      </c>
      <c r="M16" s="62">
        <v>61302</v>
      </c>
      <c r="N16" s="62">
        <v>16641.166666666664</v>
      </c>
      <c r="O16" s="62">
        <v>12136</v>
      </c>
      <c r="P16" s="62">
        <v>25055</v>
      </c>
      <c r="Q16" s="62">
        <v>11862</v>
      </c>
      <c r="R16" s="62">
        <v>7825</v>
      </c>
      <c r="S16" s="62">
        <v>46470.666666666672</v>
      </c>
      <c r="T16" s="62">
        <v>39443</v>
      </c>
      <c r="U16" s="62">
        <v>46266</v>
      </c>
      <c r="V16" s="62">
        <v>28486.333333333332</v>
      </c>
      <c r="W16" s="62">
        <v>7072</v>
      </c>
      <c r="X16" s="62">
        <v>25502.166666666668</v>
      </c>
      <c r="Y16" s="62">
        <v>51449</v>
      </c>
      <c r="Z16" s="61">
        <f t="shared" si="0"/>
        <v>36</v>
      </c>
      <c r="AA16" s="63" t="str">
        <f t="shared" si="1"/>
        <v>EB-084-PM</v>
      </c>
      <c r="AB16" s="19"/>
      <c r="AC16" s="19"/>
      <c r="AD16" s="19"/>
      <c r="AE16" s="19"/>
    </row>
    <row r="17" spans="1:31" x14ac:dyDescent="0.2">
      <c r="A17" s="42" t="s">
        <v>27</v>
      </c>
      <c r="B17" s="42" t="s">
        <v>40</v>
      </c>
      <c r="C17" s="16">
        <v>7</v>
      </c>
      <c r="D17" s="18">
        <v>1658.1666666666667</v>
      </c>
      <c r="E17" s="62">
        <v>24645.666666666664</v>
      </c>
      <c r="F17" s="62">
        <v>4953.1666666666642</v>
      </c>
      <c r="G17" s="62">
        <v>2525</v>
      </c>
      <c r="H17" s="62">
        <v>19235.666666666664</v>
      </c>
      <c r="I17" s="62">
        <v>19691.333333333328</v>
      </c>
      <c r="J17" s="62">
        <v>14749.333333333332</v>
      </c>
      <c r="K17" s="62">
        <v>11794.666666666664</v>
      </c>
      <c r="L17" s="62">
        <v>12363.166666666664</v>
      </c>
      <c r="M17" s="62">
        <v>11142</v>
      </c>
      <c r="N17" s="62">
        <v>30226.166666666668</v>
      </c>
      <c r="O17" s="62">
        <v>30946</v>
      </c>
      <c r="P17" s="62">
        <v>43865</v>
      </c>
      <c r="Q17" s="62">
        <v>6948</v>
      </c>
      <c r="R17" s="62">
        <v>10985</v>
      </c>
      <c r="S17" s="62">
        <v>13030.666666666664</v>
      </c>
      <c r="T17" s="62">
        <v>4447</v>
      </c>
      <c r="U17" s="62">
        <v>3894</v>
      </c>
      <c r="V17" s="62">
        <v>24306.333333333332</v>
      </c>
      <c r="W17" s="62">
        <v>11738</v>
      </c>
      <c r="X17" s="62">
        <v>1467.1666666666642</v>
      </c>
      <c r="Y17" s="62">
        <v>4981</v>
      </c>
      <c r="Z17" s="61">
        <f t="shared" si="0"/>
        <v>7</v>
      </c>
      <c r="AA17" s="63" t="str">
        <f t="shared" si="1"/>
        <v>CT-631-TJ</v>
      </c>
      <c r="AB17" s="19"/>
      <c r="AC17" s="19"/>
      <c r="AD17" s="19"/>
      <c r="AE17" s="19"/>
    </row>
    <row r="18" spans="1:31" x14ac:dyDescent="0.2">
      <c r="A18" s="42" t="s">
        <v>27</v>
      </c>
      <c r="B18" s="42" t="s">
        <v>41</v>
      </c>
      <c r="C18" s="16" t="s">
        <v>42</v>
      </c>
      <c r="D18" s="18">
        <v>1747.8333333333333</v>
      </c>
      <c r="E18" s="62">
        <v>22852.333333333336</v>
      </c>
      <c r="F18" s="62">
        <v>2890.8333333333358</v>
      </c>
      <c r="G18" s="62">
        <v>703</v>
      </c>
      <c r="H18" s="62">
        <v>15828.333333333343</v>
      </c>
      <c r="I18" s="62">
        <v>16104.666666666672</v>
      </c>
      <c r="J18" s="62">
        <v>14390.666666666668</v>
      </c>
      <c r="K18" s="62">
        <v>10001.333333333336</v>
      </c>
      <c r="L18" s="62">
        <v>10300.833333333336</v>
      </c>
      <c r="M18" s="62">
        <v>6838</v>
      </c>
      <c r="N18" s="62">
        <v>31391.833333333332</v>
      </c>
      <c r="O18" s="62">
        <v>32560</v>
      </c>
      <c r="P18" s="62">
        <v>45479</v>
      </c>
      <c r="Q18" s="62">
        <v>8562</v>
      </c>
      <c r="R18" s="62">
        <v>12599</v>
      </c>
      <c r="S18" s="62">
        <v>10161.333333333336</v>
      </c>
      <c r="T18" s="62">
        <v>8213</v>
      </c>
      <c r="U18" s="62">
        <v>8198</v>
      </c>
      <c r="V18" s="62">
        <v>23947.666666666668</v>
      </c>
      <c r="W18" s="62">
        <v>13352</v>
      </c>
      <c r="X18" s="62">
        <v>595.16666666666424</v>
      </c>
      <c r="Y18" s="62">
        <v>9823</v>
      </c>
      <c r="Z18" s="61" t="str">
        <f t="shared" si="0"/>
        <v>Renfort</v>
      </c>
      <c r="AA18" s="63" t="str">
        <f t="shared" si="1"/>
        <v>CZ-150-PS</v>
      </c>
      <c r="AB18" s="19"/>
      <c r="AC18" s="19"/>
      <c r="AD18" s="19"/>
      <c r="AE18" s="19"/>
    </row>
    <row r="19" spans="1:31" x14ac:dyDescent="0.2">
      <c r="A19" s="42" t="s">
        <v>27</v>
      </c>
      <c r="B19" s="42" t="s">
        <v>43</v>
      </c>
      <c r="C19" s="16">
        <v>9</v>
      </c>
      <c r="D19" s="18">
        <v>1436</v>
      </c>
      <c r="E19" s="62">
        <v>29089</v>
      </c>
      <c r="F19" s="62">
        <v>10063</v>
      </c>
      <c r="G19" s="62">
        <v>10523</v>
      </c>
      <c r="H19" s="62">
        <v>27678</v>
      </c>
      <c r="I19" s="62">
        <v>28578</v>
      </c>
      <c r="J19" s="62">
        <v>15638</v>
      </c>
      <c r="K19" s="62">
        <v>16238</v>
      </c>
      <c r="L19" s="62">
        <v>17473</v>
      </c>
      <c r="M19" s="62">
        <v>21806</v>
      </c>
      <c r="N19" s="62">
        <v>27338</v>
      </c>
      <c r="O19" s="62">
        <v>26947</v>
      </c>
      <c r="P19" s="62">
        <v>39866</v>
      </c>
      <c r="Q19" s="62">
        <v>2949</v>
      </c>
      <c r="R19" s="62">
        <v>6986</v>
      </c>
      <c r="S19" s="62">
        <v>20140</v>
      </c>
      <c r="T19" s="62">
        <v>4884</v>
      </c>
      <c r="U19" s="62">
        <v>6770</v>
      </c>
      <c r="V19" s="62">
        <v>25195</v>
      </c>
      <c r="W19" s="62">
        <v>7739</v>
      </c>
      <c r="X19" s="62">
        <v>6577</v>
      </c>
      <c r="Y19" s="62">
        <v>7016</v>
      </c>
      <c r="Z19" s="61">
        <f t="shared" si="0"/>
        <v>9</v>
      </c>
      <c r="AA19" s="63" t="str">
        <f t="shared" si="1"/>
        <v>CZ-453-PS</v>
      </c>
      <c r="AB19" s="19"/>
      <c r="AC19" s="19"/>
      <c r="AD19" s="19"/>
      <c r="AE19" s="19"/>
    </row>
    <row r="20" spans="1:31" x14ac:dyDescent="0.2">
      <c r="A20" s="42" t="s">
        <v>27</v>
      </c>
      <c r="B20" s="42" t="s">
        <v>44</v>
      </c>
      <c r="C20" s="16">
        <v>2</v>
      </c>
      <c r="D20" s="18">
        <v>1271</v>
      </c>
      <c r="E20" s="62">
        <v>32389</v>
      </c>
      <c r="F20" s="62">
        <v>13858</v>
      </c>
      <c r="G20" s="62">
        <v>16463</v>
      </c>
      <c r="H20" s="62">
        <v>33948</v>
      </c>
      <c r="I20" s="62">
        <v>35178</v>
      </c>
      <c r="J20" s="62">
        <v>16298</v>
      </c>
      <c r="K20" s="62">
        <v>19538</v>
      </c>
      <c r="L20" s="62">
        <v>21268</v>
      </c>
      <c r="M20" s="62">
        <v>29726</v>
      </c>
      <c r="N20" s="62">
        <v>25193</v>
      </c>
      <c r="O20" s="62">
        <v>23977</v>
      </c>
      <c r="P20" s="62">
        <v>36896</v>
      </c>
      <c r="Q20" s="62">
        <v>21</v>
      </c>
      <c r="R20" s="62">
        <v>4016</v>
      </c>
      <c r="S20" s="62">
        <v>25420</v>
      </c>
      <c r="T20" s="62">
        <v>11814</v>
      </c>
      <c r="U20" s="62">
        <v>14690</v>
      </c>
      <c r="V20" s="62">
        <v>25855</v>
      </c>
      <c r="W20" s="62">
        <v>4769</v>
      </c>
      <c r="X20" s="62">
        <v>10372</v>
      </c>
      <c r="Y20" s="62">
        <v>15926</v>
      </c>
      <c r="Z20" s="61">
        <f t="shared" si="0"/>
        <v>2</v>
      </c>
      <c r="AA20" s="63" t="str">
        <f t="shared" si="1"/>
        <v>CZ-694-PS</v>
      </c>
      <c r="AB20" s="19"/>
      <c r="AC20" s="19"/>
      <c r="AD20" s="19"/>
      <c r="AE20" s="19"/>
    </row>
    <row r="21" spans="1:31" x14ac:dyDescent="0.2">
      <c r="A21" s="42" t="s">
        <v>27</v>
      </c>
      <c r="B21" s="42" t="s">
        <v>45</v>
      </c>
      <c r="C21" s="16">
        <v>11</v>
      </c>
      <c r="D21" s="18">
        <v>1362.8333333333333</v>
      </c>
      <c r="E21" s="62">
        <v>30552.333333333336</v>
      </c>
      <c r="F21" s="62">
        <v>11745.833333333336</v>
      </c>
      <c r="G21" s="62">
        <v>13157</v>
      </c>
      <c r="H21" s="62">
        <v>30458.333333333336</v>
      </c>
      <c r="I21" s="62">
        <v>31504.666666666672</v>
      </c>
      <c r="J21" s="62">
        <v>15930.666666666668</v>
      </c>
      <c r="K21" s="62">
        <v>17701.333333333336</v>
      </c>
      <c r="L21" s="62">
        <v>19155.833333333336</v>
      </c>
      <c r="M21" s="62">
        <v>25318</v>
      </c>
      <c r="N21" s="62">
        <v>26386.833333333332</v>
      </c>
      <c r="O21" s="62">
        <v>25630</v>
      </c>
      <c r="P21" s="62">
        <v>38549</v>
      </c>
      <c r="Q21" s="62">
        <v>1632</v>
      </c>
      <c r="R21" s="62">
        <v>5669</v>
      </c>
      <c r="S21" s="62">
        <v>22481.333333333336</v>
      </c>
      <c r="T21" s="62">
        <v>7957</v>
      </c>
      <c r="U21" s="62">
        <v>10282</v>
      </c>
      <c r="V21" s="62">
        <v>25487.666666666668</v>
      </c>
      <c r="W21" s="62">
        <v>6422</v>
      </c>
      <c r="X21" s="62">
        <v>8259.8333333333358</v>
      </c>
      <c r="Y21" s="62">
        <v>10967</v>
      </c>
      <c r="Z21" s="61">
        <f t="shared" si="0"/>
        <v>11</v>
      </c>
      <c r="AA21" s="63" t="str">
        <f t="shared" si="1"/>
        <v>CZ-962-PS</v>
      </c>
      <c r="AB21" s="19"/>
      <c r="AC21" s="19"/>
      <c r="AD21" s="19"/>
      <c r="AE21" s="19"/>
    </row>
    <row r="22" spans="1:31" x14ac:dyDescent="0.2">
      <c r="A22" s="42" t="s">
        <v>27</v>
      </c>
      <c r="B22" s="42" t="s">
        <v>46</v>
      </c>
      <c r="C22" s="16">
        <v>1</v>
      </c>
      <c r="D22" s="18">
        <v>1165.3333333333333</v>
      </c>
      <c r="E22" s="62">
        <v>34502.333333333336</v>
      </c>
      <c r="F22" s="62">
        <v>16288.333333333336</v>
      </c>
      <c r="G22" s="62">
        <v>20267</v>
      </c>
      <c r="H22" s="62">
        <v>37963.333333333336</v>
      </c>
      <c r="I22" s="62">
        <v>39404.666666666672</v>
      </c>
      <c r="J22" s="62">
        <v>16720.666666666668</v>
      </c>
      <c r="K22" s="62">
        <v>21651.333333333336</v>
      </c>
      <c r="L22" s="62">
        <v>23698.333333333336</v>
      </c>
      <c r="M22" s="62">
        <v>34798</v>
      </c>
      <c r="N22" s="62">
        <v>23819.333333333332</v>
      </c>
      <c r="O22" s="62">
        <v>22075</v>
      </c>
      <c r="P22" s="62">
        <v>34994</v>
      </c>
      <c r="Q22" s="62">
        <v>1923</v>
      </c>
      <c r="R22" s="62">
        <v>2114</v>
      </c>
      <c r="S22" s="62">
        <v>28801.333333333336</v>
      </c>
      <c r="T22" s="62">
        <v>16252</v>
      </c>
      <c r="U22" s="62">
        <v>19762</v>
      </c>
      <c r="V22" s="62">
        <v>26277.666666666668</v>
      </c>
      <c r="W22" s="62">
        <v>2867</v>
      </c>
      <c r="X22" s="62">
        <v>12802.333333333336</v>
      </c>
      <c r="Y22" s="62">
        <v>21632.000000000007</v>
      </c>
      <c r="Z22" s="61">
        <f t="shared" si="0"/>
        <v>1</v>
      </c>
      <c r="AA22" s="63" t="str">
        <f t="shared" si="1"/>
        <v>DM-184-ST</v>
      </c>
      <c r="AB22" s="19"/>
      <c r="AC22" s="19"/>
      <c r="AD22" s="19"/>
      <c r="AE22" s="19"/>
    </row>
    <row r="23" spans="1:31" x14ac:dyDescent="0.2">
      <c r="A23" s="42" t="s">
        <v>27</v>
      </c>
      <c r="B23" s="42" t="s">
        <v>47</v>
      </c>
      <c r="C23" s="16">
        <v>6</v>
      </c>
      <c r="D23" s="18">
        <v>1315.5</v>
      </c>
      <c r="E23" s="62">
        <v>31499</v>
      </c>
      <c r="F23" s="62">
        <v>12834.5</v>
      </c>
      <c r="G23" s="62">
        <v>14861</v>
      </c>
      <c r="H23" s="62">
        <v>32257</v>
      </c>
      <c r="I23" s="62">
        <v>33398</v>
      </c>
      <c r="J23" s="62">
        <v>16120</v>
      </c>
      <c r="K23" s="62">
        <v>18648</v>
      </c>
      <c r="L23" s="62">
        <v>20244.5</v>
      </c>
      <c r="M23" s="62">
        <v>27590</v>
      </c>
      <c r="N23" s="62">
        <v>25771.5</v>
      </c>
      <c r="O23" s="62">
        <v>24778</v>
      </c>
      <c r="P23" s="62">
        <v>37697</v>
      </c>
      <c r="Q23" s="62">
        <v>780</v>
      </c>
      <c r="R23" s="62">
        <v>4817</v>
      </c>
      <c r="S23" s="62">
        <v>23996</v>
      </c>
      <c r="T23" s="62">
        <v>9945</v>
      </c>
      <c r="U23" s="62">
        <v>12554</v>
      </c>
      <c r="V23" s="62">
        <v>25677</v>
      </c>
      <c r="W23" s="62">
        <v>5570</v>
      </c>
      <c r="X23" s="62">
        <v>9348.5</v>
      </c>
      <c r="Y23" s="62">
        <v>13523</v>
      </c>
      <c r="Z23" s="61">
        <f t="shared" si="0"/>
        <v>6</v>
      </c>
      <c r="AA23" s="63" t="str">
        <f t="shared" si="1"/>
        <v>DW-018-XC</v>
      </c>
      <c r="AB23" s="19"/>
      <c r="AC23" s="19"/>
      <c r="AD23" s="19"/>
      <c r="AE23" s="19"/>
    </row>
    <row r="24" spans="1:31" x14ac:dyDescent="0.2">
      <c r="A24" s="42" t="s">
        <v>27</v>
      </c>
      <c r="B24" s="42" t="s">
        <v>48</v>
      </c>
      <c r="C24" s="16">
        <v>3</v>
      </c>
      <c r="D24" s="18">
        <v>1410.3333333333333</v>
      </c>
      <c r="E24" s="62">
        <v>29602.333333333336</v>
      </c>
      <c r="F24" s="62">
        <v>10653.333333333336</v>
      </c>
      <c r="G24" s="62">
        <v>11447</v>
      </c>
      <c r="H24" s="62">
        <v>28653.333333333336</v>
      </c>
      <c r="I24" s="62">
        <v>29604.666666666672</v>
      </c>
      <c r="J24" s="62">
        <v>15740.666666666668</v>
      </c>
      <c r="K24" s="62">
        <v>16751.333333333336</v>
      </c>
      <c r="L24" s="62">
        <v>18063.333333333336</v>
      </c>
      <c r="M24" s="62">
        <v>23038</v>
      </c>
      <c r="N24" s="62">
        <v>27004.333333333332</v>
      </c>
      <c r="O24" s="62">
        <v>26485</v>
      </c>
      <c r="P24" s="62">
        <v>39404</v>
      </c>
      <c r="Q24" s="62">
        <v>2487</v>
      </c>
      <c r="R24" s="62">
        <v>6524</v>
      </c>
      <c r="S24" s="62">
        <v>20961.333333333336</v>
      </c>
      <c r="T24" s="62">
        <v>5962</v>
      </c>
      <c r="U24" s="62">
        <v>8002</v>
      </c>
      <c r="V24" s="62">
        <v>25297.666666666668</v>
      </c>
      <c r="W24" s="62">
        <v>7277</v>
      </c>
      <c r="X24" s="62">
        <v>7167.3333333333358</v>
      </c>
      <c r="Y24" s="62">
        <v>8402</v>
      </c>
      <c r="Z24" s="61">
        <f t="shared" si="0"/>
        <v>3</v>
      </c>
      <c r="AA24" s="63" t="str">
        <f t="shared" si="1"/>
        <v>EB-738-PM</v>
      </c>
      <c r="AB24" s="19"/>
      <c r="AC24" s="19"/>
      <c r="AD24" s="19"/>
      <c r="AE24" s="19"/>
    </row>
    <row r="25" spans="1:31" x14ac:dyDescent="0.2">
      <c r="A25" s="42" t="s">
        <v>53</v>
      </c>
      <c r="B25" s="42" t="s">
        <v>49</v>
      </c>
      <c r="C25" s="16">
        <v>700</v>
      </c>
      <c r="D25" s="18">
        <v>810.5</v>
      </c>
      <c r="E25" s="62">
        <v>41599</v>
      </c>
      <c r="F25" s="62">
        <v>24449.5</v>
      </c>
      <c r="G25" s="62">
        <v>33041</v>
      </c>
      <c r="H25" s="62">
        <v>51447</v>
      </c>
      <c r="I25" s="62">
        <v>53598</v>
      </c>
      <c r="J25" s="62">
        <v>18140</v>
      </c>
      <c r="K25" s="62">
        <v>28748</v>
      </c>
      <c r="L25" s="62">
        <v>31859.5</v>
      </c>
      <c r="M25" s="62">
        <v>51830</v>
      </c>
      <c r="N25" s="62">
        <v>19206.5</v>
      </c>
      <c r="O25" s="62">
        <v>15688</v>
      </c>
      <c r="P25" s="62">
        <v>28607</v>
      </c>
      <c r="Q25" s="62">
        <v>8310</v>
      </c>
      <c r="R25" s="62">
        <v>4273</v>
      </c>
      <c r="S25" s="62">
        <v>40156</v>
      </c>
      <c r="T25" s="62">
        <v>31155</v>
      </c>
      <c r="U25" s="62">
        <v>36794</v>
      </c>
      <c r="V25" s="62">
        <v>27697</v>
      </c>
      <c r="W25" s="62">
        <v>3520</v>
      </c>
      <c r="X25" s="62">
        <v>20963.5</v>
      </c>
      <c r="Y25" s="62">
        <v>40793</v>
      </c>
      <c r="Z25" s="61">
        <f t="shared" si="0"/>
        <v>700</v>
      </c>
      <c r="AA25" s="63" t="str">
        <f t="shared" si="1"/>
        <v>BR-599-KW</v>
      </c>
      <c r="AB25" s="19"/>
      <c r="AC25" s="19"/>
      <c r="AD25" s="19"/>
      <c r="AE25" s="19"/>
    </row>
    <row r="26" spans="1:31" x14ac:dyDescent="0.2">
      <c r="A26" s="42" t="s">
        <v>53</v>
      </c>
      <c r="B26" s="42" t="s">
        <v>50</v>
      </c>
      <c r="C26" s="16">
        <v>200</v>
      </c>
      <c r="D26" s="18">
        <v>1568</v>
      </c>
      <c r="E26" s="62">
        <v>26449</v>
      </c>
      <c r="F26" s="62">
        <v>7027</v>
      </c>
      <c r="G26" s="62">
        <v>5771</v>
      </c>
      <c r="H26" s="62">
        <v>22662</v>
      </c>
      <c r="I26" s="62">
        <v>23298</v>
      </c>
      <c r="J26" s="62">
        <v>15110</v>
      </c>
      <c r="K26" s="62">
        <v>13598</v>
      </c>
      <c r="L26" s="62">
        <v>14437</v>
      </c>
      <c r="M26" s="62">
        <v>15470</v>
      </c>
      <c r="N26" s="62">
        <v>29054</v>
      </c>
      <c r="O26" s="62">
        <v>29323</v>
      </c>
      <c r="P26" s="62">
        <v>42242</v>
      </c>
      <c r="Q26" s="62">
        <v>5325</v>
      </c>
      <c r="R26" s="62">
        <v>9362</v>
      </c>
      <c r="S26" s="62">
        <v>15916</v>
      </c>
      <c r="T26" s="62">
        <v>660</v>
      </c>
      <c r="U26" s="62">
        <v>434</v>
      </c>
      <c r="V26" s="62">
        <v>24667</v>
      </c>
      <c r="W26" s="62">
        <v>10115</v>
      </c>
      <c r="X26" s="62">
        <v>3541</v>
      </c>
      <c r="Y26" s="62">
        <v>112</v>
      </c>
      <c r="Z26" s="61">
        <f t="shared" si="0"/>
        <v>200</v>
      </c>
      <c r="AA26" s="63" t="str">
        <f t="shared" si="1"/>
        <v>CZ-531-PS</v>
      </c>
      <c r="AB26" s="19"/>
      <c r="AC26" s="19"/>
      <c r="AD26" s="19"/>
      <c r="AE26" s="19"/>
    </row>
    <row r="27" spans="1:31" x14ac:dyDescent="0.2">
      <c r="A27" s="42" t="s">
        <v>53</v>
      </c>
      <c r="B27" s="42" t="s">
        <v>51</v>
      </c>
      <c r="C27" s="16">
        <v>300</v>
      </c>
      <c r="D27" s="18">
        <v>1311.6666666666667</v>
      </c>
      <c r="E27" s="62">
        <v>31575.666666666664</v>
      </c>
      <c r="F27" s="62">
        <v>12922.666666666664</v>
      </c>
      <c r="G27" s="62">
        <v>14999</v>
      </c>
      <c r="H27" s="62">
        <v>32402.666666666664</v>
      </c>
      <c r="I27" s="62">
        <v>33551.333333333328</v>
      </c>
      <c r="J27" s="62">
        <v>16135.333333333332</v>
      </c>
      <c r="K27" s="62">
        <v>18724.666666666664</v>
      </c>
      <c r="L27" s="62">
        <v>20332.666666666664</v>
      </c>
      <c r="M27" s="62">
        <v>27774</v>
      </c>
      <c r="N27" s="62">
        <v>25721.666666666668</v>
      </c>
      <c r="O27" s="62">
        <v>24709</v>
      </c>
      <c r="P27" s="62">
        <v>37628</v>
      </c>
      <c r="Q27" s="62">
        <v>711</v>
      </c>
      <c r="R27" s="62">
        <v>4748</v>
      </c>
      <c r="S27" s="62">
        <v>24118.666666666664</v>
      </c>
      <c r="T27" s="62">
        <v>10106</v>
      </c>
      <c r="U27" s="62">
        <v>12738</v>
      </c>
      <c r="V27" s="62">
        <v>25692.333333333332</v>
      </c>
      <c r="W27" s="62">
        <v>5501</v>
      </c>
      <c r="X27" s="62">
        <v>9436.6666666666642</v>
      </c>
      <c r="Y27" s="62">
        <v>13730</v>
      </c>
      <c r="Z27" s="61">
        <f t="shared" si="0"/>
        <v>300</v>
      </c>
      <c r="AA27" s="63" t="str">
        <f t="shared" si="1"/>
        <v>DD-497-VP</v>
      </c>
      <c r="AB27" s="19"/>
      <c r="AC27" s="19"/>
      <c r="AD27" s="19"/>
      <c r="AE27" s="19"/>
    </row>
    <row r="28" spans="1:31" x14ac:dyDescent="0.2">
      <c r="A28" s="42" t="s">
        <v>53</v>
      </c>
      <c r="B28" s="42" t="s">
        <v>52</v>
      </c>
      <c r="C28" s="16">
        <v>600</v>
      </c>
      <c r="D28" s="18">
        <v>1887.6666666666667</v>
      </c>
      <c r="E28" s="62">
        <v>20055.666666666664</v>
      </c>
      <c r="F28" s="62">
        <v>325.33333333333576</v>
      </c>
      <c r="G28" s="62">
        <v>5737</v>
      </c>
      <c r="H28" s="62">
        <v>10514.666666666657</v>
      </c>
      <c r="I28" s="62">
        <v>10511.333333333328</v>
      </c>
      <c r="J28" s="62">
        <v>13831.333333333332</v>
      </c>
      <c r="K28" s="62">
        <v>7204.6666666666642</v>
      </c>
      <c r="L28" s="62">
        <v>7084.6666666666642</v>
      </c>
      <c r="M28" s="62">
        <v>126</v>
      </c>
      <c r="N28" s="62">
        <v>33209.666666666672</v>
      </c>
      <c r="O28" s="62">
        <v>35077</v>
      </c>
      <c r="P28" s="62">
        <v>47996</v>
      </c>
      <c r="Q28" s="62">
        <v>11079</v>
      </c>
      <c r="R28" s="62">
        <v>15116</v>
      </c>
      <c r="S28" s="62">
        <v>5686.6666666666642</v>
      </c>
      <c r="T28" s="62">
        <v>14086</v>
      </c>
      <c r="U28" s="62">
        <v>14910</v>
      </c>
      <c r="V28" s="62">
        <v>23388.333333333332</v>
      </c>
      <c r="W28" s="62">
        <v>15869</v>
      </c>
      <c r="X28" s="62">
        <v>3811.3333333333358</v>
      </c>
      <c r="Y28" s="62">
        <v>17374</v>
      </c>
      <c r="Z28" s="61">
        <f t="shared" si="0"/>
        <v>600</v>
      </c>
      <c r="AA28" s="63" t="str">
        <f t="shared" si="1"/>
        <v>EE-976-EK</v>
      </c>
      <c r="AB28" s="19"/>
      <c r="AC28" s="19"/>
      <c r="AD28" s="19"/>
      <c r="AE28" s="19"/>
    </row>
    <row r="29" spans="1:31" x14ac:dyDescent="0.2"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31" x14ac:dyDescent="0.2"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31" x14ac:dyDescent="0.2">
      <c r="E31" s="43"/>
      <c r="F31" s="43"/>
      <c r="G31" s="43"/>
      <c r="H31" s="43"/>
      <c r="I31" s="43"/>
      <c r="J31" s="43"/>
    </row>
    <row r="33" spans="4:29" x14ac:dyDescent="0.2">
      <c r="D33" s="21" t="s">
        <v>5</v>
      </c>
      <c r="E33" s="64" t="str">
        <f>E3</f>
        <v>CZ-209-PS</v>
      </c>
      <c r="F33" s="65" t="str">
        <f t="shared" ref="F33:Y33" si="2">F3</f>
        <v>DD-283-VP</v>
      </c>
      <c r="G33" s="65" t="str">
        <f t="shared" si="2"/>
        <v>DQ-872-XL</v>
      </c>
      <c r="H33" s="65" t="str">
        <f t="shared" si="2"/>
        <v>DS-958-YQ</v>
      </c>
      <c r="I33" s="65" t="str">
        <f t="shared" si="2"/>
        <v>DV-263-DZ</v>
      </c>
      <c r="J33" s="65" t="str">
        <f t="shared" si="2"/>
        <v>CK-369-QV</v>
      </c>
      <c r="K33" s="65" t="str">
        <f t="shared" si="2"/>
        <v>CZ-474-PS</v>
      </c>
      <c r="L33" s="65" t="str">
        <f t="shared" si="2"/>
        <v>DD-262-VP</v>
      </c>
      <c r="M33" s="65" t="str">
        <f t="shared" si="2"/>
        <v>EB-084-PM</v>
      </c>
      <c r="N33" s="65" t="str">
        <f t="shared" si="2"/>
        <v>CT-631-TJ</v>
      </c>
      <c r="O33" s="65" t="str">
        <f t="shared" si="2"/>
        <v>CZ-150-PS</v>
      </c>
      <c r="P33" s="65" t="str">
        <f t="shared" si="2"/>
        <v>CZ-453-PS</v>
      </c>
      <c r="Q33" s="65" t="str">
        <f t="shared" si="2"/>
        <v>CZ-694-PS</v>
      </c>
      <c r="R33" s="65" t="str">
        <f t="shared" si="2"/>
        <v>CZ-962-PS</v>
      </c>
      <c r="S33" s="65" t="str">
        <f t="shared" si="2"/>
        <v>DM-184-ST</v>
      </c>
      <c r="T33" s="65" t="str">
        <f t="shared" si="2"/>
        <v>DW-018-XC</v>
      </c>
      <c r="U33" s="65" t="str">
        <f t="shared" si="2"/>
        <v>EB-738-PM</v>
      </c>
      <c r="V33" s="65" t="str">
        <f t="shared" si="2"/>
        <v>BR-599-KW</v>
      </c>
      <c r="W33" s="65" t="str">
        <f t="shared" si="2"/>
        <v>CZ-531-PS</v>
      </c>
      <c r="X33" s="65" t="str">
        <f t="shared" si="2"/>
        <v>DD-497-VP</v>
      </c>
      <c r="Y33" s="66" t="str">
        <f t="shared" si="2"/>
        <v>EE-976-EK</v>
      </c>
      <c r="Z33" s="44"/>
    </row>
    <row r="34" spans="4:29" x14ac:dyDescent="0.2">
      <c r="D34" s="21" t="s">
        <v>6</v>
      </c>
      <c r="E34" s="67">
        <f t="shared" ref="E34:Y34" si="3">E7</f>
        <v>46</v>
      </c>
      <c r="F34" s="68">
        <f t="shared" si="3"/>
        <v>47</v>
      </c>
      <c r="G34" s="68">
        <f t="shared" si="3"/>
        <v>54</v>
      </c>
      <c r="H34" s="68">
        <f t="shared" si="3"/>
        <v>31</v>
      </c>
      <c r="I34" s="68">
        <f t="shared" si="3"/>
        <v>5</v>
      </c>
      <c r="J34" s="68">
        <f t="shared" si="3"/>
        <v>32</v>
      </c>
      <c r="K34" s="68">
        <f t="shared" si="3"/>
        <v>34</v>
      </c>
      <c r="L34" s="68">
        <f t="shared" si="3"/>
        <v>48</v>
      </c>
      <c r="M34" s="68">
        <f t="shared" si="3"/>
        <v>36</v>
      </c>
      <c r="N34" s="68">
        <f t="shared" si="3"/>
        <v>7</v>
      </c>
      <c r="O34" s="68" t="str">
        <f t="shared" si="3"/>
        <v>Renfort</v>
      </c>
      <c r="P34" s="68">
        <f t="shared" si="3"/>
        <v>9</v>
      </c>
      <c r="Q34" s="68">
        <f t="shared" si="3"/>
        <v>2</v>
      </c>
      <c r="R34" s="68">
        <f t="shared" si="3"/>
        <v>11</v>
      </c>
      <c r="S34" s="68">
        <f t="shared" si="3"/>
        <v>1</v>
      </c>
      <c r="T34" s="68">
        <f t="shared" si="3"/>
        <v>6</v>
      </c>
      <c r="U34" s="68">
        <f t="shared" si="3"/>
        <v>3</v>
      </c>
      <c r="V34" s="68">
        <f t="shared" si="3"/>
        <v>700</v>
      </c>
      <c r="W34" s="68">
        <f t="shared" si="3"/>
        <v>200</v>
      </c>
      <c r="X34" s="68">
        <f t="shared" si="3"/>
        <v>300</v>
      </c>
      <c r="Y34" s="69">
        <f t="shared" si="3"/>
        <v>600</v>
      </c>
      <c r="Z34" s="44"/>
    </row>
    <row r="35" spans="4:29" ht="15" x14ac:dyDescent="0.25">
      <c r="D35" s="21" t="s">
        <v>7</v>
      </c>
      <c r="E35" s="67">
        <f>VLOOKUP(E33,$B$8:$Z$28,4,FALSE)</f>
        <v>44035.666666666672</v>
      </c>
      <c r="F35" s="68">
        <f>VLOOKUP(F33,$B$8:$Z$28,5,FALSE)</f>
        <v>14406.166666666664</v>
      </c>
      <c r="G35" s="68">
        <f>VLOOKUP(G33,$B$8:$Z$28,6,FALSE)</f>
        <v>16349</v>
      </c>
      <c r="H35" s="68">
        <f>VLOOKUP(H33,$B$8:$Z$28,7,FALSE)</f>
        <v>55899.333333333328</v>
      </c>
      <c r="I35" s="68">
        <f>VLOOKUP(I33,$B$8:$Z$28,8,FALSE)</f>
        <v>63778</v>
      </c>
      <c r="J35" s="68">
        <f>VLOOKUP(J33,$B$8:$Z$28,9,FALSE)</f>
        <v>16452</v>
      </c>
      <c r="K35" s="68">
        <f t="array" ref="K35">VLOOKUP(K33,$B$8:$Z$28,10,FALSE)</f>
        <v>23048</v>
      </c>
      <c r="L35" s="68">
        <f t="array" ref="L35">VLOOKUP(L33,$B$8:$Z$28,11,FALSE)</f>
        <v>24100.833333333336</v>
      </c>
      <c r="M35" s="68">
        <f t="array" ref="M35">VLOOKUP(M33,$B$8:$Z$28,12,FALSE)</f>
        <v>61302</v>
      </c>
      <c r="N35" s="68">
        <f t="array" ref="N35">VLOOKUP(N33,$B$8:$Z$28,13,FALSE)</f>
        <v>30226.166666666668</v>
      </c>
      <c r="O35" s="68">
        <f>VLOOKUP(O33,$B$8:$Z$28,14,FALSE)</f>
        <v>32560</v>
      </c>
      <c r="P35" s="68">
        <f t="array" ref="P35">VLOOKUP(P33,$B$8:$Z$28,15,FALSE)</f>
        <v>39866</v>
      </c>
      <c r="Q35" s="68">
        <f>VLOOKUP(Q33,$B$8:$Z$28,16,FALSE)</f>
        <v>21</v>
      </c>
      <c r="R35" s="68">
        <f>VLOOKUP(R33,$B$8:$Z$28,17,FALSE)</f>
        <v>5669</v>
      </c>
      <c r="S35" s="68">
        <f>VLOOKUP(S33,$B$8:$Z$28,18,FALSE)</f>
        <v>28801.333333333336</v>
      </c>
      <c r="T35" s="68">
        <f>VLOOKUP(T33,$B$8:$Z$28,19,FALSE)</f>
        <v>9945</v>
      </c>
      <c r="U35" s="68">
        <f>VLOOKUP(U33,$B$8:$Z$28,20,FALSE)</f>
        <v>8002</v>
      </c>
      <c r="V35" s="68">
        <f>VLOOKUP(V33,$B$8:$Z$28,21,FALSE)</f>
        <v>27697</v>
      </c>
      <c r="W35" s="68">
        <f>VLOOKUP(W33,$B$8:$Z$28,22,FALSE)</f>
        <v>10115</v>
      </c>
      <c r="X35" s="68">
        <f>VLOOKUP(X33,$B$8:$Z$28,23,FALSE)</f>
        <v>9436.6666666666642</v>
      </c>
      <c r="Y35" s="69">
        <f>VLOOKUP(Y33,$B$8:$Z$28,24,FALSE)</f>
        <v>17374</v>
      </c>
      <c r="Z35" s="45">
        <f>SUM(E35:Y35)</f>
        <v>539084.16666666674</v>
      </c>
    </row>
    <row r="36" spans="4:29" x14ac:dyDescent="0.2">
      <c r="D36" s="6"/>
      <c r="E36" s="46" t="s">
        <v>26</v>
      </c>
      <c r="F36" s="47" t="s">
        <v>26</v>
      </c>
      <c r="G36" s="47" t="s">
        <v>26</v>
      </c>
      <c r="H36" s="47" t="s">
        <v>26</v>
      </c>
      <c r="I36" s="47" t="s">
        <v>26</v>
      </c>
      <c r="J36" s="47" t="s">
        <v>26</v>
      </c>
      <c r="K36" s="47" t="s">
        <v>26</v>
      </c>
      <c r="L36" s="47" t="s">
        <v>26</v>
      </c>
      <c r="M36" s="47" t="s">
        <v>26</v>
      </c>
      <c r="N36" s="47" t="s">
        <v>27</v>
      </c>
      <c r="O36" s="47" t="s">
        <v>27</v>
      </c>
      <c r="P36" s="47" t="s">
        <v>27</v>
      </c>
      <c r="Q36" s="47" t="s">
        <v>27</v>
      </c>
      <c r="R36" s="47" t="s">
        <v>27</v>
      </c>
      <c r="S36" s="47" t="s">
        <v>27</v>
      </c>
      <c r="T36" s="47" t="s">
        <v>27</v>
      </c>
      <c r="U36" s="47" t="s">
        <v>27</v>
      </c>
      <c r="V36" s="47" t="s">
        <v>28</v>
      </c>
      <c r="W36" s="47" t="s">
        <v>28</v>
      </c>
      <c r="X36" s="47" t="s">
        <v>28</v>
      </c>
      <c r="Y36" s="48" t="s">
        <v>28</v>
      </c>
      <c r="Z36" s="49"/>
    </row>
    <row r="37" spans="4:29" x14ac:dyDescent="0.2">
      <c r="D37" s="70" t="s">
        <v>8</v>
      </c>
      <c r="E37" s="71">
        <f t="array" ref="E37">VLOOKUP(INDEX(E$8:E$28,MATCH(MIN(ABS(ValeurCible-E$8:E$28)),ABS(ValeurCible-E$8:E$28),0)),E$8:$Z$28,22,FALSE)</f>
        <v>600</v>
      </c>
      <c r="F37" s="72">
        <f t="array" ref="F37">VLOOKUP(INDEX(F$8:F$28,MATCH(MIN(ABS(ValeurCible-F$8:F$28)),ABS(ValeurCible-F$8:F$28),0)),F$8:$Z$28,21,FALSE)</f>
        <v>600</v>
      </c>
      <c r="G37" s="72" t="str">
        <f t="array" ref="G37">VLOOKUP(INDEX(G$8:G$28,MATCH(MIN(ABS(ValeurCible-G$8:G$28)),ABS(ValeurCible-G$8:G$28),0)),G$8:$Z$28,20,FALSE)</f>
        <v>Renfort</v>
      </c>
      <c r="H37" s="72">
        <f t="array" ref="H37">VLOOKUP(INDEX(H$8:H$28,MATCH(MIN(ABS(ValeurCible-H$8:H$28)),ABS(ValeurCible-H$8:H$28),0)),H$8:$Z$28,19,FALSE)</f>
        <v>600</v>
      </c>
      <c r="I37" s="72">
        <f t="array" ref="I37">VLOOKUP(INDEX(I$8:I$28,MATCH(MIN(ABS(ValeurCible-I$8:I$28)),ABS(ValeurCible-I$8:I$28),0)),I$8:$Z$28,18,FALSE)</f>
        <v>600</v>
      </c>
      <c r="J37" s="72">
        <f t="array" ref="J37">VLOOKUP(INDEX(J$8:J$28,MATCH(MIN(ABS(ValeurCible-J$8:J$28)),ABS(ValeurCible-J$8:J$28),0)),J$8:$Z$28,17,FALSE)</f>
        <v>600</v>
      </c>
      <c r="K37" s="72">
        <f t="array" ref="K37">VLOOKUP(INDEX(K$8:K$28,MATCH(MIN(ABS(ValeurCible-K$8:K$28)),ABS(ValeurCible-K$8:K$28),0)),K$8:$Z$28,16,FALSE)</f>
        <v>600</v>
      </c>
      <c r="L37" s="72">
        <f t="array" ref="L37">VLOOKUP(INDEX(L$8:L$28,MATCH(MIN(ABS(ValeurCible-L$8:L$28)),ABS(ValeurCible-L$8:L$28),0)),L$8:$Z$28,15,FALSE)</f>
        <v>600</v>
      </c>
      <c r="M37" s="72">
        <f t="array" ref="M37">VLOOKUP(INDEX(M$8:M$28,MATCH(MIN(ABS(ValeurCible-M$8:M$28)),ABS(ValeurCible-M$8:M$28),0)),M$8:$Z$28,14,FALSE)</f>
        <v>600</v>
      </c>
      <c r="N37" s="72">
        <f t="array" ref="N37">VLOOKUP(INDEX(N$8:N$28,MATCH(MIN(ABS(ValeurCible-N$8:N$28)),ABS(ValeurCible-N$8:N$28),0)),N$8:$Z$28,13,FALSE)</f>
        <v>5</v>
      </c>
      <c r="O37" s="72">
        <f t="array" ref="O37">VLOOKUP(INDEX(O$8:O$28,MATCH(MIN(ABS(ValeurCible-O$8:O$28)),ABS(ValeurCible-O$8:O$28),0)),O$8:$Z$28,12,FALSE)</f>
        <v>5</v>
      </c>
      <c r="P37" s="72">
        <f t="array" ref="P37">VLOOKUP(INDEX(P$8:P$28,MATCH(MIN(ABS(ValeurCible-P$8:P$28)),ABS(ValeurCible-P$8:P$28),0)),P$8:$Z$28,11,FALSE)</f>
        <v>5</v>
      </c>
      <c r="Q37" s="72">
        <f t="array" ref="Q37">VLOOKUP(INDEX(Q$8:Q$28,MATCH(MIN(ABS(ValeurCible-Q$8:Q$28)),ABS(ValeurCible-Q$8:Q$28),0)),Q$8:$Z$28,10,FALSE)</f>
        <v>2</v>
      </c>
      <c r="R37" s="72">
        <f t="array" ref="R37">VLOOKUP(INDEX(R$8:R$28,MATCH(MIN(ABS(ValeurCible-R$8:R$28)),ABS(ValeurCible-R$8:R$28),0)),R$8:AA$28,9,FALSE)</f>
        <v>34</v>
      </c>
      <c r="S37" s="72">
        <f t="array" ref="S37">VLOOKUP(INDEX(S$8:S$28,MATCH(MIN(ABS(ValeurCible-S$8:S$28)),ABS(ValeurCible-S$8:S$28),0)),S$8:AA$28,8,FALSE)</f>
        <v>600</v>
      </c>
      <c r="T37" s="72">
        <f t="array" ref="T37">VLOOKUP(INDEX(T$8:T$28,MATCH(MIN(ABS(ValeurCible-T$8:T$28)),ABS(ValeurCible-T$8:T$28),0)),T$8:AA$28,7,FALSE)</f>
        <v>200</v>
      </c>
      <c r="U37" s="72">
        <f t="array" ref="U37">VLOOKUP(INDEX(U$8:U$28,MATCH(MIN(ABS(ValeurCible-U$8:U$28)),ABS(ValeurCible-U$8:U$28),0)),U$8:AA$28,6,FALSE)</f>
        <v>200</v>
      </c>
      <c r="V37" s="72">
        <f t="array" ref="V37">VLOOKUP(INDEX(V$8:V$28,MATCH(MIN(ABS(ValeurCible-V$8:V$28)),ABS(ValeurCible-V$8:V$28),0)),V$8:AA$28,5,FALSE)</f>
        <v>600</v>
      </c>
      <c r="W37" s="72">
        <f t="array" ref="W37">VLOOKUP(INDEX(W$8:W$28,MATCH(MIN(ABS(ValeurCible-W$8:W$28)),ABS(ValeurCible-W$8:W$28),0)),W$8:AA$28,4,FALSE)</f>
        <v>34</v>
      </c>
      <c r="X37" s="72" t="str">
        <f t="array" ref="X37">VLOOKUP(INDEX(X$8:X$28,MATCH(MIN(ABS(ValeurCible-X$8:X$28)),ABS(ValeurCible-X$8:X$28),0)),X$8:AA$28,3,FALSE)</f>
        <v>Renfort</v>
      </c>
      <c r="Y37" s="73">
        <f t="array" ref="Y37">VLOOKUP(INDEX(Y$8:Y$28,MATCH(MIN(ABS(ValeurCible-Y$8:Y$28)),ABS(ValeurCible-Y$8:Y$28),0)),Y$8:AA$28,2,FALSE)</f>
        <v>200</v>
      </c>
      <c r="Z37" s="44"/>
    </row>
    <row r="38" spans="4:29" ht="15" x14ac:dyDescent="0.25">
      <c r="D38" s="70" t="s">
        <v>29</v>
      </c>
      <c r="E38" s="74">
        <f t="array" ref="E38">VLOOKUP(E37,$C$8:$Z$28,3,FALSE)</f>
        <v>20055.666666666664</v>
      </c>
      <c r="F38" s="75">
        <f t="array" ref="F38">VLOOKUP(F37,$C$8:$Z$28,4,FALSE)</f>
        <v>325.33333333333576</v>
      </c>
      <c r="G38" s="75">
        <f t="array" ref="G38">VLOOKUP(G37,$C$8:$Z$28,5,FALSE)</f>
        <v>703</v>
      </c>
      <c r="H38" s="75">
        <f t="array" ref="H38">VLOOKUP(H37,$C$8:$Z$28,6,FALSE)</f>
        <v>10514.666666666657</v>
      </c>
      <c r="I38" s="75">
        <f t="array" ref="I38">VLOOKUP(I37,$C$8:$Z$28,7,FALSE)</f>
        <v>10511.333333333328</v>
      </c>
      <c r="J38" s="75">
        <f t="array" ref="J38">VLOOKUP(J37,$C$8:$Z$28,8,FALSE)</f>
        <v>13831.333333333332</v>
      </c>
      <c r="K38" s="75">
        <f t="array" ref="K38">VLOOKUP(K37,$C$8:$Z$28,9,FALSE)</f>
        <v>7204.6666666666642</v>
      </c>
      <c r="L38" s="75">
        <f t="array" ref="L38">VLOOKUP(L37,$C$8:$Z$28,10,FALSE)</f>
        <v>7084.6666666666642</v>
      </c>
      <c r="M38" s="75">
        <f t="array" ref="M38">VLOOKUP(M37,$C$8:$Z$28,11,FALSE)</f>
        <v>126</v>
      </c>
      <c r="N38" s="75">
        <f>VLOOKUP(N37,$C$8:$Z$28,12,FALSE)</f>
        <v>15898</v>
      </c>
      <c r="O38" s="75">
        <f>VLOOKUP(O37,$C$8:$Z$28,13,FALSE)</f>
        <v>11107</v>
      </c>
      <c r="P38" s="75">
        <f>VLOOKUP(P37,$C$8:$Z$28,14,FALSE)</f>
        <v>24026</v>
      </c>
      <c r="Q38" s="75">
        <f>VLOOKUP(Q37,$C$8:$Z$28,15,FALSE)</f>
        <v>21</v>
      </c>
      <c r="R38" s="75">
        <f t="array" ref="R38">VLOOKUP(R37,$C$8:$Z$28,11,FALSE)</f>
        <v>38150</v>
      </c>
      <c r="S38" s="75">
        <f t="array" ref="S38">VLOOKUP(S37,$C$8:$Z$28,11,FALSE)</f>
        <v>126</v>
      </c>
      <c r="T38" s="75">
        <f t="array" ref="T38">VLOOKUP(T37,$C$8:$Z$28,11,FALSE)</f>
        <v>15470</v>
      </c>
      <c r="U38" s="75">
        <f t="array" ref="U38">VLOOKUP(U37,$C$8:$Z$28,11,FALSE)</f>
        <v>15470</v>
      </c>
      <c r="V38" s="75">
        <f t="array" ref="V38">VLOOKUP(V37,$C$8:$Z$28,11,FALSE)</f>
        <v>126</v>
      </c>
      <c r="W38" s="75">
        <f t="array" ref="W38">VLOOKUP(W37,$C$8:$Z$28,11,FALSE)</f>
        <v>38150</v>
      </c>
      <c r="X38" s="75">
        <f t="array" ref="X38">VLOOKUP(X37,$C$8:$Z$28,11,FALSE)</f>
        <v>6838</v>
      </c>
      <c r="Y38" s="76">
        <f t="array" ref="Y38">VLOOKUP(Y37,$C$8:$Z$28,11,FALSE)</f>
        <v>15470</v>
      </c>
      <c r="Z38" s="50">
        <f>SUM(E38:Y38)</f>
        <v>251208.66666666663</v>
      </c>
      <c r="AB38" s="51"/>
      <c r="AC38" s="51"/>
    </row>
    <row r="39" spans="4:29" x14ac:dyDescent="0.2">
      <c r="D39" s="77" t="s">
        <v>10</v>
      </c>
      <c r="E39" s="78" t="str">
        <f t="shared" ref="E39:Y39" si="4">VLOOKUP(E37,$Z$8:$AA$28,2,FALSE)</f>
        <v>EE-976-EK</v>
      </c>
      <c r="F39" s="79" t="str">
        <f t="shared" si="4"/>
        <v>EE-976-EK</v>
      </c>
      <c r="G39" s="79" t="str">
        <f t="shared" si="4"/>
        <v>CZ-150-PS</v>
      </c>
      <c r="H39" s="79" t="str">
        <f t="shared" si="4"/>
        <v>EE-976-EK</v>
      </c>
      <c r="I39" s="79" t="str">
        <f t="shared" si="4"/>
        <v>EE-976-EK</v>
      </c>
      <c r="J39" s="79" t="str">
        <f t="shared" si="4"/>
        <v>EE-976-EK</v>
      </c>
      <c r="K39" s="79" t="str">
        <f t="shared" si="4"/>
        <v>EE-976-EK</v>
      </c>
      <c r="L39" s="79" t="str">
        <f t="shared" si="4"/>
        <v>EE-976-EK</v>
      </c>
      <c r="M39" s="79" t="str">
        <f t="shared" si="4"/>
        <v>EE-976-EK</v>
      </c>
      <c r="N39" s="79" t="str">
        <f t="shared" si="4"/>
        <v>DV-263-DZ</v>
      </c>
      <c r="O39" s="79" t="str">
        <f t="shared" si="4"/>
        <v>DV-263-DZ</v>
      </c>
      <c r="P39" s="79" t="str">
        <f t="shared" si="4"/>
        <v>DV-263-DZ</v>
      </c>
      <c r="Q39" s="79" t="str">
        <f t="shared" si="4"/>
        <v>CZ-694-PS</v>
      </c>
      <c r="R39" s="79" t="str">
        <f t="shared" si="4"/>
        <v>CZ-474-PS</v>
      </c>
      <c r="S39" s="79" t="str">
        <f t="shared" si="4"/>
        <v>EE-976-EK</v>
      </c>
      <c r="T39" s="79" t="str">
        <f t="shared" si="4"/>
        <v>CZ-531-PS</v>
      </c>
      <c r="U39" s="79" t="str">
        <f t="shared" si="4"/>
        <v>CZ-531-PS</v>
      </c>
      <c r="V39" s="79" t="str">
        <f t="shared" si="4"/>
        <v>EE-976-EK</v>
      </c>
      <c r="W39" s="79" t="str">
        <f t="shared" si="4"/>
        <v>CZ-474-PS</v>
      </c>
      <c r="X39" s="79" t="str">
        <f t="shared" si="4"/>
        <v>CZ-150-PS</v>
      </c>
      <c r="Y39" s="80" t="str">
        <f t="shared" si="4"/>
        <v>CZ-531-PS</v>
      </c>
      <c r="Z39" s="52"/>
      <c r="AB39" s="51"/>
      <c r="AC39" s="51"/>
    </row>
    <row r="40" spans="4:29" ht="18" customHeight="1" x14ac:dyDescent="0.2">
      <c r="E40" s="53" t="str">
        <f t="array" ref="E40">HLOOKUP(E37,$E$34:$Y$36,3,FALSE)</f>
        <v>REQUISTA</v>
      </c>
      <c r="F40" s="54" t="str">
        <f t="array" ref="F40">HLOOKUP(F37,$E$34:$Y$36,3,FALSE)</f>
        <v>REQUISTA</v>
      </c>
      <c r="G40" s="54" t="str">
        <f t="array" ref="G40">HLOOKUP(G37,$E$34:$Y$36,3,FALSE)</f>
        <v>PDS</v>
      </c>
      <c r="H40" s="54" t="str">
        <f t="array" ref="H40">HLOOKUP(H37,$E$34:$Y$36,3,FALSE)</f>
        <v>REQUISTA</v>
      </c>
      <c r="I40" s="54" t="str">
        <f t="array" ref="I40">HLOOKUP(I37,$E$34:$Y$36,3,FALSE)</f>
        <v>REQUISTA</v>
      </c>
      <c r="J40" s="54" t="str">
        <f t="array" ref="J40">HLOOKUP(J37,$E$34:$Y$36,3,FALSE)</f>
        <v>REQUISTA</v>
      </c>
      <c r="K40" s="54" t="str">
        <f t="array" ref="K40">HLOOKUP(K37,$E$34:$Y$36,3,FALSE)</f>
        <v>REQUISTA</v>
      </c>
      <c r="L40" s="54" t="str">
        <f t="array" ref="L40">HLOOKUP(L37,$E$34:$Y$36,3,FALSE)</f>
        <v>REQUISTA</v>
      </c>
      <c r="M40" s="54" t="str">
        <f t="array" ref="M40">HLOOKUP(M37,$E$34:$Y$36,3,FALSE)</f>
        <v>REQUISTA</v>
      </c>
      <c r="N40" s="54" t="str">
        <f t="array" ref="N40">HLOOKUP(N37,$E$34:$Y$36,3,FALSE)</f>
        <v>ONET</v>
      </c>
      <c r="O40" s="54" t="str">
        <f t="array" ref="O40">HLOOKUP(O37,$E$34:$Y$36,3,FALSE)</f>
        <v>ONET</v>
      </c>
      <c r="P40" s="54" t="str">
        <f t="array" ref="P40">HLOOKUP(P37,$E$34:$Y$36,3,FALSE)</f>
        <v>ONET</v>
      </c>
      <c r="Q40" s="54" t="str">
        <f t="array" ref="Q40">HLOOKUP(Q37,$E$34:$Y$36,3,FALSE)</f>
        <v>PDS</v>
      </c>
      <c r="R40" s="54" t="str">
        <f t="array" ref="R40">HLOOKUP(R37,$E$34:$Y$36,3,FALSE)</f>
        <v>ONET</v>
      </c>
      <c r="S40" s="54" t="str">
        <f t="array" ref="S40">HLOOKUP(S37,$E$34:$Y$36,3,FALSE)</f>
        <v>REQUISTA</v>
      </c>
      <c r="T40" s="54" t="str">
        <f t="array" ref="T40">HLOOKUP(T37,$E$34:$Y$36,3,FALSE)</f>
        <v>REQUISTA</v>
      </c>
      <c r="U40" s="54" t="str">
        <f t="array" ref="U40">HLOOKUP(U37,$E$34:$Y$36,3,FALSE)</f>
        <v>REQUISTA</v>
      </c>
      <c r="V40" s="54" t="str">
        <f t="array" ref="V40">HLOOKUP(V37,$E$34:$Y$36,3,FALSE)</f>
        <v>REQUISTA</v>
      </c>
      <c r="W40" s="54" t="str">
        <f t="array" ref="W40">HLOOKUP(W37,$E$34:$Y$36,3,FALSE)</f>
        <v>ONET</v>
      </c>
      <c r="X40" s="54" t="str">
        <f t="array" ref="X40">HLOOKUP(X37,$E$34:$Y$36,3,FALSE)</f>
        <v>PDS</v>
      </c>
      <c r="Y40" s="55" t="str">
        <f t="array" ref="Y40">HLOOKUP(Y37,$E$34:$Y$36,3,FALSE)</f>
        <v>REQUISTA</v>
      </c>
      <c r="Z40" s="44"/>
      <c r="AB40" s="51"/>
      <c r="AC40" s="51"/>
    </row>
    <row r="41" spans="4:29" ht="15" x14ac:dyDescent="0.25">
      <c r="D41" s="81" t="s">
        <v>11</v>
      </c>
      <c r="E41" s="82">
        <f>E38-E35</f>
        <v>-23980.000000000007</v>
      </c>
      <c r="F41" s="82">
        <f t="shared" ref="F41:Y41" si="5">F38-F35</f>
        <v>-14080.833333333328</v>
      </c>
      <c r="G41" s="82">
        <f t="shared" si="5"/>
        <v>-15646</v>
      </c>
      <c r="H41" s="82">
        <f t="shared" si="5"/>
        <v>-45384.666666666672</v>
      </c>
      <c r="I41" s="82">
        <f t="shared" si="5"/>
        <v>-53266.666666666672</v>
      </c>
      <c r="J41" s="82">
        <f t="shared" si="5"/>
        <v>-2620.6666666666679</v>
      </c>
      <c r="K41" s="82">
        <f t="shared" si="5"/>
        <v>-15843.333333333336</v>
      </c>
      <c r="L41" s="82">
        <f t="shared" si="5"/>
        <v>-17016.166666666672</v>
      </c>
      <c r="M41" s="82">
        <f t="shared" si="5"/>
        <v>-61176</v>
      </c>
      <c r="N41" s="82">
        <f t="shared" si="5"/>
        <v>-14328.166666666668</v>
      </c>
      <c r="O41" s="82">
        <f t="shared" si="5"/>
        <v>-21453</v>
      </c>
      <c r="P41" s="82">
        <f t="shared" si="5"/>
        <v>-15840</v>
      </c>
      <c r="Q41" s="82">
        <f t="shared" si="5"/>
        <v>0</v>
      </c>
      <c r="R41" s="82">
        <f t="shared" si="5"/>
        <v>32481</v>
      </c>
      <c r="S41" s="82">
        <f t="shared" si="5"/>
        <v>-28675.333333333336</v>
      </c>
      <c r="T41" s="82">
        <f t="shared" si="5"/>
        <v>5525</v>
      </c>
      <c r="U41" s="82">
        <f t="shared" si="5"/>
        <v>7468</v>
      </c>
      <c r="V41" s="82">
        <f t="shared" si="5"/>
        <v>-27571</v>
      </c>
      <c r="W41" s="82">
        <f t="shared" si="5"/>
        <v>28035</v>
      </c>
      <c r="X41" s="82">
        <f t="shared" si="5"/>
        <v>-2598.6666666666642</v>
      </c>
      <c r="Y41" s="82">
        <f t="shared" si="5"/>
        <v>-1904</v>
      </c>
      <c r="Z41" s="56">
        <f>SUM(E41:Y41)</f>
        <v>-287875.50000000006</v>
      </c>
    </row>
    <row r="42" spans="4:29" x14ac:dyDescent="0.2">
      <c r="K42" s="51"/>
    </row>
    <row r="43" spans="4:29" x14ac:dyDescent="0.2">
      <c r="D43" s="83" t="s">
        <v>12</v>
      </c>
      <c r="E43" s="83">
        <v>0</v>
      </c>
      <c r="I43" s="26"/>
      <c r="K43" s="51"/>
    </row>
    <row r="44" spans="4:29" x14ac:dyDescent="0.2">
      <c r="I44" s="51"/>
    </row>
    <row r="45" spans="4:29" x14ac:dyDescent="0.2">
      <c r="I45" s="51"/>
    </row>
    <row r="46" spans="4:29" x14ac:dyDescent="0.2">
      <c r="E46" s="27"/>
      <c r="F46" s="27"/>
      <c r="G46" s="27"/>
      <c r="H46" s="27"/>
      <c r="I46" s="27"/>
      <c r="J46" s="27"/>
    </row>
    <row r="47" spans="4:29" x14ac:dyDescent="0.2">
      <c r="E47" s="27"/>
      <c r="F47" s="27"/>
      <c r="G47" s="27"/>
      <c r="H47" s="27"/>
      <c r="I47" s="27"/>
      <c r="J47" s="27"/>
    </row>
    <row r="48" spans="4:29" x14ac:dyDescent="0.2">
      <c r="E48" s="27"/>
      <c r="F48" s="27"/>
      <c r="G48" s="27"/>
      <c r="H48" s="27"/>
      <c r="I48" s="27"/>
      <c r="J48" s="27"/>
    </row>
    <row r="49" spans="5:10" x14ac:dyDescent="0.2">
      <c r="E49" s="27"/>
      <c r="F49" s="27"/>
      <c r="G49" s="27"/>
      <c r="H49" s="27"/>
      <c r="I49" s="27"/>
      <c r="J49" s="27"/>
    </row>
    <row r="50" spans="5:10" x14ac:dyDescent="0.2">
      <c r="E50" s="27"/>
      <c r="F50" s="27"/>
      <c r="G50" s="27"/>
      <c r="H50" s="27"/>
      <c r="I50" s="27"/>
      <c r="J50" s="27"/>
    </row>
    <row r="51" spans="5:10" x14ac:dyDescent="0.2">
      <c r="E51" s="27"/>
      <c r="F51" s="27"/>
      <c r="G51" s="27"/>
      <c r="H51" s="27"/>
      <c r="I51" s="27"/>
      <c r="J51" s="27"/>
    </row>
    <row r="52" spans="5:10" x14ac:dyDescent="0.2">
      <c r="E52" s="27"/>
      <c r="F52" s="27"/>
      <c r="G52" s="27"/>
      <c r="H52" s="27"/>
      <c r="I52" s="27"/>
      <c r="J52" s="27"/>
    </row>
    <row r="53" spans="5:10" x14ac:dyDescent="0.2">
      <c r="E53" s="27"/>
      <c r="F53" s="27"/>
      <c r="G53" s="27"/>
      <c r="H53" s="27"/>
      <c r="I53" s="27"/>
      <c r="J53" s="27"/>
    </row>
    <row r="54" spans="5:10" x14ac:dyDescent="0.2">
      <c r="E54" s="27"/>
      <c r="F54" s="27"/>
      <c r="G54" s="27"/>
      <c r="H54" s="27"/>
      <c r="I54" s="27"/>
      <c r="J54" s="27"/>
    </row>
    <row r="55" spans="5:10" x14ac:dyDescent="0.2">
      <c r="E55" s="27"/>
      <c r="F55" s="27"/>
      <c r="G55" s="27"/>
      <c r="H55" s="27"/>
      <c r="I55" s="27"/>
      <c r="J55" s="27"/>
    </row>
    <row r="56" spans="5:10" x14ac:dyDescent="0.2">
      <c r="E56" s="27"/>
      <c r="F56" s="27"/>
      <c r="G56" s="27"/>
      <c r="H56" s="27"/>
      <c r="I56" s="27"/>
      <c r="J56" s="27"/>
    </row>
    <row r="57" spans="5:10" x14ac:dyDescent="0.2">
      <c r="E57" s="27"/>
      <c r="F57" s="27"/>
      <c r="G57" s="27"/>
      <c r="H57" s="27"/>
      <c r="I57" s="27"/>
      <c r="J57" s="27"/>
    </row>
    <row r="58" spans="5:10" x14ac:dyDescent="0.2">
      <c r="E58" s="27"/>
      <c r="F58" s="27"/>
      <c r="G58" s="27"/>
      <c r="H58" s="27"/>
      <c r="I58" s="27"/>
      <c r="J58" s="27"/>
    </row>
    <row r="59" spans="5:10" x14ac:dyDescent="0.2">
      <c r="E59" s="27"/>
      <c r="F59" s="27"/>
      <c r="G59" s="27"/>
      <c r="H59" s="27"/>
      <c r="I59" s="27"/>
      <c r="J59" s="27"/>
    </row>
    <row r="60" spans="5:10" x14ac:dyDescent="0.2">
      <c r="E60" s="27"/>
      <c r="F60" s="27"/>
      <c r="G60" s="27"/>
      <c r="H60" s="27"/>
      <c r="I60" s="27"/>
      <c r="J60" s="27"/>
    </row>
  </sheetData>
  <conditionalFormatting sqref="B6">
    <cfRule type="cellIs" dxfId="7" priority="5" operator="greaterThan">
      <formula>0</formula>
    </cfRule>
    <cfRule type="cellIs" dxfId="6" priority="6" operator="lessThan">
      <formula>0</formula>
    </cfRule>
  </conditionalFormatting>
  <conditionalFormatting sqref="A6 C6 E6:AA6">
    <cfRule type="cellIs" dxfId="5" priority="7" operator="greaterThan">
      <formula>0</formula>
    </cfRule>
    <cfRule type="cellIs" dxfId="4" priority="8" operator="lessThan">
      <formula>0</formula>
    </cfRule>
  </conditionalFormatting>
  <conditionalFormatting sqref="E37:Y37">
    <cfRule type="duplicateValues" dxfId="3" priority="4"/>
  </conditionalFormatting>
  <conditionalFormatting sqref="Z41">
    <cfRule type="cellIs" dxfId="2" priority="3" operator="lessThan">
      <formula>0</formula>
    </cfRule>
  </conditionalFormatting>
  <conditionalFormatting sqref="E40:Y40">
    <cfRule type="expression" dxfId="1" priority="1">
      <formula>E$40=E$36</formula>
    </cfRule>
    <cfRule type="expression" dxfId="0" priority="2">
      <formula>$E$40&lt;&gt;$E$36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1</vt:lpstr>
      <vt:lpstr>2</vt:lpstr>
      <vt:lpstr>Sheet1</vt:lpstr>
      <vt:lpstr>Sheet2</vt:lpstr>
      <vt:lpstr>'2'!ValeurCible</vt:lpstr>
      <vt:lpstr>Sheet2!ValeurCible</vt:lpstr>
      <vt:lpstr>ValeurCible</vt:lpstr>
      <vt:lpstr>'2'!Vehic11</vt:lpstr>
      <vt:lpstr>Sheet2!Vehic11</vt:lpstr>
      <vt:lpstr>'2'!Vehic21</vt:lpstr>
      <vt:lpstr>Sheet2!Vehic21</vt:lpstr>
      <vt:lpstr>'2'!Vehic31</vt:lpstr>
      <vt:lpstr>Sheet2!Vehic31</vt:lpstr>
      <vt:lpstr>'2'!Vehic41</vt:lpstr>
      <vt:lpstr>Sheet2!Vehic41</vt:lpstr>
      <vt:lpstr>'2'!VehiTI</vt:lpstr>
      <vt:lpstr>Sheet2!VehiTI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LAURA LLORENS</cp:lastModifiedBy>
  <dcterms:created xsi:type="dcterms:W3CDTF">2018-04-24T11:57:16Z</dcterms:created>
  <dcterms:modified xsi:type="dcterms:W3CDTF">2018-04-26T09:11:23Z</dcterms:modified>
</cp:coreProperties>
</file>