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11760"/>
  </bookViews>
  <sheets>
    <sheet name="Feuil1" sheetId="1" r:id="rId1"/>
    <sheet name="Feuil3" sheetId="3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J17" i="1" l="1"/>
  <c r="R17" i="1" l="1"/>
  <c r="Q17" i="1" l="1"/>
  <c r="M21" i="1"/>
  <c r="Q15" i="1"/>
  <c r="N31" i="1" l="1"/>
  <c r="C5" i="3" l="1"/>
  <c r="C6" i="3"/>
  <c r="C7" i="3"/>
  <c r="C8" i="3"/>
  <c r="C4" i="3"/>
  <c r="D5" i="3"/>
  <c r="D6" i="3"/>
  <c r="D7" i="3"/>
  <c r="D8" i="3"/>
  <c r="D4" i="3"/>
  <c r="I3" i="3"/>
  <c r="N21" i="1"/>
  <c r="T43" i="1" l="1"/>
  <c r="Q42" i="1"/>
  <c r="Q41" i="1"/>
  <c r="Q40" i="1"/>
  <c r="Q39" i="1"/>
  <c r="Q38" i="1"/>
  <c r="Q37" i="1"/>
  <c r="Q36" i="1"/>
  <c r="Q35" i="1"/>
  <c r="Q34" i="1"/>
  <c r="Q31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O33" i="1"/>
  <c r="N33" i="1"/>
  <c r="O32" i="1"/>
  <c r="N32" i="1"/>
  <c r="O31" i="1"/>
  <c r="U32" i="1" l="1"/>
  <c r="U36" i="1"/>
  <c r="U40" i="1"/>
  <c r="U33" i="1"/>
  <c r="U37" i="1"/>
  <c r="U41" i="1"/>
  <c r="U34" i="1"/>
  <c r="U38" i="1"/>
  <c r="U42" i="1"/>
  <c r="U35" i="1"/>
  <c r="U39" i="1"/>
  <c r="U31" i="1"/>
  <c r="O43" i="1"/>
  <c r="Q43" i="1"/>
  <c r="N43" i="1"/>
  <c r="U43" i="1" l="1"/>
  <c r="R32" i="1"/>
  <c r="R33" i="1"/>
  <c r="R39" i="1"/>
  <c r="R34" i="1"/>
  <c r="R35" i="1"/>
  <c r="R41" i="1"/>
  <c r="R40" i="1"/>
  <c r="R42" i="1"/>
  <c r="R37" i="1"/>
  <c r="R36" i="1"/>
  <c r="R38" i="1"/>
  <c r="R31" i="1"/>
  <c r="R43" i="1" l="1"/>
</calcChain>
</file>

<file path=xl/sharedStrings.xml><?xml version="1.0" encoding="utf-8"?>
<sst xmlns="http://schemas.openxmlformats.org/spreadsheetml/2006/main" count="109" uniqueCount="90">
  <si>
    <t>Siège social</t>
  </si>
  <si>
    <t>Rubrique</t>
  </si>
  <si>
    <t xml:space="preserve">libellé </t>
  </si>
  <si>
    <t xml:space="preserve">nombre </t>
  </si>
  <si>
    <t>taux</t>
  </si>
  <si>
    <t xml:space="preserve">gain </t>
  </si>
  <si>
    <t>retenue</t>
  </si>
  <si>
    <t>Rémunérations et déductions</t>
  </si>
  <si>
    <t>Taux</t>
  </si>
  <si>
    <t>Montant</t>
  </si>
  <si>
    <t>Cotisations patronales</t>
  </si>
  <si>
    <t>coord entreprise</t>
  </si>
  <si>
    <t>Personnel</t>
  </si>
  <si>
    <t>Nom</t>
  </si>
  <si>
    <t>Prénom</t>
  </si>
  <si>
    <t xml:space="preserve">Adresse </t>
  </si>
  <si>
    <t>Emploi</t>
  </si>
  <si>
    <t>Date d'entrée</t>
  </si>
  <si>
    <t xml:space="preserve">Date de sortie </t>
  </si>
  <si>
    <t>Ancienneté</t>
  </si>
  <si>
    <t xml:space="preserve">Période travaillée </t>
  </si>
  <si>
    <t>Maryse</t>
  </si>
  <si>
    <t>Jean</t>
  </si>
  <si>
    <t>Lelandais</t>
  </si>
  <si>
    <t>Moulin</t>
  </si>
  <si>
    <t>Monsieur</t>
  </si>
  <si>
    <t>Madame</t>
  </si>
  <si>
    <t>Boulanger</t>
  </si>
  <si>
    <t>Vendeuse</t>
  </si>
  <si>
    <t>Patissier</t>
  </si>
  <si>
    <t xml:space="preserve">Mois </t>
  </si>
  <si>
    <t>Année</t>
  </si>
  <si>
    <t>code ape /naf/siret</t>
  </si>
  <si>
    <t xml:space="preserve">convention co branche ou code du travail </t>
  </si>
  <si>
    <t>coeff  hierarchiq</t>
  </si>
  <si>
    <t>1er semaine</t>
  </si>
  <si>
    <t>2e semaine</t>
  </si>
  <si>
    <t>3e semaine</t>
  </si>
  <si>
    <t>4 ieme semaine</t>
  </si>
  <si>
    <t>5 e semaine</t>
  </si>
  <si>
    <t>HS à 25%</t>
  </si>
  <si>
    <t>HS à 50%</t>
  </si>
  <si>
    <t>1 semaine</t>
  </si>
  <si>
    <t>2 semaine</t>
  </si>
  <si>
    <t>3 semaine</t>
  </si>
  <si>
    <t>4 semaine</t>
  </si>
  <si>
    <t>5 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</si>
  <si>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</si>
  <si>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</si>
  <si>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</si>
  <si>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</si>
  <si>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</si>
  <si>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</si>
  <si>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</si>
  <si>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</si>
  <si>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</si>
  <si>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</si>
  <si>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</si>
  <si>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</si>
  <si>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Tableau récapitulatif des horaires par mois</t>
  </si>
  <si>
    <t>Lucie</t>
  </si>
  <si>
    <t>Jeanne</t>
  </si>
  <si>
    <t>Pierre</t>
  </si>
  <si>
    <t>Yves</t>
  </si>
  <si>
    <t>Martin</t>
  </si>
  <si>
    <t>Maurice</t>
  </si>
  <si>
    <t>tourrier qqn vfait visionnerie</t>
  </si>
  <si>
    <t>3117A</t>
  </si>
  <si>
    <t>N° securite sociale</t>
  </si>
  <si>
    <t>Apprenti boulanger</t>
  </si>
  <si>
    <t>(statut vendeuse=employé, boulangeret patissier=ouvrier, apprentis statut apprentissage)</t>
  </si>
  <si>
    <t>SMIC HORAIRE</t>
  </si>
  <si>
    <t>SMIC MENSUEL apres ded CSG ET CRDS (151,67)</t>
  </si>
  <si>
    <t>SMIC 39 H (169)</t>
  </si>
  <si>
    <t>Mois de l'année</t>
  </si>
  <si>
    <t>Saisonnalité de l'activité</t>
  </si>
  <si>
    <t>Saisonnalité des salaires</t>
  </si>
  <si>
    <t>Attention total = 100,00</t>
  </si>
  <si>
    <t>Chiffre d'affaires Taux de saisonalité N-1</t>
  </si>
  <si>
    <t>Salaires Taux de saisonalité N-1</t>
  </si>
  <si>
    <t>1ière semaine</t>
  </si>
  <si>
    <t>2ième semaine</t>
  </si>
  <si>
    <t>3ième semaine</t>
  </si>
  <si>
    <t>4ième semaine</t>
  </si>
  <si>
    <t>5ième semaine</t>
  </si>
  <si>
    <t xml:space="preserve">EN FAIRE 1 PAR MOIS et 1 par salarié </t>
  </si>
  <si>
    <t>salaire moyen brut annuel</t>
  </si>
  <si>
    <t>si boulanger gerant boulangerie sal moy annuel brut 38431</t>
  </si>
  <si>
    <t>salaire mensuel brut</t>
  </si>
  <si>
    <t>manque colonne horaire de base 35H 39H ,,,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</si>
</sst>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2" fontId="0" fillId="2" borderId="2" xfId="0" applyNumberFormat="1" applyFill="1" applyBorder="1" applyAlignment="1" applyProtection="1">
      <alignment horizontal="center"/>
    </xf>
    <xf numFmtId="0" fontId="3" fillId="0" borderId="1" xfId="0" applyFont="1" applyBorder="1" applyAlignment="1">
      <alignment horizontal="right"/>
    </xf>
    <xf numFmtId="2" fontId="4" fillId="0" borderId="1" xfId="0" applyNumberFormat="1" applyFont="1" applyBorder="1" applyAlignment="1">
      <alignment horizontal="center"/>
    </xf>
    <xf numFmtId="10" fontId="0" fillId="0" borderId="0" xfId="0" applyNumberFormat="1"/>
    <xf numFmtId="0" fontId="0" fillId="3" borderId="1" xfId="0" applyFill="1" applyBorder="1" applyProtection="1">
      <protection locked="0"/>
    </xf>
    <xf numFmtId="2" fontId="2" fillId="0" borderId="1" xfId="0" applyNumberFormat="1" applyFont="1" applyBorder="1"/>
    <xf numFmtId="3" fontId="0" fillId="0" borderId="0" xfId="0" applyNumberFormat="1"/>
    <xf numFmtId="0" fontId="5" fillId="0" borderId="1" xfId="0" applyFont="1" applyBorder="1"/>
    <xf numFmtId="2" fontId="5" fillId="0" borderId="1" xfId="0" applyNumberFormat="1" applyFont="1" applyBorder="1"/>
    <xf numFmtId="14" fontId="0" fillId="0" borderId="0" xfId="0" applyNumberFormat="1"/>
    <xf numFmtId="0" fontId="6" fillId="0" borderId="0" xfId="0" applyFont="1"/>
    <xf numFmtId="0" fontId="7" fillId="4" borderId="0" xfId="0" applyFont="1" applyFill="1"/>
    <xf numFmtId="0" fontId="0" fillId="0" borderId="0" xfId="0" applyAlignment="1">
      <alignment horizontal="center"/>
    </xf>
    <xf numFmtId="10" fontId="0" fillId="0" borderId="1" xfId="0" applyNumberFormat="1" applyBorder="1" applyAlignment="1">
      <alignment horizontal="center" wrapText="1"/>
    </xf>
    <xf numFmtId="10" fontId="0" fillId="0" borderId="1" xfId="0" applyNumberForma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RCHAND%20BOULANGERIE%20PATISSERIE%20SARL/DOSSIER%20ANNUEL/28-02-2018/Tableau%20de%20bord_MARCHAND_02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es infos annuelles"/>
      <sheetName val="Prévisions"/>
      <sheetName val="Saisie mensuelle"/>
      <sheetName val="Tableau bord"/>
      <sheetName val="Param"/>
      <sheetName val="Taux saisonnalite"/>
      <sheetName val="TN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3"/>
  <sheetViews>
    <sheetView tabSelected="1" topLeftCell="C1" zoomScale="85" zoomScaleNormal="85" workbookViewId="0">
      <selection activeCell="J18" sqref="J18"/>
    </sheetView>
  </sheetViews>
  <sheetFormatPr baseColWidth="10" defaultRowHeight="12.75" x14ac:dyDescent="0.2"/>
  <cols>
    <col min="11" max="11" width="14.28515625" customWidth="1"/>
    <col min="13" max="13" width="11.42578125" customWidth="1"/>
    <col min="19" max="19" width="16.5703125" customWidth="1"/>
  </cols>
  <sheetData>
    <row r="1" spans="1:20" x14ac:dyDescent="0.2">
      <c r="F1" t="s">
        <v>59</v>
      </c>
    </row>
    <row r="2" spans="1:20" x14ac:dyDescent="0.2">
      <c r="C2" s="2"/>
      <c r="D2" s="2" t="s">
        <v>47</v>
      </c>
      <c r="E2" s="2" t="s">
        <v>48</v>
      </c>
      <c r="F2" s="2" t="s">
        <v>49</v>
      </c>
      <c r="G2" s="2" t="s">
        <v>50</v>
      </c>
      <c r="H2" s="2" t="s">
        <v>51</v>
      </c>
      <c r="I2" s="2" t="s">
        <v>52</v>
      </c>
      <c r="J2" s="2" t="s">
        <v>53</v>
      </c>
      <c r="K2" s="2" t="s">
        <v>54</v>
      </c>
      <c r="L2" s="2" t="s">
        <v>55</v>
      </c>
      <c r="M2" s="2" t="s">
        <v>56</v>
      </c>
      <c r="N2" s="2" t="s">
        <v>57</v>
      </c>
      <c r="O2" s="2" t="s">
        <v>58</v>
      </c>
    </row>
    <row r="3" spans="1:20" x14ac:dyDescent="0.2">
      <c r="C3" s="2" t="s">
        <v>42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1:20" x14ac:dyDescent="0.2">
      <c r="C4" s="2" t="s">
        <v>43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20" x14ac:dyDescent="0.2">
      <c r="C5" s="2" t="s">
        <v>44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20" x14ac:dyDescent="0.2">
      <c r="C6" s="2" t="s">
        <v>45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20" x14ac:dyDescent="0.2">
      <c r="C7" s="2" t="s">
        <v>46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12" spans="1:20" x14ac:dyDescent="0.2">
      <c r="A12" t="s">
        <v>0</v>
      </c>
    </row>
    <row r="13" spans="1:20" x14ac:dyDescent="0.2">
      <c r="A13" t="s">
        <v>11</v>
      </c>
    </row>
    <row r="14" spans="1:20" x14ac:dyDescent="0.2">
      <c r="A14" t="s">
        <v>30</v>
      </c>
      <c r="K14" s="14" t="s">
        <v>89</v>
      </c>
    </row>
    <row r="15" spans="1:20" x14ac:dyDescent="0.2">
      <c r="A15" t="s">
        <v>31</v>
      </c>
      <c r="D15" t="s">
        <v>70</v>
      </c>
      <c r="Q15">
        <f>SUMIF(L17:P17,AND(L17:P17&gt;35,L17:P17&lt;=43),L17:P17)</f>
        <v>0</v>
      </c>
    </row>
    <row r="16" spans="1:20" x14ac:dyDescent="0.2">
      <c r="A16" t="s">
        <v>12</v>
      </c>
      <c r="C16" t="s">
        <v>13</v>
      </c>
      <c r="D16" t="s">
        <v>14</v>
      </c>
      <c r="E16" t="s">
        <v>15</v>
      </c>
      <c r="F16" t="s">
        <v>16</v>
      </c>
      <c r="G16" t="s">
        <v>34</v>
      </c>
      <c r="H16" t="s">
        <v>17</v>
      </c>
      <c r="I16" t="s">
        <v>18</v>
      </c>
      <c r="J16" t="s">
        <v>19</v>
      </c>
      <c r="K16" t="s">
        <v>20</v>
      </c>
      <c r="L16" t="s">
        <v>35</v>
      </c>
      <c r="M16" t="s">
        <v>36</v>
      </c>
      <c r="N16" t="s">
        <v>37</v>
      </c>
      <c r="O16" t="s">
        <v>38</v>
      </c>
      <c r="P16" t="s">
        <v>39</v>
      </c>
      <c r="Q16" t="s">
        <v>40</v>
      </c>
      <c r="R16" t="s">
        <v>41</v>
      </c>
      <c r="S16" t="s">
        <v>88</v>
      </c>
      <c r="T16" t="s">
        <v>86</v>
      </c>
    </row>
    <row r="17" spans="1:21" x14ac:dyDescent="0.2">
      <c r="A17">
        <v>1</v>
      </c>
      <c r="B17" t="s">
        <v>25</v>
      </c>
      <c r="C17" t="s">
        <v>23</v>
      </c>
      <c r="D17" t="s">
        <v>22</v>
      </c>
      <c r="F17" t="s">
        <v>27</v>
      </c>
      <c r="G17">
        <v>195</v>
      </c>
      <c r="H17" s="13">
        <v>43101</v>
      </c>
      <c r="I17" s="13">
        <v>43465</v>
      </c>
      <c r="J17" t="e">
        <f>DATEDIF(H17,I17,"a")&amp;"années"&amp;DATEDIF(H17,I17,"am")&amp;"mois"</f>
        <v>#NUM!</v>
      </c>
      <c r="L17">
        <v>45</v>
      </c>
      <c r="M17">
        <v>36</v>
      </c>
      <c r="N17">
        <v>37</v>
      </c>
      <c r="O17">
        <v>35</v>
      </c>
      <c r="P17">
        <v>35</v>
      </c>
      <c r="Q17" s="15">
        <f>SUM(IF(AND(L17&lt;44,L17&gt;35),L17-35,0),IF(AND(M17&lt;44,M17&gt;35),M17-35,0),IF(AND(N17&lt;44,N17&gt;35),N17-35,0),IF(AND(O17&lt;44,O17&gt;35),O17-35,0),IF(AND(P17&lt;44,P17&gt;35),P17-35,0))</f>
        <v>3</v>
      </c>
      <c r="R17" s="15">
        <f>SUM(IF(L17&gt;43,L17-43,0),IF(M17&gt;43,M17-43,0),IF(N17&gt;43,N17-43,0),IF(O17&gt;43,O17-43,0),IF(P17&gt;43,P17-43,0))</f>
        <v>2</v>
      </c>
      <c r="T17">
        <v>33323</v>
      </c>
    </row>
    <row r="18" spans="1:21" x14ac:dyDescent="0.2">
      <c r="A18">
        <v>2</v>
      </c>
      <c r="B18" t="s">
        <v>26</v>
      </c>
      <c r="C18" t="s">
        <v>24</v>
      </c>
      <c r="D18" t="s">
        <v>21</v>
      </c>
      <c r="F18" t="s">
        <v>28</v>
      </c>
      <c r="G18">
        <v>160</v>
      </c>
      <c r="Q18" s="14"/>
    </row>
    <row r="19" spans="1:21" x14ac:dyDescent="0.2">
      <c r="A19">
        <v>3</v>
      </c>
      <c r="B19" t="s">
        <v>25</v>
      </c>
      <c r="C19" t="s">
        <v>63</v>
      </c>
      <c r="D19" t="s">
        <v>62</v>
      </c>
      <c r="F19" t="s">
        <v>29</v>
      </c>
    </row>
    <row r="20" spans="1:21" x14ac:dyDescent="0.2">
      <c r="A20">
        <v>4</v>
      </c>
      <c r="B20" t="s">
        <v>26</v>
      </c>
      <c r="C20" t="s">
        <v>64</v>
      </c>
      <c r="D20" t="s">
        <v>61</v>
      </c>
      <c r="F20" t="s">
        <v>28</v>
      </c>
      <c r="G20">
        <v>160</v>
      </c>
    </row>
    <row r="21" spans="1:21" x14ac:dyDescent="0.2">
      <c r="A21">
        <v>5</v>
      </c>
      <c r="B21" t="s">
        <v>26</v>
      </c>
      <c r="C21" t="s">
        <v>65</v>
      </c>
      <c r="D21" t="s">
        <v>60</v>
      </c>
      <c r="F21" t="s">
        <v>69</v>
      </c>
      <c r="M21">
        <f>IF(OR(L17,M17,N17,O17,P17)&gt;43,-43,0)</f>
        <v>-43</v>
      </c>
      <c r="N21">
        <f>COUNTIFS(L17:P17,"&gt;43",L17:P17,-43)</f>
        <v>0</v>
      </c>
    </row>
    <row r="24" spans="1:21" x14ac:dyDescent="0.2">
      <c r="A24" t="s">
        <v>66</v>
      </c>
      <c r="K24" t="s">
        <v>87</v>
      </c>
    </row>
    <row r="29" spans="1:21" x14ac:dyDescent="0.2">
      <c r="Q29" s="17" t="s">
        <v>78</v>
      </c>
      <c r="R29" s="18"/>
      <c r="T29" s="17" t="s">
        <v>79</v>
      </c>
      <c r="U29" s="18"/>
    </row>
    <row r="30" spans="1:21" ht="25.5" customHeight="1" x14ac:dyDescent="0.2">
      <c r="A30" t="s">
        <v>32</v>
      </c>
      <c r="M30" s="3" t="s">
        <v>74</v>
      </c>
      <c r="N30" s="3" t="s">
        <v>75</v>
      </c>
      <c r="O30" s="3" t="s">
        <v>76</v>
      </c>
      <c r="Q30" s="18"/>
      <c r="R30" s="18"/>
      <c r="S30" s="7"/>
      <c r="T30" s="18"/>
      <c r="U30" s="18"/>
    </row>
    <row r="31" spans="1:21" ht="15" x14ac:dyDescent="0.25">
      <c r="A31" t="s">
        <v>33</v>
      </c>
      <c r="D31" t="s">
        <v>67</v>
      </c>
      <c r="M31" s="2" t="s">
        <v>47</v>
      </c>
      <c r="N31" s="4">
        <f>'[1]Taux saisonnalite'!O24</f>
        <v>0</v>
      </c>
      <c r="O31" s="4">
        <f>'[1]Taux saisonnalite'!R24</f>
        <v>0</v>
      </c>
      <c r="P31">
        <v>1</v>
      </c>
      <c r="Q31" s="8">
        <f>(15959.7+5027.73+3234.54+323.24+1894.2+787.83+1419.52)</f>
        <v>28646.760000000006</v>
      </c>
      <c r="R31" s="9">
        <f>Q31/$Q$43*100</f>
        <v>7.5814035111770064</v>
      </c>
      <c r="T31" s="8">
        <v>5</v>
      </c>
      <c r="U31" s="9">
        <f>T31/$T$43*100</f>
        <v>8.3333333333333321</v>
      </c>
    </row>
    <row r="32" spans="1:21" ht="15" x14ac:dyDescent="0.25">
      <c r="A32" t="s">
        <v>68</v>
      </c>
      <c r="D32" s="16" t="s">
        <v>7</v>
      </c>
      <c r="E32" s="16"/>
      <c r="F32" s="16"/>
      <c r="G32" s="16" t="s">
        <v>10</v>
      </c>
      <c r="H32" s="16"/>
      <c r="I32" s="1"/>
      <c r="M32" s="2" t="s">
        <v>48</v>
      </c>
      <c r="N32" s="4">
        <f>'[1]Taux saisonnalite'!O25</f>
        <v>0</v>
      </c>
      <c r="O32" s="4">
        <f>'[1]Taux saisonnalite'!R25</f>
        <v>0</v>
      </c>
      <c r="P32" s="10">
        <v>2</v>
      </c>
      <c r="Q32" s="8">
        <v>34832.94</v>
      </c>
      <c r="R32" s="9">
        <f t="shared" ref="R32:R42" si="0">Q32/$Q$43*100</f>
        <v>9.2185843572054207</v>
      </c>
      <c r="T32" s="8">
        <v>5</v>
      </c>
      <c r="U32" s="9">
        <f t="shared" ref="U32:U42" si="1">T32/$T$43*100</f>
        <v>8.3333333333333321</v>
      </c>
    </row>
    <row r="33" spans="1:21" ht="15" x14ac:dyDescent="0.25">
      <c r="A33" t="s">
        <v>1</v>
      </c>
      <c r="B33" t="s">
        <v>2</v>
      </c>
      <c r="C33" t="s">
        <v>3</v>
      </c>
      <c r="D33" t="s">
        <v>4</v>
      </c>
      <c r="E33" t="s">
        <v>5</v>
      </c>
      <c r="F33" t="s">
        <v>6</v>
      </c>
      <c r="G33" t="s">
        <v>8</v>
      </c>
      <c r="H33" t="s">
        <v>9</v>
      </c>
      <c r="M33" s="2" t="s">
        <v>49</v>
      </c>
      <c r="N33" s="4">
        <f>'[1]Taux saisonnalite'!O26</f>
        <v>0</v>
      </c>
      <c r="O33" s="4">
        <f>'[1]Taux saisonnalite'!R26</f>
        <v>0</v>
      </c>
      <c r="P33">
        <v>3</v>
      </c>
      <c r="Q33" s="8">
        <v>31607</v>
      </c>
      <c r="R33" s="9">
        <f t="shared" si="0"/>
        <v>8.3648350032524306</v>
      </c>
      <c r="T33" s="8">
        <v>5</v>
      </c>
      <c r="U33" s="9">
        <f t="shared" si="1"/>
        <v>8.3333333333333321</v>
      </c>
    </row>
    <row r="34" spans="1:21" ht="15" x14ac:dyDescent="0.25">
      <c r="M34" s="2" t="s">
        <v>50</v>
      </c>
      <c r="N34" s="4">
        <f>'[1]Taux saisonnalite'!O27</f>
        <v>0</v>
      </c>
      <c r="O34" s="4">
        <f>'[1]Taux saisonnalite'!R27</f>
        <v>0</v>
      </c>
      <c r="P34">
        <v>4</v>
      </c>
      <c r="Q34" s="8">
        <f>(17203.1+5150.53+3808.39+725.89+2270.4+319.73+202.7)</f>
        <v>29680.739999999998</v>
      </c>
      <c r="R34" s="9">
        <f t="shared" si="0"/>
        <v>7.8550477069773956</v>
      </c>
      <c r="T34" s="8">
        <v>5</v>
      </c>
      <c r="U34" s="9">
        <f t="shared" si="1"/>
        <v>8.3333333333333321</v>
      </c>
    </row>
    <row r="35" spans="1:21" ht="15" x14ac:dyDescent="0.25">
      <c r="M35" s="2" t="s">
        <v>51</v>
      </c>
      <c r="N35" s="4">
        <f>'[1]Taux saisonnalite'!O28</f>
        <v>0</v>
      </c>
      <c r="O35" s="4">
        <f>'[1]Taux saisonnalite'!R28</f>
        <v>0</v>
      </c>
      <c r="P35" s="10">
        <v>5</v>
      </c>
      <c r="Q35" s="8">
        <f>(24389.3+9406.31+6439.01+707.16+3542.29+728.06+510.4)</f>
        <v>45722.530000000006</v>
      </c>
      <c r="R35" s="9">
        <f t="shared" si="0"/>
        <v>12.100528977165167</v>
      </c>
      <c r="T35" s="8">
        <v>5</v>
      </c>
      <c r="U35" s="9">
        <f t="shared" si="1"/>
        <v>8.3333333333333321</v>
      </c>
    </row>
    <row r="36" spans="1:21" ht="15" x14ac:dyDescent="0.25">
      <c r="M36" s="2" t="s">
        <v>52</v>
      </c>
      <c r="N36" s="4">
        <f>'[1]Taux saisonnalite'!O29</f>
        <v>0</v>
      </c>
      <c r="O36" s="4">
        <f>'[1]Taux saisonnalite'!R29</f>
        <v>0</v>
      </c>
      <c r="P36">
        <v>6</v>
      </c>
      <c r="Q36" s="8">
        <f>26577.59+9887.48+7353.23+955.38+4077.47+710.67+340.04</f>
        <v>49901.86</v>
      </c>
      <c r="R36" s="9">
        <f t="shared" si="0"/>
        <v>13.206594275173297</v>
      </c>
      <c r="T36" s="8">
        <v>5</v>
      </c>
      <c r="U36" s="9">
        <f t="shared" si="1"/>
        <v>8.3333333333333321</v>
      </c>
    </row>
    <row r="37" spans="1:21" ht="15" x14ac:dyDescent="0.25">
      <c r="B37">
        <v>2016</v>
      </c>
      <c r="C37">
        <v>2017</v>
      </c>
      <c r="M37" s="2" t="s">
        <v>53</v>
      </c>
      <c r="N37" s="4">
        <f>'[1]Taux saisonnalite'!O30</f>
        <v>0</v>
      </c>
      <c r="O37" s="4">
        <f>'[1]Taux saisonnalite'!R30</f>
        <v>0</v>
      </c>
      <c r="P37">
        <v>7</v>
      </c>
      <c r="Q37" s="8">
        <f>2037.39+387.5+5021.52+14697.68+3326.56+5021.52+310.37+203.91</f>
        <v>31006.45</v>
      </c>
      <c r="R37" s="9">
        <f t="shared" si="0"/>
        <v>8.2058986391178017</v>
      </c>
      <c r="T37" s="8">
        <v>5</v>
      </c>
      <c r="U37" s="9">
        <f t="shared" si="1"/>
        <v>8.3333333333333321</v>
      </c>
    </row>
    <row r="38" spans="1:21" ht="15" x14ac:dyDescent="0.25">
      <c r="A38" t="s">
        <v>71</v>
      </c>
      <c r="B38">
        <v>9.8800000000000008</v>
      </c>
      <c r="M38" s="2" t="s">
        <v>54</v>
      </c>
      <c r="N38" s="4">
        <f>'[1]Taux saisonnalite'!O31</f>
        <v>0</v>
      </c>
      <c r="O38" s="4">
        <f>'[1]Taux saisonnalite'!R31</f>
        <v>0</v>
      </c>
      <c r="P38" s="10">
        <v>8</v>
      </c>
      <c r="Q38" s="8">
        <f>13910.54+4109.53+3318.9+276.95+1503.75+304.7+162.76</f>
        <v>23587.13</v>
      </c>
      <c r="R38" s="9">
        <f t="shared" si="0"/>
        <v>6.2423656357852861</v>
      </c>
      <c r="T38" s="8">
        <v>5</v>
      </c>
      <c r="U38" s="9">
        <f t="shared" si="1"/>
        <v>8.3333333333333321</v>
      </c>
    </row>
    <row r="39" spans="1:21" ht="15" x14ac:dyDescent="0.25">
      <c r="A39" t="s">
        <v>72</v>
      </c>
      <c r="B39">
        <v>1498.47</v>
      </c>
      <c r="M39" s="2" t="s">
        <v>55</v>
      </c>
      <c r="N39" s="4">
        <f>'[1]Taux saisonnalite'!O32</f>
        <v>0</v>
      </c>
      <c r="O39" s="4">
        <f>'[1]Taux saisonnalite'!R32</f>
        <v>0</v>
      </c>
      <c r="P39">
        <v>9</v>
      </c>
      <c r="Q39" s="8">
        <f>15716.94+4373.22+3298.55+357.82+1818.21+238.76+165.04</f>
        <v>25968.539999999997</v>
      </c>
      <c r="R39" s="9">
        <f t="shared" si="0"/>
        <v>6.8726089908995123</v>
      </c>
      <c r="T39" s="8">
        <v>5</v>
      </c>
      <c r="U39" s="9">
        <f t="shared" si="1"/>
        <v>8.3333333333333321</v>
      </c>
    </row>
    <row r="40" spans="1:21" ht="15" x14ac:dyDescent="0.25">
      <c r="A40" t="s">
        <v>73</v>
      </c>
      <c r="M40" s="2" t="s">
        <v>56</v>
      </c>
      <c r="N40" s="4">
        <f>'[1]Taux saisonnalite'!O33</f>
        <v>0</v>
      </c>
      <c r="O40" s="4">
        <f>'[1]Taux saisonnalite'!R33</f>
        <v>0</v>
      </c>
      <c r="P40">
        <v>10</v>
      </c>
      <c r="Q40" s="8">
        <f>2295.38+534.48+16815.53+6806.73+3713.37+809.35+193</f>
        <v>31167.839999999997</v>
      </c>
      <c r="R40" s="9">
        <f t="shared" si="0"/>
        <v>8.2486107193903635</v>
      </c>
      <c r="T40" s="8">
        <v>5</v>
      </c>
      <c r="U40" s="9">
        <f t="shared" si="1"/>
        <v>8.3333333333333321</v>
      </c>
    </row>
    <row r="41" spans="1:21" ht="15" x14ac:dyDescent="0.25">
      <c r="M41" s="2" t="s">
        <v>57</v>
      </c>
      <c r="N41" s="4">
        <f>'[1]Taux saisonnalite'!O34</f>
        <v>0</v>
      </c>
      <c r="O41" s="4">
        <f>'[1]Taux saisonnalite'!R34</f>
        <v>0</v>
      </c>
      <c r="P41" s="10">
        <v>11</v>
      </c>
      <c r="Q41" s="8">
        <f>12528.6+7019.02+2587.96+534.48+1876+864.25+159.2</f>
        <v>25569.510000000002</v>
      </c>
      <c r="R41" s="9">
        <f t="shared" si="0"/>
        <v>6.7670051654384498</v>
      </c>
      <c r="T41" s="8">
        <v>5</v>
      </c>
      <c r="U41" s="9">
        <f t="shared" si="1"/>
        <v>8.3333333333333321</v>
      </c>
    </row>
    <row r="42" spans="1:21" ht="15" x14ac:dyDescent="0.25">
      <c r="M42" s="2" t="s">
        <v>58</v>
      </c>
      <c r="N42" s="4">
        <f>'[1]Taux saisonnalite'!O35</f>
        <v>0</v>
      </c>
      <c r="O42" s="4">
        <f>'[1]Taux saisonnalite'!R35</f>
        <v>0</v>
      </c>
      <c r="P42">
        <v>12</v>
      </c>
      <c r="Q42" s="8">
        <f>1294.27+3571.07+11151.11+241.71+3571.07+185.96+149.14</f>
        <v>20164.329999999998</v>
      </c>
      <c r="R42" s="9">
        <f t="shared" si="0"/>
        <v>5.3365170184178528</v>
      </c>
      <c r="T42" s="8">
        <v>5</v>
      </c>
      <c r="U42" s="9">
        <f t="shared" si="1"/>
        <v>8.3333333333333321</v>
      </c>
    </row>
    <row r="43" spans="1:21" ht="15" x14ac:dyDescent="0.25">
      <c r="M43" s="5" t="s">
        <v>77</v>
      </c>
      <c r="N43" s="6">
        <f>SUM(N31:N42)</f>
        <v>0</v>
      </c>
      <c r="O43" s="6">
        <f>SUM(O31:O42)</f>
        <v>0</v>
      </c>
      <c r="Q43" s="11">
        <f>SUM(Q31:Q42)</f>
        <v>377855.63000000006</v>
      </c>
      <c r="R43" s="12">
        <f>SUM(R31:R42)</f>
        <v>99.999999999999986</v>
      </c>
      <c r="T43" s="11">
        <f>SUM(T31:T42)</f>
        <v>60</v>
      </c>
      <c r="U43" s="12">
        <f>SUM(U31:U42)</f>
        <v>99.999999999999957</v>
      </c>
    </row>
  </sheetData>
  <mergeCells count="4">
    <mergeCell ref="D32:F32"/>
    <mergeCell ref="G32:H32"/>
    <mergeCell ref="Q29:R30"/>
    <mergeCell ref="T29:U3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8"/>
  <sheetViews>
    <sheetView workbookViewId="0">
      <selection activeCell="C10" sqref="C10"/>
    </sheetView>
  </sheetViews>
  <sheetFormatPr baseColWidth="10" defaultRowHeight="12.75" x14ac:dyDescent="0.2"/>
  <cols>
    <col min="1" max="1" width="13.5703125" bestFit="1" customWidth="1"/>
  </cols>
  <sheetData>
    <row r="3" spans="1:9" x14ac:dyDescent="0.2">
      <c r="B3" t="s">
        <v>47</v>
      </c>
      <c r="C3" t="s">
        <v>40</v>
      </c>
      <c r="D3" t="s">
        <v>41</v>
      </c>
      <c r="F3" t="s">
        <v>85</v>
      </c>
      <c r="I3">
        <f>5*12</f>
        <v>60</v>
      </c>
    </row>
    <row r="4" spans="1:9" x14ac:dyDescent="0.2">
      <c r="A4" t="s">
        <v>80</v>
      </c>
      <c r="B4">
        <v>35</v>
      </c>
      <c r="C4" t="str">
        <f>IF(B4&gt;35,IF(B4&lt;44,B4-35,""),IF(B4=35,""))</f>
        <v/>
      </c>
      <c r="D4" t="str">
        <f>IF(B4&gt;43,B4-43,"")</f>
        <v/>
      </c>
    </row>
    <row r="5" spans="1:9" x14ac:dyDescent="0.2">
      <c r="A5" t="s">
        <v>81</v>
      </c>
      <c r="B5">
        <v>35</v>
      </c>
      <c r="C5" t="str">
        <f t="shared" ref="C5:C8" si="0">IF(B5&gt;35,IF(B5&lt;44,B5-35,""),IF(B5=35,""))</f>
        <v/>
      </c>
      <c r="D5" t="str">
        <f t="shared" ref="D5:D8" si="1">IF(B5&gt;43,B5-43,"")</f>
        <v/>
      </c>
    </row>
    <row r="6" spans="1:9" x14ac:dyDescent="0.2">
      <c r="A6" t="s">
        <v>82</v>
      </c>
      <c r="B6">
        <v>35</v>
      </c>
      <c r="C6" t="str">
        <f t="shared" si="0"/>
        <v/>
      </c>
      <c r="D6" t="str">
        <f t="shared" si="1"/>
        <v/>
      </c>
    </row>
    <row r="7" spans="1:9" x14ac:dyDescent="0.2">
      <c r="A7" t="s">
        <v>83</v>
      </c>
      <c r="B7">
        <v>35</v>
      </c>
      <c r="C7" t="str">
        <f t="shared" si="0"/>
        <v/>
      </c>
      <c r="D7" t="str">
        <f t="shared" si="1"/>
        <v/>
      </c>
    </row>
    <row r="8" spans="1:9" x14ac:dyDescent="0.2">
      <c r="A8" t="s">
        <v>84</v>
      </c>
      <c r="B8">
        <v>35</v>
      </c>
      <c r="C8" t="str">
        <f t="shared" si="0"/>
        <v/>
      </c>
      <c r="D8" t="str">
        <f t="shared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In Extenso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QUINTON Pauline</dc:creator>
  <cp:lastModifiedBy>pauline quinton</cp:lastModifiedBy>
  <dcterms:created xsi:type="dcterms:W3CDTF">2018-02-27T13:03:10Z</dcterms:created>
  <dcterms:modified xsi:type="dcterms:W3CDTF">2018-05-12T09:16:34Z</dcterms:modified>
</cp:coreProperties>
</file>