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bit cyril\Desktop\"/>
    </mc:Choice>
  </mc:AlternateContent>
  <bookViews>
    <workbookView xWindow="0" yWindow="0" windowWidth="20490" windowHeight="7530" activeTab="4" xr2:uid="{3A7B12CA-A356-4BD6-8AC6-8451A2F747E8}"/>
  </bookViews>
  <sheets>
    <sheet name="creation de commande" sheetId="1" r:id="rId1"/>
    <sheet name="Site" sheetId="2" r:id="rId2"/>
    <sheet name="fournisseurs" sheetId="3" r:id="rId3"/>
    <sheet name="Catalogues" sheetId="4" r:id="rId4"/>
    <sheet name="Bon de commande" sheetId="5" r:id="rId5"/>
    <sheet name="L.D." sheetId="6" r:id="rId6"/>
  </sheets>
  <externalReferences>
    <externalReference r:id="rId7"/>
  </externalReferences>
  <definedNames>
    <definedName name="N°defacture">FacturesPrincipal[N° commande]</definedName>
    <definedName name="rngFacture">'Bon de commande'!$L$9</definedName>
  </definedNames>
  <calcPr calcId="171027" iterate="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5" l="1"/>
  <c r="E5" i="1"/>
  <c r="L9" i="5" s="1"/>
  <c r="B16" i="5" l="1"/>
  <c r="B20" i="5"/>
  <c r="B32" i="5"/>
  <c r="B25" i="5"/>
  <c r="B37" i="5"/>
  <c r="B17" i="5"/>
  <c r="B18" i="5"/>
  <c r="B22" i="5"/>
  <c r="B26" i="5"/>
  <c r="B30" i="5"/>
  <c r="B34" i="5"/>
  <c r="B38" i="5"/>
  <c r="B31" i="5"/>
  <c r="B39" i="5"/>
  <c r="B28" i="5"/>
  <c r="B21" i="5"/>
  <c r="B33" i="5"/>
  <c r="B19" i="5"/>
  <c r="B23" i="5"/>
  <c r="B27" i="5"/>
  <c r="B35" i="5"/>
  <c r="B24" i="5"/>
  <c r="B36" i="5"/>
  <c r="B29" i="5"/>
  <c r="B15" i="5"/>
  <c r="L8" i="5"/>
  <c r="B1" i="5"/>
  <c r="K5" i="5" s="1"/>
  <c r="E6" i="1"/>
  <c r="E7" i="1"/>
  <c r="C4" i="2"/>
  <c r="C5" i="2"/>
  <c r="C6" i="2"/>
  <c r="C7" i="2"/>
  <c r="C8" i="2"/>
  <c r="C9" i="2"/>
  <c r="C10" i="2"/>
  <c r="C16" i="5" l="1" a="1"/>
  <c r="C16" i="5" s="1"/>
  <c r="B12" i="5"/>
  <c r="C17" i="5" a="1"/>
  <c r="C17" i="5" s="1"/>
  <c r="C21" i="5" a="1"/>
  <c r="C21" i="5" s="1"/>
  <c r="C25" i="5" a="1"/>
  <c r="C25" i="5" s="1"/>
  <c r="C29" i="5" a="1"/>
  <c r="C29" i="5" s="1"/>
  <c r="C33" i="5" a="1"/>
  <c r="C33" i="5" s="1"/>
  <c r="C37" i="5" a="1"/>
  <c r="C37" i="5" s="1"/>
  <c r="C31" i="5" a="1"/>
  <c r="C31" i="5" s="1"/>
  <c r="C18" i="5" a="1"/>
  <c r="C18" i="5" s="1"/>
  <c r="C22" i="5" a="1"/>
  <c r="C22" i="5" s="1"/>
  <c r="C26" i="5" a="1"/>
  <c r="C26" i="5" s="1"/>
  <c r="C30" i="5" a="1"/>
  <c r="C30" i="5" s="1"/>
  <c r="C34" i="5" a="1"/>
  <c r="C34" i="5" s="1"/>
  <c r="C38" i="5" a="1"/>
  <c r="C38" i="5" s="1"/>
  <c r="C35" i="5" a="1"/>
  <c r="C35" i="5" s="1"/>
  <c r="C19" i="5" a="1"/>
  <c r="C19" i="5" s="1"/>
  <c r="C23" i="5" a="1"/>
  <c r="C23" i="5" s="1"/>
  <c r="C27" i="5" a="1"/>
  <c r="C27" i="5" s="1"/>
  <c r="C39" i="5" a="1"/>
  <c r="C39" i="5" s="1"/>
  <c r="C20" i="5" a="1"/>
  <c r="C20" i="5" s="1"/>
  <c r="C24" i="5" a="1"/>
  <c r="C24" i="5" s="1"/>
  <c r="C28" i="5" a="1"/>
  <c r="C28" i="5" s="1"/>
  <c r="C32" i="5" a="1"/>
  <c r="C32" i="5" s="1"/>
  <c r="C36" i="5" a="1"/>
  <c r="C36" i="5" s="1"/>
  <c r="G10" i="5"/>
  <c r="C11" i="5"/>
  <c r="G8" i="5"/>
  <c r="G11" i="5"/>
  <c r="G9" i="5"/>
  <c r="C10" i="5"/>
  <c r="C9" i="5"/>
  <c r="C5" i="5"/>
  <c r="G5" i="5"/>
  <c r="C6" i="5"/>
  <c r="C4" i="5"/>
  <c r="G6" i="5"/>
  <c r="K4" i="5"/>
  <c r="G4" i="5"/>
  <c r="L44" i="5" l="1"/>
  <c r="B44" i="5"/>
  <c r="L43" i="5"/>
  <c r="L41" i="5"/>
  <c r="I39" i="5" a="1"/>
  <c r="I39" i="5" s="1"/>
  <c r="H39" i="5" a="1"/>
  <c r="H39" i="5" s="1"/>
  <c r="I38" i="5" a="1"/>
  <c r="I38" i="5" s="1"/>
  <c r="H38" i="5" a="1"/>
  <c r="H38" i="5" s="1"/>
  <c r="I37" i="5" a="1"/>
  <c r="I37" i="5" s="1"/>
  <c r="H37" i="5" a="1"/>
  <c r="H37" i="5" s="1"/>
  <c r="I36" i="5" a="1"/>
  <c r="I36" i="5" s="1"/>
  <c r="H36" i="5" a="1"/>
  <c r="H36" i="5" s="1"/>
  <c r="I35" i="5" a="1"/>
  <c r="I35" i="5" s="1"/>
  <c r="H35" i="5" a="1"/>
  <c r="H35" i="5" s="1"/>
  <c r="I34" i="5" a="1"/>
  <c r="I34" i="5" s="1"/>
  <c r="H34" i="5" a="1"/>
  <c r="H34" i="5" s="1"/>
  <c r="I33" i="5" a="1"/>
  <c r="I33" i="5" s="1"/>
  <c r="H33" i="5" a="1"/>
  <c r="H33" i="5" s="1"/>
  <c r="I32" i="5" a="1"/>
  <c r="I32" i="5" s="1"/>
  <c r="H32" i="5" a="1"/>
  <c r="H32" i="5" s="1"/>
  <c r="I31" i="5" a="1"/>
  <c r="I31" i="5" s="1"/>
  <c r="H31" i="5" a="1"/>
  <c r="H31" i="5" s="1"/>
  <c r="I30" i="5" a="1"/>
  <c r="I30" i="5" s="1"/>
  <c r="H30" i="5" a="1"/>
  <c r="H30" i="5" s="1"/>
  <c r="I29" i="5" a="1"/>
  <c r="I29" i="5" s="1"/>
  <c r="H29" i="5" a="1"/>
  <c r="H29" i="5" s="1"/>
  <c r="I28" i="5" a="1"/>
  <c r="I28" i="5" s="1"/>
  <c r="H28" i="5" a="1"/>
  <c r="H28" i="5" s="1"/>
  <c r="I27" i="5" a="1"/>
  <c r="I27" i="5" s="1"/>
  <c r="H27" i="5" a="1"/>
  <c r="H27" i="5" s="1"/>
  <c r="I26" i="5" a="1"/>
  <c r="I26" i="5" s="1"/>
  <c r="H26" i="5" a="1"/>
  <c r="H26" i="5" s="1"/>
  <c r="I25" i="5" a="1"/>
  <c r="I25" i="5" s="1"/>
  <c r="H25" i="5" a="1"/>
  <c r="H25" i="5" s="1"/>
  <c r="I24" i="5" a="1"/>
  <c r="I24" i="5" s="1"/>
  <c r="H24" i="5" a="1"/>
  <c r="H24" i="5" s="1"/>
  <c r="I23" i="5" a="1"/>
  <c r="I23" i="5" s="1"/>
  <c r="H23" i="5" a="1"/>
  <c r="H23" i="5" s="1"/>
  <c r="I22" i="5" a="1"/>
  <c r="I22" i="5" s="1"/>
  <c r="H22" i="5" a="1"/>
  <c r="H22" i="5" s="1"/>
  <c r="I21" i="5" a="1"/>
  <c r="I21" i="5" s="1"/>
  <c r="H21" i="5" a="1"/>
  <c r="H21" i="5" s="1"/>
  <c r="I20" i="5" a="1"/>
  <c r="I20" i="5" s="1"/>
  <c r="H20" i="5" a="1"/>
  <c r="H20" i="5" s="1"/>
  <c r="I19" i="5" a="1"/>
  <c r="I19" i="5" s="1"/>
  <c r="H19" i="5" a="1"/>
  <c r="H19" i="5" s="1"/>
  <c r="I18" i="5" a="1"/>
  <c r="I18" i="5" s="1"/>
  <c r="H18" i="5" a="1"/>
  <c r="H18" i="5" s="1"/>
  <c r="I17" i="5" a="1"/>
  <c r="I17" i="5" s="1"/>
  <c r="H17" i="5" a="1"/>
  <c r="H17" i="5" s="1"/>
  <c r="I16" i="5" a="1"/>
  <c r="I16" i="5" s="1"/>
  <c r="H16" i="5" a="1"/>
  <c r="H16" i="5" s="1"/>
  <c r="K15" i="5"/>
  <c r="I15" i="5" a="1"/>
  <c r="I15" i="5" s="1"/>
  <c r="H15" i="5" a="1"/>
  <c r="H15" i="5" s="1"/>
  <c r="J8" i="1"/>
  <c r="H8" i="1"/>
  <c r="G8" i="1"/>
  <c r="I8" i="1"/>
  <c r="L17" i="5" l="1"/>
  <c r="L21" i="5"/>
  <c r="L16" i="5"/>
  <c r="L29" i="5"/>
  <c r="L28" i="5"/>
  <c r="L37" i="5"/>
  <c r="L39" i="5"/>
  <c r="L20" i="5"/>
  <c r="L33" i="5"/>
  <c r="L32" i="5"/>
  <c r="L24" i="5"/>
  <c r="L25" i="5"/>
  <c r="L30" i="5"/>
  <c r="L26" i="5"/>
  <c r="L19" i="5"/>
  <c r="L27" i="5"/>
  <c r="L34" i="5"/>
  <c r="L18" i="5"/>
  <c r="L31" i="5"/>
  <c r="L38" i="5"/>
  <c r="L36" i="5"/>
  <c r="L23" i="5"/>
  <c r="L22" i="5"/>
  <c r="L35" i="5"/>
  <c r="L15" i="5"/>
  <c r="L40" i="5" l="1"/>
  <c r="L42" i="5" s="1"/>
  <c r="L45" i="5" s="1"/>
  <c r="M11" i="2" l="1"/>
</calcChain>
</file>

<file path=xl/sharedStrings.xml><?xml version="1.0" encoding="utf-8"?>
<sst xmlns="http://schemas.openxmlformats.org/spreadsheetml/2006/main" count="582" uniqueCount="318">
  <si>
    <t>Type</t>
  </si>
  <si>
    <t>Nom du site</t>
  </si>
  <si>
    <t>Nom du contact</t>
  </si>
  <si>
    <t>Adresse</t>
  </si>
  <si>
    <t>Ville</t>
  </si>
  <si>
    <t>Département</t>
  </si>
  <si>
    <t>Code postal</t>
  </si>
  <si>
    <t>Téléphone</t>
  </si>
  <si>
    <t>E-mail</t>
  </si>
  <si>
    <t>Télécopie</t>
  </si>
  <si>
    <t>CHU</t>
  </si>
  <si>
    <t>Osterode</t>
  </si>
  <si>
    <t>Cabit Cyril</t>
  </si>
  <si>
    <t>819 route du mas rillier</t>
  </si>
  <si>
    <t>Rillieux la pape</t>
  </si>
  <si>
    <t>RHÔNE</t>
  </si>
  <si>
    <t>CHRS</t>
  </si>
  <si>
    <t>Bournay</t>
  </si>
  <si>
    <t>NDOLI Marius</t>
  </si>
  <si>
    <t>4 Route de Saint Jean de Bournay</t>
  </si>
  <si>
    <t>Bourgoin Jallieux</t>
  </si>
  <si>
    <t>Isere</t>
  </si>
  <si>
    <t>Types de sites</t>
  </si>
  <si>
    <t>CAO</t>
  </si>
  <si>
    <t>IML</t>
  </si>
  <si>
    <t>ACT</t>
  </si>
  <si>
    <t>PDF</t>
  </si>
  <si>
    <t>ALT</t>
  </si>
  <si>
    <t>Index</t>
  </si>
  <si>
    <t>Dijon</t>
  </si>
  <si>
    <t>Caen</t>
  </si>
  <si>
    <t>Monpetlier</t>
  </si>
  <si>
    <t>Bezier</t>
  </si>
  <si>
    <t>index</t>
  </si>
  <si>
    <t>Herault</t>
  </si>
  <si>
    <t>CALVO Stephanie</t>
  </si>
  <si>
    <t>JASTALE Michel</t>
  </si>
  <si>
    <t>Caffareli</t>
  </si>
  <si>
    <t>Marconi</t>
  </si>
  <si>
    <t>233 rue Guglielmo Marconi</t>
  </si>
  <si>
    <t>MASSON-COURY Rodny</t>
  </si>
  <si>
    <t>1 bis rue des Creuzots</t>
  </si>
  <si>
    <t>Orne</t>
  </si>
  <si>
    <t>LAZLI Nadia</t>
  </si>
  <si>
    <t>57 Cours Caffarelli</t>
  </si>
  <si>
    <t>Creuzots</t>
  </si>
  <si>
    <t>Calvados</t>
  </si>
  <si>
    <t>Cote d'or</t>
  </si>
  <si>
    <t>Avenue de L'orne</t>
  </si>
  <si>
    <t>Hygiene</t>
  </si>
  <si>
    <t>Best Hygiene</t>
  </si>
  <si>
    <t>Route de Mont de Marsan Départementale 20E</t>
  </si>
  <si>
    <t>SAUGNAC ET MURET</t>
  </si>
  <si>
    <t>service-client@best-hygiene.com</t>
  </si>
  <si>
    <t>Nom</t>
  </si>
  <si>
    <t>Contact</t>
  </si>
  <si>
    <t>telephone</t>
  </si>
  <si>
    <t>Mail</t>
  </si>
  <si>
    <t>Site Web</t>
  </si>
  <si>
    <t>Types</t>
  </si>
  <si>
    <t>Type Fourn.</t>
  </si>
  <si>
    <t>Fourn. Bureau</t>
  </si>
  <si>
    <t>Alimentaire</t>
  </si>
  <si>
    <t>Cartes Carrefour</t>
  </si>
  <si>
    <t>Tickets Service</t>
  </si>
  <si>
    <t>Blanchisserie</t>
  </si>
  <si>
    <t>Electro-ménager</t>
  </si>
  <si>
    <t>Listes déroulantes</t>
  </si>
  <si>
    <t>Mobilier</t>
  </si>
  <si>
    <t>Madurin</t>
  </si>
  <si>
    <t>DARBOIS Sophie</t>
  </si>
  <si>
    <t>Carrefour Pro</t>
  </si>
  <si>
    <t>sophie_darbois@carrefour.com</t>
  </si>
  <si>
    <t>Evry Cedex</t>
  </si>
  <si>
    <t>ZAE Saint Geurault 1 rue jean Mermoz CS60075</t>
  </si>
  <si>
    <t>Darty Pro</t>
  </si>
  <si>
    <t>ticket service</t>
  </si>
  <si>
    <t>SAEL</t>
  </si>
  <si>
    <t>Description</t>
  </si>
  <si>
    <t>Prix unitaire</t>
  </si>
  <si>
    <t>Remise</t>
  </si>
  <si>
    <t>lien Produit</t>
  </si>
  <si>
    <t>fournisseur</t>
  </si>
  <si>
    <t>Groupe</t>
  </si>
  <si>
    <t>colis 96 rouleaux papier toilette</t>
  </si>
  <si>
    <t>PH CLASSIC 2</t>
  </si>
  <si>
    <t>papier toilette</t>
  </si>
  <si>
    <t>Essuyage</t>
  </si>
  <si>
    <t>Colis 28 rouleaux essuie tout menager</t>
  </si>
  <si>
    <t>EM-ME</t>
  </si>
  <si>
    <t>essuie tout</t>
  </si>
  <si>
    <t>Colis 40 boites de 100 mouchoirs</t>
  </si>
  <si>
    <t>MOUCHOIRS</t>
  </si>
  <si>
    <t>Mouchoirs</t>
  </si>
  <si>
    <t>Sac 20kg lessive linge sans phosphate</t>
  </si>
  <si>
    <t>LL-ECO</t>
  </si>
  <si>
    <t>lessive SS Phosphate</t>
  </si>
  <si>
    <t>Produits ENT.</t>
  </si>
  <si>
    <t>Sac 20kg lessive linge desinfectante</t>
  </si>
  <si>
    <t>LL-BACT</t>
  </si>
  <si>
    <t>lessive desinfectante</t>
  </si>
  <si>
    <t>Bidon 5l détergent désodorisant desinfectant (vaisselle et sol)</t>
  </si>
  <si>
    <t>3D-NOV</t>
  </si>
  <si>
    <t>Détergent</t>
  </si>
  <si>
    <t xml:space="preserve">Bidon 5l Javel </t>
  </si>
  <si>
    <t>SANI-JAV5</t>
  </si>
  <si>
    <t>Javel</t>
  </si>
  <si>
    <t>Nettoyant vitre 500ml spray</t>
  </si>
  <si>
    <t>VIT-6</t>
  </si>
  <si>
    <t>Spray 500ml</t>
  </si>
  <si>
    <t>Nettoyant vitre 5L</t>
  </si>
  <si>
    <t>VITNOV</t>
  </si>
  <si>
    <t>Net. VItre 5L</t>
  </si>
  <si>
    <t>Detartrant WC Gel</t>
  </si>
  <si>
    <t>SANINOV</t>
  </si>
  <si>
    <t>Detratrant WC</t>
  </si>
  <si>
    <t>Decapant Four 5L</t>
  </si>
  <si>
    <t>DECAPOPTI</t>
  </si>
  <si>
    <t>Décapant Four</t>
  </si>
  <si>
    <t>Balai coco 80cm</t>
  </si>
  <si>
    <t>BACO-80</t>
  </si>
  <si>
    <t>Balai COCO 80</t>
  </si>
  <si>
    <t>Brosserie</t>
  </si>
  <si>
    <t>Balai COCO 29CM</t>
  </si>
  <si>
    <t xml:space="preserve">BACO </t>
  </si>
  <si>
    <t>Balai COCO 29</t>
  </si>
  <si>
    <t>Frange espagnole coton 160gr</t>
  </si>
  <si>
    <t>FRANGE-150</t>
  </si>
  <si>
    <t>Frange espagnole</t>
  </si>
  <si>
    <t>Manche bois sans douille</t>
  </si>
  <si>
    <t>MB-SVIS</t>
  </si>
  <si>
    <t>Manche Bois SS.D.</t>
  </si>
  <si>
    <t>Manche bois avec douille</t>
  </si>
  <si>
    <t>MB-VIS</t>
  </si>
  <si>
    <t>Pelle Métal</t>
  </si>
  <si>
    <t>PELLE-M</t>
  </si>
  <si>
    <t>Pelle métal</t>
  </si>
  <si>
    <t>Balayette coco manche long</t>
  </si>
  <si>
    <t>BACO-MINIL</t>
  </si>
  <si>
    <t>manche long</t>
  </si>
  <si>
    <t>Raclette sol industrielle 45</t>
  </si>
  <si>
    <t>RACL-45-R</t>
  </si>
  <si>
    <t>Raclette</t>
  </si>
  <si>
    <t>Brosse toilette + socle</t>
  </si>
  <si>
    <t>ENS-WC</t>
  </si>
  <si>
    <t>B.C</t>
  </si>
  <si>
    <t>Sac Poubelle 30L 30micron 500 sacs</t>
  </si>
  <si>
    <t>SP-3030</t>
  </si>
  <si>
    <t>Sac 30L</t>
  </si>
  <si>
    <t>Embalage</t>
  </si>
  <si>
    <t>Sac Poubelle 50L 30micron 500 sacs</t>
  </si>
  <si>
    <t>SP-5030</t>
  </si>
  <si>
    <t>sac 50</t>
  </si>
  <si>
    <t>Sac poubelle 100L 45micron 200 sacs</t>
  </si>
  <si>
    <t>SPG-10037</t>
  </si>
  <si>
    <t>Sac 100L</t>
  </si>
  <si>
    <t>Bombe insecticide (cafard) 500ml</t>
  </si>
  <si>
    <t>CARAMPA500</t>
  </si>
  <si>
    <t>spray cafard</t>
  </si>
  <si>
    <t>Anti Nuisible</t>
  </si>
  <si>
    <t>Paire gant Menage</t>
  </si>
  <si>
    <t>GM</t>
  </si>
  <si>
    <t>Mappa</t>
  </si>
  <si>
    <t>Protection Corp</t>
  </si>
  <si>
    <t>boite 100 gants non poudré</t>
  </si>
  <si>
    <t>GVSP</t>
  </si>
  <si>
    <t>Gant Latex NP</t>
  </si>
  <si>
    <t>Boite 100 gants legerement poudré</t>
  </si>
  <si>
    <t>GV</t>
  </si>
  <si>
    <t>Gant Latex P</t>
  </si>
  <si>
    <t>Toner Brother TN 2120</t>
  </si>
  <si>
    <t>Stylo Cristal Classique Noir boite 50</t>
  </si>
  <si>
    <t>bille noir</t>
  </si>
  <si>
    <t>ecriture</t>
  </si>
  <si>
    <t>stylo Cristal Classique bleu boite 50</t>
  </si>
  <si>
    <t>bille bleu</t>
  </si>
  <si>
    <t>stylo Cristal Classique vert Boite 50</t>
  </si>
  <si>
    <t>bille vert</t>
  </si>
  <si>
    <t>stylo cristal classique rouge boite 50</t>
  </si>
  <si>
    <t>bille Rouge</t>
  </si>
  <si>
    <t>Surligneur  Jaune</t>
  </si>
  <si>
    <t>Fluo jaune</t>
  </si>
  <si>
    <t>Surligneur  vert</t>
  </si>
  <si>
    <t>fluo Vert</t>
  </si>
  <si>
    <t xml:space="preserve">Pochette 4 fluo 4 couleurs </t>
  </si>
  <si>
    <t>4 fluo 4 couleurs</t>
  </si>
  <si>
    <t>boite 12 Crayons de papier HB</t>
  </si>
  <si>
    <t>crayon papier hb</t>
  </si>
  <si>
    <t xml:space="preserve">boite de 12 Stylo 4 couleurs </t>
  </si>
  <si>
    <t>4 couleurs</t>
  </si>
  <si>
    <t>equerre 45°</t>
  </si>
  <si>
    <t>equerre</t>
  </si>
  <si>
    <t>scolaire</t>
  </si>
  <si>
    <t>rapporteur</t>
  </si>
  <si>
    <t>raporteur</t>
  </si>
  <si>
    <t xml:space="preserve">triple decimetre </t>
  </si>
  <si>
    <t>regle</t>
  </si>
  <si>
    <t xml:space="preserve"> 20 Gommes plastiques</t>
  </si>
  <si>
    <t>gomme</t>
  </si>
  <si>
    <t>correction</t>
  </si>
  <si>
    <t>baton de colle</t>
  </si>
  <si>
    <t>12 rouleaux de blanc</t>
  </si>
  <si>
    <t>blanc</t>
  </si>
  <si>
    <t>Tour de 8 rouleaux de scotch</t>
  </si>
  <si>
    <t>scotch</t>
  </si>
  <si>
    <t>Adhesif</t>
  </si>
  <si>
    <t>ciseaux lames 17 cm</t>
  </si>
  <si>
    <t>ciseau 17cm</t>
  </si>
  <si>
    <t>decoupe perfo</t>
  </si>
  <si>
    <t>compas</t>
  </si>
  <si>
    <t>Trombones  boite de 100</t>
  </si>
  <si>
    <t>trombones</t>
  </si>
  <si>
    <t>agrafe trombone</t>
  </si>
  <si>
    <t>eplingles boite de 100</t>
  </si>
  <si>
    <t>epingle</t>
  </si>
  <si>
    <t xml:space="preserve">Agrafeuse </t>
  </si>
  <si>
    <t>agrafeuse</t>
  </si>
  <si>
    <t>Agrafe 26/6</t>
  </si>
  <si>
    <t>agrafe</t>
  </si>
  <si>
    <t>intercalaires A4+ 6 touches</t>
  </si>
  <si>
    <t>intercalaire 6</t>
  </si>
  <si>
    <t>classement</t>
  </si>
  <si>
    <t>intercalaires A4+ 12 touches</t>
  </si>
  <si>
    <t>intercalaire 12</t>
  </si>
  <si>
    <t>classeur 4 anneaux A4</t>
  </si>
  <si>
    <t>classeur 4 anneau A4</t>
  </si>
  <si>
    <t>Classeur a levier colis 20 plusieurs couleurs</t>
  </si>
  <si>
    <t>classeur a levier</t>
  </si>
  <si>
    <t>Pochette a rabat ultimate assortie paquet de 25</t>
  </si>
  <si>
    <t>pochete</t>
  </si>
  <si>
    <t>25 dossier suspendus tiroir</t>
  </si>
  <si>
    <t>dossier suspendu</t>
  </si>
  <si>
    <t>chemise à 2 rabat 7B 6J 6V 6R</t>
  </si>
  <si>
    <t>0.33341</t>
  </si>
  <si>
    <t>Chemise</t>
  </si>
  <si>
    <t>Tour de 654 post it</t>
  </si>
  <si>
    <t>cahier 98 pages 24/32</t>
  </si>
  <si>
    <t>cahier 24/32</t>
  </si>
  <si>
    <t>cahier 98 pages 21/29,7</t>
  </si>
  <si>
    <t>cahier</t>
  </si>
  <si>
    <t>Cahier 192 pages paquet de 10</t>
  </si>
  <si>
    <t>cahier 192 pages</t>
  </si>
  <si>
    <t>agenda 21/29,7</t>
  </si>
  <si>
    <t>cahier de texte 21/27</t>
  </si>
  <si>
    <t xml:space="preserve">agenda 16/16 </t>
  </si>
  <si>
    <t>cahier de texte</t>
  </si>
  <si>
    <t>Sachet de 400 pages copies doubles A4 grands carreaux</t>
  </si>
  <si>
    <t>5 ramettes de 500 feuilles blanche</t>
  </si>
  <si>
    <t>ramette papier</t>
  </si>
  <si>
    <t>impression</t>
  </si>
  <si>
    <t>boites 500 envellopes sans fenetre</t>
  </si>
  <si>
    <t>envellope</t>
  </si>
  <si>
    <t>poste</t>
  </si>
  <si>
    <t>boites 500 envellopes avec fenetre</t>
  </si>
  <si>
    <t>boites 500 envellopes kraft a4 plié en 2</t>
  </si>
  <si>
    <t>env. kraft</t>
  </si>
  <si>
    <t>boite 250 envellopes kraft A4</t>
  </si>
  <si>
    <t>Tableau Blanc 90/120</t>
  </si>
  <si>
    <t>Classeur a dossier 4 tiroirs</t>
  </si>
  <si>
    <t>taille crayons</t>
  </si>
  <si>
    <t>Type Fourn.2</t>
  </si>
  <si>
    <t>Cartes carrefour 25 euro</t>
  </si>
  <si>
    <t>Cartes 25</t>
  </si>
  <si>
    <t>Cartes carrefour 20 euro</t>
  </si>
  <si>
    <t>Cartes 20</t>
  </si>
  <si>
    <t>fourniture scolaire</t>
  </si>
  <si>
    <t>commande</t>
  </si>
  <si>
    <t>Date de la commande</t>
  </si>
  <si>
    <t>Taux T.V.A.</t>
  </si>
  <si>
    <t>Autre</t>
  </si>
  <si>
    <t>Dépôt</t>
  </si>
  <si>
    <t>Total de la facture</t>
  </si>
  <si>
    <t>Notes</t>
  </si>
  <si>
    <t>Total</t>
  </si>
  <si>
    <t>Site</t>
  </si>
  <si>
    <t>Fournisseurs</t>
  </si>
  <si>
    <t>8 allée du textile</t>
  </si>
  <si>
    <t>Vaulx en velin</t>
  </si>
  <si>
    <t>Hervé Deliot</t>
  </si>
  <si>
    <t>herve.deliot@maduruin.fr</t>
  </si>
  <si>
    <t>http://www.maduruin.fr/home_news.aspx</t>
  </si>
  <si>
    <t>http://www.best-hygiene.com/</t>
  </si>
  <si>
    <t>C. Postal</t>
  </si>
  <si>
    <t>Quantité</t>
  </si>
  <si>
    <t>Sous-total de la facture</t>
  </si>
  <si>
    <t>T.V.A. ventes</t>
  </si>
  <si>
    <t>Dépôt reçu</t>
  </si>
  <si>
    <t>TOTAL</t>
  </si>
  <si>
    <t>Adresse postale</t>
  </si>
  <si>
    <t>Numéro de téléphone</t>
  </si>
  <si>
    <t>Numéro de télécopie</t>
  </si>
  <si>
    <t>Facturer à :</t>
  </si>
  <si>
    <t>Téléphone :</t>
  </si>
  <si>
    <t>N° de site :</t>
  </si>
  <si>
    <t>Adresse :</t>
  </si>
  <si>
    <t>Télécopie :</t>
  </si>
  <si>
    <t>E-mail :</t>
  </si>
  <si>
    <t>Prix</t>
  </si>
  <si>
    <t>Montant total dû dans &lt;#&gt; jours. Les comptes en retard font l’objet de frais forfaitaires de &lt;#&gt; % par mois.</t>
  </si>
  <si>
    <t>ville</t>
  </si>
  <si>
    <t>E-mail:</t>
  </si>
  <si>
    <t>Site web:</t>
  </si>
  <si>
    <t>Référent:</t>
  </si>
  <si>
    <t>Ref:</t>
  </si>
  <si>
    <t>Frais de port</t>
  </si>
  <si>
    <t>remise F.</t>
  </si>
  <si>
    <t>²</t>
  </si>
  <si>
    <t>&gt;&lt; 1 et 250E 20E gratuit &gt;250</t>
  </si>
  <si>
    <t>MADU</t>
  </si>
  <si>
    <t>CARR</t>
  </si>
  <si>
    <t>DART</t>
  </si>
  <si>
    <t>TICK</t>
  </si>
  <si>
    <t>BEST</t>
  </si>
  <si>
    <t>N°</t>
  </si>
  <si>
    <t>Tel fixe</t>
  </si>
  <si>
    <t>N° commande</t>
  </si>
  <si>
    <t>Ost - CHU_BEST_avr</t>
  </si>
  <si>
    <t>Ost - CHU_MADU_nov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</si>
</sst>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)#;_)#;_)#;_)@"/>
    <numFmt numFmtId="165" formatCode="00000"/>
    <numFmt numFmtId="166" formatCode="_)@\ \ "/>
    <numFmt numFmtId="167" formatCode="0#&quot; &quot;##&quot; &quot;##&quot; &quot;##&quot; &quot;##"/>
    <numFmt numFmtId="168" formatCode="#_)"/>
    <numFmt numFmtId="169" formatCode="#,##0.00\ &quot;€&quot;"/>
    <numFmt numFmtId="170" formatCode="&quot;$&quot;#,##0.00"/>
    <numFmt numFmtId="171" formatCode="@\ \ "/>
    <numFmt numFmtId="172" formatCode="0.00%_)"/>
    <numFmt numFmtId="173" formatCode="_(&quot;$&quot;* #,##0.000_);_(&quot;$&quot;* \(#,##0.000\);_(&quot;$&quot;* &quot;-&quot;???_);_(@_)"/>
  </numFmts>
  <fonts count="28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0"/>
      <color rgb="FF22798E"/>
      <name val="Calibri"/>
      <family val="2"/>
    </font>
    <font>
      <sz val="16"/>
      <color rgb="FF22798E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1"/>
    </font>
    <font>
      <sz val="11"/>
      <color theme="1"/>
      <name val="Cooper Black"/>
      <family val="1"/>
    </font>
    <font>
      <sz val="11"/>
      <color rgb="FFFF6600"/>
      <name val="Calibri"/>
      <family val="2"/>
      <scheme val="minor"/>
    </font>
    <font>
      <outline/>
      <shadow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3"/>
      <name val="Calibri Light"/>
      <family val="2"/>
      <scheme val="major"/>
    </font>
    <font>
      <sz val="8"/>
      <color theme="1"/>
      <name val="Calibri Light"/>
      <family val="2"/>
      <scheme val="major"/>
    </font>
    <font>
      <u/>
      <sz val="8"/>
      <color theme="10"/>
      <name val="Calibri Light"/>
      <family val="2"/>
      <scheme val="major"/>
    </font>
    <font>
      <sz val="11"/>
      <color theme="1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b/>
      <i/>
      <strike/>
      <condense/>
      <extend/>
      <outline/>
      <shadow/>
      <sz val="10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25"/>
      <color theme="0"/>
      <name val="Calibri"/>
      <family val="2"/>
      <scheme val="minor"/>
    </font>
    <font>
      <b/>
      <sz val="18"/>
      <name val="Calibri Light"/>
      <family val="1"/>
      <scheme val="major"/>
    </font>
    <font>
      <sz val="8"/>
      <name val="Calibri"/>
      <family val="2"/>
      <scheme val="minor"/>
    </font>
    <font>
      <sz val="9"/>
      <color theme="4" tint="-0.499984740745262"/>
      <name val="Calibri Light"/>
      <family val="2"/>
      <scheme val="major"/>
    </font>
    <font>
      <sz val="10"/>
      <color theme="2" tint="-0.749992370372631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sz val="9"/>
      <name val="Calibri"/>
      <family val="2"/>
      <scheme val="minor"/>
    </font>
    <font>
      <sz val="12"/>
      <color theme="4" tint="-0.499984740745262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0"/>
      <color theme="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4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 applyFill="1" applyBorder="1" applyAlignment="1" applyProtection="1">
      <alignment vertical="top" wrapText="1"/>
    </xf>
    <xf numFmtId="0" fontId="2" fillId="0" borderId="0" xfId="0" applyFont="1" applyFill="1" applyBorder="1" applyAlignment="1" applyProtection="1">
      <alignment vertical="center"/>
    </xf>
    <xf numFmtId="164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Border="1" applyAlignment="1">
      <alignment vertical="top" wrapText="1"/>
    </xf>
    <xf numFmtId="0" fontId="2" fillId="0" borderId="0" xfId="0" applyNumberFormat="1" applyFont="1" applyFill="1" applyBorder="1" applyAlignment="1" applyProtection="1">
      <alignment vertical="top" wrapText="1"/>
    </xf>
    <xf numFmtId="165" fontId="2" fillId="0" borderId="0" xfId="0" applyNumberFormat="1" applyFont="1" applyFill="1" applyBorder="1" applyAlignment="1" applyProtection="1">
      <alignment vertical="top" wrapText="1"/>
    </xf>
    <xf numFmtId="0" fontId="3" fillId="0" borderId="0" xfId="1" applyNumberFormat="1" applyFont="1" applyFill="1" applyBorder="1" applyAlignment="1" applyProtection="1">
      <alignment vertical="center"/>
    </xf>
    <xf numFmtId="166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165" fontId="2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66" fontId="2" fillId="0" borderId="0" xfId="0" applyNumberFormat="1" applyFont="1" applyFill="1" applyBorder="1" applyAlignment="1" applyProtection="1">
      <alignment vertical="top" wrapText="1"/>
    </xf>
    <xf numFmtId="165" fontId="2" fillId="0" borderId="0" xfId="0" applyNumberFormat="1" applyFont="1" applyFill="1" applyBorder="1" applyAlignment="1" applyProtection="1">
      <alignment horizontal="center" vertical="top" wrapText="1"/>
    </xf>
    <xf numFmtId="167" fontId="2" fillId="0" borderId="0" xfId="0" applyNumberFormat="1" applyFont="1" applyFill="1" applyBorder="1" applyAlignment="1" applyProtection="1">
      <alignment horizontal="left" vertical="center"/>
    </xf>
    <xf numFmtId="0" fontId="2" fillId="0" borderId="0" xfId="2" applyFont="1" applyFill="1" applyBorder="1" applyProtection="1"/>
    <xf numFmtId="0" fontId="2" fillId="0" borderId="0" xfId="0" applyFont="1" applyFill="1" applyBorder="1" applyAlignment="1" applyProtection="1">
      <alignment horizontal="left"/>
    </xf>
    <xf numFmtId="0" fontId="4" fillId="0" borderId="0" xfId="2" applyFill="1" applyBorder="1" applyAlignment="1" applyProtection="1">
      <alignment vertical="top" wrapText="1"/>
    </xf>
    <xf numFmtId="0" fontId="7" fillId="0" borderId="0" xfId="0" applyFont="1"/>
    <xf numFmtId="167" fontId="2" fillId="0" borderId="0" xfId="0" applyNumberFormat="1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7" fontId="0" fillId="0" borderId="0" xfId="0" applyNumberFormat="1" applyAlignment="1">
      <alignment vertical="center"/>
    </xf>
    <xf numFmtId="0" fontId="4" fillId="0" borderId="0" xfId="2" applyAlignment="1">
      <alignment vertical="center"/>
    </xf>
    <xf numFmtId="0" fontId="0" fillId="0" borderId="0" xfId="0" applyFont="1" applyFill="1" applyBorder="1" applyAlignment="1" applyProtection="1">
      <alignment vertical="center"/>
    </xf>
    <xf numFmtId="166" fontId="8" fillId="0" borderId="4" xfId="0" applyNumberFormat="1" applyFont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166" fontId="10" fillId="0" borderId="5" xfId="0" applyNumberFormat="1" applyFont="1" applyBorder="1" applyAlignment="1" applyProtection="1">
      <alignment vertical="center"/>
    </xf>
    <xf numFmtId="168" fontId="10" fillId="0" borderId="5" xfId="0" applyNumberFormat="1" applyFont="1" applyBorder="1" applyAlignment="1" applyProtection="1">
      <alignment vertical="center"/>
    </xf>
    <xf numFmtId="44" fontId="10" fillId="0" borderId="5" xfId="0" applyNumberFormat="1" applyFont="1" applyBorder="1" applyAlignment="1" applyProtection="1">
      <alignment vertical="center"/>
    </xf>
    <xf numFmtId="166" fontId="12" fillId="0" borderId="5" xfId="2" applyNumberFormat="1" applyFont="1" applyBorder="1" applyAlignment="1" applyProtection="1">
      <alignment vertical="center"/>
    </xf>
    <xf numFmtId="166" fontId="11" fillId="0" borderId="5" xfId="2" applyNumberFormat="1" applyFont="1" applyBorder="1" applyAlignment="1" applyProtection="1">
      <alignment vertical="center"/>
    </xf>
    <xf numFmtId="164" fontId="10" fillId="0" borderId="5" xfId="0" applyNumberFormat="1" applyFont="1" applyBorder="1" applyAlignment="1" applyProtection="1">
      <alignment vertical="center"/>
    </xf>
    <xf numFmtId="43" fontId="10" fillId="0" borderId="5" xfId="0" applyNumberFormat="1" applyFont="1" applyBorder="1" applyAlignment="1" applyProtection="1">
      <alignment vertical="center"/>
    </xf>
    <xf numFmtId="166" fontId="10" fillId="0" borderId="6" xfId="0" applyNumberFormat="1" applyFont="1" applyBorder="1" applyAlignment="1" applyProtection="1">
      <alignment vertical="center"/>
    </xf>
    <xf numFmtId="43" fontId="10" fillId="0" borderId="6" xfId="0" applyNumberFormat="1" applyFont="1" applyBorder="1" applyAlignment="1" applyProtection="1">
      <alignment vertical="center"/>
    </xf>
    <xf numFmtId="0" fontId="10" fillId="0" borderId="0" xfId="0" applyNumberFormat="1" applyFont="1" applyBorder="1" applyAlignment="1" applyProtection="1"/>
    <xf numFmtId="169" fontId="10" fillId="0" borderId="0" xfId="0" applyNumberFormat="1" applyFont="1" applyBorder="1" applyAlignment="1" applyProtection="1">
      <alignment vertical="center"/>
    </xf>
    <xf numFmtId="0" fontId="11" fillId="0" borderId="0" xfId="0" applyNumberFormat="1" applyFont="1" applyFill="1" applyBorder="1" applyAlignment="1" applyProtection="1"/>
    <xf numFmtId="169" fontId="11" fillId="0" borderId="0" xfId="0" applyNumberFormat="1" applyFont="1" applyFill="1" applyBorder="1" applyAlignment="1" applyProtection="1">
      <alignment vertical="top" wrapText="1"/>
    </xf>
    <xf numFmtId="1" fontId="11" fillId="0" borderId="0" xfId="0" applyNumberFormat="1" applyFont="1" applyFill="1" applyBorder="1" applyAlignment="1" applyProtection="1"/>
    <xf numFmtId="165" fontId="11" fillId="0" borderId="0" xfId="0" applyNumberFormat="1" applyFont="1" applyFill="1" applyBorder="1" applyAlignment="1" applyProtection="1"/>
    <xf numFmtId="0" fontId="11" fillId="0" borderId="0" xfId="0" applyNumberFormat="1" applyFont="1" applyBorder="1" applyAlignment="1"/>
    <xf numFmtId="169" fontId="11" fillId="0" borderId="0" xfId="0" applyNumberFormat="1" applyFont="1" applyBorder="1" applyAlignment="1"/>
    <xf numFmtId="166" fontId="12" fillId="0" borderId="7" xfId="2" applyNumberFormat="1" applyFont="1" applyBorder="1" applyAlignment="1" applyProtection="1">
      <alignment vertical="center"/>
    </xf>
    <xf numFmtId="166" fontId="11" fillId="0" borderId="7" xfId="2" applyNumberFormat="1" applyFont="1" applyBorder="1" applyAlignment="1" applyProtection="1">
      <alignment vertical="center"/>
    </xf>
    <xf numFmtId="166" fontId="10" fillId="0" borderId="7" xfId="0" applyNumberFormat="1" applyFont="1" applyBorder="1" applyAlignment="1" applyProtection="1">
      <alignment vertical="center"/>
    </xf>
    <xf numFmtId="0" fontId="14" fillId="0" borderId="0" xfId="0" applyFont="1" applyAlignment="1"/>
    <xf numFmtId="0" fontId="0" fillId="0" borderId="0" xfId="0" applyAlignment="1"/>
    <xf numFmtId="170" fontId="2" fillId="0" borderId="0" xfId="0" applyNumberFormat="1" applyFont="1" applyFill="1" applyBorder="1" applyAlignment="1" applyProtection="1">
      <alignment vertical="top" wrapText="1"/>
    </xf>
    <xf numFmtId="0" fontId="3" fillId="0" borderId="0" xfId="1" applyFont="1" applyFill="1" applyBorder="1" applyAlignment="1" applyProtection="1">
      <alignment vertical="center"/>
    </xf>
    <xf numFmtId="170" fontId="2" fillId="0" borderId="0" xfId="0" applyNumberFormat="1" applyFont="1" applyFill="1" applyBorder="1" applyAlignment="1" applyProtection="1">
      <alignment vertical="center"/>
    </xf>
    <xf numFmtId="14" fontId="2" fillId="0" borderId="0" xfId="0" applyNumberFormat="1" applyFont="1" applyFill="1" applyBorder="1" applyAlignment="1" applyProtection="1">
      <alignment horizontal="center" vertical="center"/>
    </xf>
    <xf numFmtId="10" fontId="2" fillId="0" borderId="0" xfId="3" applyNumberFormat="1" applyFont="1" applyFill="1" applyBorder="1" applyProtection="1"/>
    <xf numFmtId="169" fontId="2" fillId="0" borderId="0" xfId="0" applyNumberFormat="1" applyFont="1" applyFill="1" applyBorder="1" applyAlignment="1" applyProtection="1">
      <alignment vertical="top" wrapText="1"/>
    </xf>
    <xf numFmtId="164" fontId="2" fillId="0" borderId="0" xfId="0" applyNumberFormat="1" applyFont="1" applyFill="1" applyBorder="1" applyAlignment="1" applyProtection="1">
      <alignment vertical="top" wrapText="1"/>
    </xf>
    <xf numFmtId="0" fontId="2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 applyProtection="1">
      <alignment vertical="center" wrapText="1"/>
    </xf>
    <xf numFmtId="169" fontId="2" fillId="0" borderId="0" xfId="0" applyNumberFormat="1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171" fontId="16" fillId="0" borderId="5" xfId="0" applyNumberFormat="1" applyFont="1" applyFill="1" applyBorder="1" applyAlignment="1" applyProtection="1">
      <alignment horizontal="right" vertical="center"/>
    </xf>
    <xf numFmtId="44" fontId="16" fillId="3" borderId="5" xfId="0" applyNumberFormat="1" applyFont="1" applyFill="1" applyBorder="1" applyAlignment="1" applyProtection="1">
      <alignment horizontal="right" vertical="center"/>
    </xf>
    <xf numFmtId="172" fontId="16" fillId="0" borderId="5" xfId="0" applyNumberFormat="1" applyFont="1" applyFill="1" applyBorder="1" applyAlignment="1" applyProtection="1">
      <alignment horizontal="right" vertical="center"/>
    </xf>
    <xf numFmtId="43" fontId="16" fillId="3" borderId="5" xfId="0" applyNumberFormat="1" applyFont="1" applyFill="1" applyBorder="1" applyAlignment="1" applyProtection="1">
      <alignment horizontal="right" vertical="center"/>
    </xf>
    <xf numFmtId="43" fontId="16" fillId="0" borderId="5" xfId="0" applyNumberFormat="1" applyFont="1" applyFill="1" applyBorder="1" applyAlignment="1" applyProtection="1">
      <alignment horizontal="right" vertical="center"/>
    </xf>
    <xf numFmtId="43" fontId="16" fillId="0" borderId="5" xfId="0" applyNumberFormat="1" applyFont="1" applyBorder="1" applyAlignment="1" applyProtection="1">
      <alignment horizontal="right" vertical="center"/>
    </xf>
    <xf numFmtId="171" fontId="17" fillId="4" borderId="5" xfId="0" applyNumberFormat="1" applyFont="1" applyFill="1" applyBorder="1" applyAlignment="1" applyProtection="1">
      <alignment horizontal="right" vertical="center"/>
    </xf>
    <xf numFmtId="44" fontId="16" fillId="4" borderId="5" xfId="0" applyNumberFormat="1" applyFont="1" applyFill="1" applyBorder="1" applyAlignment="1" applyProtection="1">
      <alignment horizontal="right" vertical="center"/>
    </xf>
    <xf numFmtId="0" fontId="0" fillId="0" borderId="0" xfId="0" applyAlignment="1" applyProtection="1">
      <alignment vertical="top" wrapText="1"/>
    </xf>
    <xf numFmtId="0" fontId="19" fillId="7" borderId="0" xfId="0" applyFont="1" applyFill="1" applyAlignment="1" applyProtection="1">
      <alignment vertical="center"/>
    </xf>
    <xf numFmtId="0" fontId="16" fillId="7" borderId="0" xfId="0" applyFont="1" applyFill="1" applyAlignment="1" applyProtection="1">
      <alignment vertical="top" wrapText="1"/>
    </xf>
    <xf numFmtId="0" fontId="16" fillId="0" borderId="0" xfId="0" applyFont="1" applyAlignment="1" applyProtection="1">
      <alignment vertical="top" wrapText="1"/>
    </xf>
    <xf numFmtId="0" fontId="0" fillId="6" borderId="0" xfId="0" applyFill="1" applyAlignment="1" applyProtection="1">
      <alignment horizontal="left" vertical="top" wrapText="1" indent="1"/>
    </xf>
    <xf numFmtId="0" fontId="0" fillId="6" borderId="0" xfId="0" applyFill="1" applyAlignment="1" applyProtection="1">
      <alignment vertical="top" wrapText="1"/>
    </xf>
    <xf numFmtId="0" fontId="0" fillId="4" borderId="0" xfId="0" applyFill="1" applyAlignment="1" applyProtection="1">
      <alignment horizontal="left" vertical="top" wrapText="1" indent="1"/>
    </xf>
    <xf numFmtId="0" fontId="0" fillId="4" borderId="0" xfId="0" applyFill="1" applyAlignment="1" applyProtection="1">
      <alignment vertical="top" wrapText="1"/>
    </xf>
    <xf numFmtId="0" fontId="16" fillId="4" borderId="0" xfId="0" applyFont="1" applyFill="1" applyAlignment="1" applyProtection="1">
      <alignment vertical="top" wrapText="1"/>
    </xf>
    <xf numFmtId="0" fontId="20" fillId="4" borderId="0" xfId="0" applyFont="1" applyFill="1" applyAlignment="1" applyProtection="1"/>
    <xf numFmtId="0" fontId="20" fillId="4" borderId="0" xfId="0" applyFont="1" applyFill="1" applyAlignment="1" applyProtection="1">
      <alignment horizontal="left" indent="2"/>
    </xf>
    <xf numFmtId="0" fontId="16" fillId="0" borderId="0" xfId="0" applyFont="1" applyAlignment="1" applyProtection="1">
      <alignment wrapText="1"/>
    </xf>
    <xf numFmtId="0" fontId="21" fillId="0" borderId="0" xfId="0" applyFont="1" applyAlignment="1" applyProtection="1">
      <alignment horizontal="left"/>
    </xf>
    <xf numFmtId="0" fontId="23" fillId="0" borderId="0" xfId="0" applyFont="1" applyAlignment="1" applyProtection="1">
      <alignment wrapText="1"/>
    </xf>
    <xf numFmtId="0" fontId="22" fillId="0" borderId="0" xfId="0" applyFont="1" applyAlignment="1" applyProtection="1">
      <alignment wrapText="1"/>
      <protection locked="0"/>
    </xf>
    <xf numFmtId="0" fontId="23" fillId="0" borderId="0" xfId="0" applyFont="1" applyAlignment="1" applyProtection="1"/>
    <xf numFmtId="0" fontId="24" fillId="0" borderId="0" xfId="0" applyFont="1" applyAlignment="1" applyProtection="1">
      <alignment wrapText="1"/>
    </xf>
    <xf numFmtId="0" fontId="24" fillId="0" borderId="0" xfId="0" applyFont="1" applyAlignment="1" applyProtection="1">
      <alignment vertical="top" wrapText="1"/>
    </xf>
    <xf numFmtId="0" fontId="25" fillId="0" borderId="8" xfId="0" applyFont="1" applyBorder="1" applyAlignment="1" applyProtection="1">
      <alignment horizontal="left" vertical="center"/>
    </xf>
    <xf numFmtId="0" fontId="16" fillId="0" borderId="0" xfId="0" applyFont="1" applyAlignment="1" applyProtection="1">
      <alignment vertical="center"/>
    </xf>
    <xf numFmtId="166" fontId="26" fillId="0" borderId="6" xfId="0" applyNumberFormat="1" applyFont="1" applyBorder="1" applyAlignment="1" applyProtection="1">
      <alignment vertical="center"/>
    </xf>
    <xf numFmtId="166" fontId="26" fillId="0" borderId="4" xfId="0" applyNumberFormat="1" applyFont="1" applyBorder="1" applyAlignment="1" applyProtection="1">
      <alignment vertical="center"/>
    </xf>
    <xf numFmtId="166" fontId="26" fillId="0" borderId="9" xfId="0" applyNumberFormat="1" applyFont="1" applyBorder="1" applyAlignment="1" applyProtection="1">
      <alignment vertical="center"/>
    </xf>
    <xf numFmtId="164" fontId="27" fillId="0" borderId="5" xfId="0" applyNumberFormat="1" applyFont="1" applyBorder="1" applyAlignment="1" applyProtection="1">
      <alignment horizontal="left" vertical="center"/>
    </xf>
    <xf numFmtId="168" fontId="27" fillId="0" borderId="5" xfId="0" applyNumberFormat="1" applyFont="1" applyBorder="1" applyAlignment="1" applyProtection="1">
      <alignment horizontal="right" vertical="center"/>
    </xf>
    <xf numFmtId="44" fontId="27" fillId="0" borderId="6" xfId="0" applyNumberFormat="1" applyFont="1" applyBorder="1" applyAlignment="1" applyProtection="1">
      <alignment horizontal="center" vertical="center"/>
    </xf>
    <xf numFmtId="44" fontId="27" fillId="4" borderId="5" xfId="0" applyNumberFormat="1" applyFont="1" applyFill="1" applyBorder="1" applyAlignment="1" applyProtection="1">
      <alignment horizontal="right" vertical="center"/>
    </xf>
    <xf numFmtId="0" fontId="16" fillId="0" borderId="0" xfId="0" applyFont="1" applyBorder="1" applyAlignment="1" applyProtection="1">
      <alignment horizontal="left" vertical="center"/>
    </xf>
    <xf numFmtId="173" fontId="16" fillId="0" borderId="0" xfId="0" applyNumberFormat="1" applyFont="1" applyAlignment="1" applyProtection="1">
      <alignment vertical="center"/>
    </xf>
    <xf numFmtId="0" fontId="16" fillId="0" borderId="0" xfId="0" applyFont="1" applyAlignment="1" applyProtection="1">
      <alignment horizontal="left" indent="7"/>
    </xf>
    <xf numFmtId="0" fontId="16" fillId="5" borderId="0" xfId="0" applyFont="1" applyFill="1" applyAlignment="1" applyProtection="1">
      <alignment vertical="center"/>
    </xf>
    <xf numFmtId="0" fontId="17" fillId="0" borderId="0" xfId="0" applyFont="1" applyAlignment="1" applyProtection="1"/>
    <xf numFmtId="0" fontId="16" fillId="0" borderId="0" xfId="0" applyFont="1" applyAlignment="1" applyProtection="1"/>
    <xf numFmtId="0" fontId="20" fillId="4" borderId="0" xfId="0" applyFont="1" applyFill="1" applyAlignment="1" applyProtection="1">
      <alignment vertical="center"/>
    </xf>
    <xf numFmtId="0" fontId="20" fillId="4" borderId="0" xfId="0" applyFont="1" applyFill="1" applyAlignment="1" applyProtection="1">
      <alignment horizontal="right" vertical="center"/>
    </xf>
    <xf numFmtId="49" fontId="23" fillId="0" borderId="0" xfId="0" applyNumberFormat="1" applyFont="1" applyAlignment="1" applyProtection="1">
      <alignment wrapText="1"/>
    </xf>
    <xf numFmtId="10" fontId="0" fillId="0" borderId="0" xfId="0" applyNumberFormat="1" applyAlignment="1">
      <alignment vertical="center"/>
    </xf>
    <xf numFmtId="169" fontId="0" fillId="0" borderId="0" xfId="0" applyNumberFormat="1" applyAlignment="1">
      <alignment vertical="center"/>
    </xf>
    <xf numFmtId="0" fontId="19" fillId="7" borderId="0" xfId="0" applyFont="1" applyFill="1" applyAlignment="1" applyProtection="1">
      <alignment horizontal="center" vertical="center"/>
    </xf>
    <xf numFmtId="167" fontId="2" fillId="0" borderId="0" xfId="0" applyNumberFormat="1" applyFont="1" applyFill="1" applyBorder="1" applyAlignment="1" applyProtection="1">
      <alignment vertical="center"/>
    </xf>
    <xf numFmtId="167" fontId="2" fillId="0" borderId="0" xfId="2" applyNumberFormat="1" applyFont="1" applyFill="1" applyBorder="1" applyProtection="1"/>
    <xf numFmtId="167" fontId="7" fillId="0" borderId="0" xfId="0" applyNumberFormat="1" applyFont="1"/>
    <xf numFmtId="167" fontId="4" fillId="0" borderId="0" xfId="2" applyNumberFormat="1" applyFill="1" applyBorder="1" applyAlignment="1" applyProtection="1">
      <alignment vertical="top" wrapText="1"/>
    </xf>
    <xf numFmtId="0" fontId="11" fillId="0" borderId="0" xfId="0" applyFont="1" applyAlignment="1"/>
    <xf numFmtId="169" fontId="2" fillId="0" borderId="0" xfId="0" applyNumberFormat="1" applyFont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Fill="1" applyBorder="1" applyAlignment="1" applyProtection="1">
      <alignment horizontal="center" vertical="top" wrapText="1"/>
    </xf>
    <xf numFmtId="0" fontId="18" fillId="7" borderId="0" xfId="0" applyFont="1" applyFill="1" applyAlignment="1" applyProtection="1">
      <alignment horizontal="left" vertical="center" indent="2"/>
    </xf>
    <xf numFmtId="0" fontId="20" fillId="4" borderId="0" xfId="0" applyFont="1" applyFill="1" applyAlignment="1" applyProtection="1">
      <alignment horizontal="left" vertical="center"/>
    </xf>
    <xf numFmtId="0" fontId="22" fillId="0" borderId="0" xfId="0" applyFont="1" applyAlignment="1">
      <alignment horizontal="left" vertical="top" wrapText="1"/>
    </xf>
    <xf numFmtId="166" fontId="27" fillId="0" borderId="6" xfId="0" applyNumberFormat="1" applyFont="1" applyBorder="1" applyAlignment="1" applyProtection="1">
      <alignment horizontal="left" vertical="center"/>
    </xf>
    <xf numFmtId="166" fontId="27" fillId="0" borderId="4" xfId="0" applyNumberFormat="1" applyFont="1" applyBorder="1" applyAlignment="1" applyProtection="1">
      <alignment horizontal="left" vertical="center"/>
    </xf>
    <xf numFmtId="166" fontId="27" fillId="0" borderId="9" xfId="0" applyNumberFormat="1" applyFont="1" applyBorder="1" applyAlignment="1" applyProtection="1">
      <alignment horizontal="left" vertical="center"/>
    </xf>
    <xf numFmtId="44" fontId="27" fillId="0" borderId="5" xfId="0" applyNumberFormat="1" applyFont="1" applyBorder="1" applyAlignment="1" applyProtection="1">
      <alignment horizontal="center" vertical="center"/>
    </xf>
    <xf numFmtId="0" fontId="20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horizontal="center"/>
    </xf>
    <xf numFmtId="0" fontId="22" fillId="0" borderId="0" xfId="0" applyFont="1" applyAlignment="1">
      <alignment wrapText="1"/>
    </xf>
    <xf numFmtId="167" fontId="22" fillId="0" borderId="0" xfId="0" applyNumberFormat="1" applyFont="1" applyAlignment="1">
      <alignment wrapText="1"/>
    </xf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center" vertical="top" wrapText="1"/>
    </xf>
    <xf numFmtId="0" fontId="26" fillId="0" borderId="4" xfId="0" applyNumberFormat="1" applyFont="1" applyBorder="1" applyAlignment="1" applyProtection="1">
      <alignment horizontal="center" vertical="center"/>
    </xf>
    <xf numFmtId="0" fontId="25" fillId="0" borderId="8" xfId="0" applyFont="1" applyBorder="1" applyAlignment="1" applyProtection="1">
      <alignment horizontal="left" vertical="center"/>
    </xf>
    <xf numFmtId="166" fontId="26" fillId="0" borderId="4" xfId="0" applyNumberFormat="1" applyFont="1" applyBorder="1" applyAlignment="1" applyProtection="1">
      <alignment vertical="center"/>
    </xf>
    <xf numFmtId="0" fontId="0" fillId="5" borderId="0" xfId="0" applyFont="1" applyFill="1" applyAlignment="1" applyProtection="1">
      <alignment horizontal="left" vertical="top" indent="1"/>
    </xf>
    <xf numFmtId="0" fontId="16" fillId="5" borderId="0" xfId="0" applyFont="1" applyFill="1" applyAlignment="1" applyProtection="1">
      <alignment horizontal="left" vertical="top" indent="1"/>
    </xf>
    <xf numFmtId="0" fontId="16" fillId="5" borderId="0" xfId="0" applyFont="1" applyFill="1" applyAlignment="1" applyProtection="1">
      <alignment horizontal="left" indent="1"/>
    </xf>
    <xf numFmtId="0" fontId="16" fillId="4" borderId="0" xfId="0" applyFont="1" applyFill="1" applyAlignment="1" applyProtection="1">
      <alignment horizontal="center" vertical="top" wrapText="1"/>
    </xf>
    <xf numFmtId="167" fontId="20" fillId="4" borderId="0" xfId="0" applyNumberFormat="1" applyFont="1" applyFill="1" applyAlignment="1" applyProtection="1">
      <alignment horizontal="center"/>
    </xf>
    <xf numFmtId="0" fontId="6" fillId="2" borderId="2" xfId="0" applyFont="1" applyFill="1" applyBorder="1" applyAlignment="1">
      <alignment horizontal="left" vertical="center" shrinkToFit="1"/>
    </xf>
    <xf numFmtId="0" fontId="6" fillId="2" borderId="3" xfId="0" applyFont="1" applyFill="1" applyBorder="1" applyAlignment="1">
      <alignment horizontal="left" vertical="center" shrinkToFit="1"/>
    </xf>
    <xf numFmtId="164" fontId="10" fillId="0" borderId="6" xfId="0" applyNumberFormat="1" applyFont="1" applyBorder="1" applyAlignment="1" applyProtection="1">
      <alignment vertical="center"/>
    </xf>
  </cellXfs>
  <cellStyles count="4">
    <cellStyle name="Lien hypertexte" xfId="2" builtinId="8"/>
    <cellStyle name="Normal" xfId="0" builtinId="0"/>
    <cellStyle name="Pourcentage" xfId="3" builtinId="5"/>
    <cellStyle name="Titre 1" xfId="1" builtinId="16"/>
  </cellStyles>
  <dxfs count="9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79998168889431442"/>
        </patternFill>
      </fill>
    </dxf>
    <dxf>
      <font>
        <color rgb="FFFF0000"/>
      </font>
    </dxf>
    <dxf>
      <font>
        <color rgb="FFFF0000"/>
      </font>
    </dxf>
    <dxf>
      <font>
        <b/>
        <i/>
        <strike/>
        <condense/>
        <extend/>
        <outline/>
        <shadow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0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vertAlign val="baseline"/>
        <sz val="8"/>
        <name val="Calibri Light"/>
        <family val="2"/>
        <scheme val="major"/>
      </font>
      <alignment horizontal="general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3"/>
        <name val="Calibri Light"/>
        <family val="2"/>
        <scheme val="major"/>
      </font>
      <numFmt numFmtId="166" formatCode="_)@\ \ "/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1" hidden="0"/>
    </dxf>
    <dxf>
      <font>
        <b val="0"/>
        <i val="0"/>
        <strike val="0"/>
        <outline val="0"/>
        <shadow val="0"/>
        <vertAlign val="baseline"/>
        <sz val="8"/>
        <name val="Calibri Light"/>
        <family val="2"/>
        <scheme val="major"/>
      </font>
      <numFmt numFmtId="166" formatCode="_)@\ \ "/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  <protection locked="1" hidden="0"/>
    </dxf>
    <dxf>
      <font>
        <b val="0"/>
        <i val="0"/>
        <strike val="0"/>
        <outline val="0"/>
        <shadow val="0"/>
        <vertAlign val="baseline"/>
        <sz val="8"/>
        <name val="Calibri Light"/>
        <family val="2"/>
        <scheme val="major"/>
      </font>
      <numFmt numFmtId="169" formatCode="#,##0.00\ &quot;€&quot;"/>
      <alignment horizontal="general" textRotation="0" indent="0" justifyLastLine="0" shrinkToFit="0" readingOrder="0"/>
    </dxf>
    <dxf>
      <font>
        <b val="0"/>
        <i val="0"/>
        <strike val="0"/>
        <outline val="0"/>
        <shadow val="0"/>
        <vertAlign val="baseline"/>
        <sz val="8"/>
        <name val="Calibri Light"/>
        <family val="2"/>
        <scheme val="maj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vertAlign val="baseline"/>
        <sz val="8"/>
        <name val="Calibri Light"/>
        <family val="2"/>
        <scheme val="major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 Light"/>
        <family val="2"/>
        <scheme val="major"/>
      </font>
      <numFmt numFmtId="166" formatCode="_)@\ \ "/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  <protection locked="1" hidden="0"/>
    </dxf>
    <dxf>
      <font>
        <b val="0"/>
        <i val="0"/>
        <strike val="0"/>
        <outline val="0"/>
        <shadow val="0"/>
        <vertAlign val="baseline"/>
        <sz val="8"/>
        <name val="Calibri Light"/>
        <family val="2"/>
        <scheme val="major"/>
      </font>
      <alignment horizontal="general" textRotation="0" indent="0" justifyLastLine="0" shrinkToFit="0" readingOrder="0"/>
    </dxf>
    <dxf>
      <font>
        <strike/>
        <outline/>
        <shadow/>
        <u val="none"/>
        <vertAlign val="baseline"/>
        <sz val="10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numFmt numFmtId="14" formatCode="0.00%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167" formatCode="0#&quot; &quot;##&quot; &quot;##&quot; &quot;##&quot; &quot;##"/>
      <alignment horizontal="general" vertical="center" textRotation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indent="0" justifyLastLine="0" shrinkToFit="0" readingOrder="0"/>
    </dxf>
    <dxf>
      <numFmt numFmtId="0" formatCode="General"/>
      <fill>
        <patternFill patternType="none">
          <fgColor rgb="FF000000"/>
          <bgColor rgb="FFFFFFFF"/>
        </patternFill>
      </fill>
      <alignment horizontal="left" vertical="center" textRotation="0" wrapText="0" indent="0" justifyLastLine="0" shrinkToFit="0" readingOrder="0"/>
      <protection locked="1" hidden="0"/>
    </dxf>
    <dxf>
      <numFmt numFmtId="167" formatCode="0#&quot; &quot;##&quot; &quot;##&quot; &quot;##&quot; &quot;##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rgb="FF000000"/>
          <bgColor rgb="FFFFFFFF"/>
        </patternFill>
      </fill>
      <protection locked="1" hidden="0"/>
    </dxf>
    <dxf>
      <numFmt numFmtId="167" formatCode="0#&quot; &quot;##&quot; &quot;##&quot; &quot;##&quot; &quot;##"/>
    </dxf>
    <dxf>
      <numFmt numFmtId="165" formatCode="00000"/>
      <fill>
        <patternFill patternType="none">
          <fgColor rgb="FF000000"/>
          <bgColor rgb="FFFFFFFF"/>
        </patternFill>
      </fill>
      <alignment horizontal="center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6" formatCode="_)@\ \ "/>
      <fill>
        <patternFill patternType="none">
          <fgColor rgb="FF000000"/>
          <bgColor rgb="FFFFFFFF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6" formatCode="_)@\ \ "/>
      <fill>
        <patternFill patternType="none">
          <fgColor rgb="FF000000"/>
          <bgColor rgb="FFFFFFFF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6" formatCode="_)@\ \ "/>
      <fill>
        <patternFill patternType="none">
          <fgColor rgb="FF000000"/>
          <bgColor rgb="FFFFFFFF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6" formatCode="_)@\ \ "/>
      <fill>
        <patternFill patternType="none">
          <fgColor rgb="FF000000"/>
          <bgColor rgb="FFFFFFFF"/>
        </patternFill>
      </fill>
      <alignment horizontal="general" vertical="top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4" formatCode="_)#;_)#;_)#;_)@"/>
      <fill>
        <patternFill patternType="none">
          <fgColor rgb="FF000000"/>
          <bgColor rgb="FFFFFFFF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6" formatCode="_)@\ \ 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font>
        <sz val="10"/>
        <color rgb="FF22798E"/>
      </font>
      <numFmt numFmtId="166" formatCode="_)@\ \ 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numFmt numFmtId="169" formatCode="#,##0.00\ &quot;€&quot;"/>
    </dxf>
    <dxf>
      <numFmt numFmtId="169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4" formatCode="_)#;_)#;_)#;_)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sz val="10"/>
        <color rgb="FF22798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2798E"/>
        <name val="Calibri"/>
        <family val="2"/>
        <scheme val="none"/>
      </font>
      <numFmt numFmtId="164" formatCode="_)#;_)#;_)#;_)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alignment vertical="center" textRotation="0" wrapText="0" indent="0" justifyLastLine="0" shrinkToFit="0" readingOrder="0"/>
      <protection locked="1" hidden="0"/>
    </dxf>
    <dxf>
      <alignment horizontal="left" vertical="center" textRotation="0" wrapText="0" indent="0" justifyLastLine="0" shrinkToFit="0" readingOrder="0"/>
    </dxf>
    <dxf>
      <fill>
        <patternFill patternType="solid">
          <fgColor rgb="FFD2EEF4"/>
          <bgColor rgb="FFD2EEF4"/>
        </patternFill>
      </fill>
    </dxf>
    <dxf>
      <fill>
        <patternFill patternType="solid">
          <fgColor rgb="FFD2EEF4"/>
          <bgColor rgb="FFD2EEF4"/>
        </patternFill>
      </fill>
    </dxf>
    <dxf>
      <font>
        <b/>
        <color rgb="FF22798E"/>
      </font>
    </dxf>
    <dxf>
      <font>
        <b/>
        <color rgb="FF22798E"/>
      </font>
    </dxf>
    <dxf>
      <font>
        <b/>
        <i val="0"/>
        <strike val="0"/>
      </font>
      <border>
        <top style="double">
          <color rgb="FF2DA2BF"/>
        </top>
      </border>
    </dxf>
    <dxf>
      <font>
        <color rgb="FF0F5766"/>
      </font>
      <border>
        <left/>
        <right/>
        <vertical/>
        <horizontal/>
      </border>
    </dxf>
    <dxf>
      <font>
        <color rgb="FF22798E"/>
      </font>
      <border>
        <left style="thin">
          <color rgb="FFA6DCEA"/>
        </left>
        <right style="thin">
          <color rgb="FFA6DCEA"/>
        </right>
        <top style="thin">
          <color rgb="FFA6DCEA"/>
        </top>
        <bottom style="thin">
          <color rgb="FFA6DCEA"/>
        </bottom>
        <vertical style="thin">
          <color rgb="FFA6DCEA"/>
        </vertical>
        <horizontal style="thin">
          <color rgb="FFA6DCEA"/>
        </horizontal>
      </border>
    </dxf>
    <dxf>
      <fill>
        <patternFill patternType="solid">
          <fgColor rgb="FFD2EEF4"/>
          <bgColor rgb="FFD2EEF4"/>
        </patternFill>
      </fill>
    </dxf>
    <dxf>
      <fill>
        <patternFill patternType="solid">
          <fgColor rgb="FFD2EEF4"/>
          <bgColor rgb="FFD2EEF4"/>
        </patternFill>
      </fill>
    </dxf>
    <dxf>
      <font>
        <b/>
        <color rgb="FF22798E"/>
      </font>
    </dxf>
    <dxf>
      <font>
        <b/>
        <color rgb="FF22798E"/>
      </font>
    </dxf>
    <dxf>
      <font>
        <b/>
        <i val="0"/>
        <strike val="0"/>
      </font>
      <border>
        <top style="double">
          <color rgb="FF2DA2BF"/>
        </top>
      </border>
    </dxf>
    <dxf>
      <font>
        <color rgb="FF0F5766"/>
      </font>
      <border>
        <left/>
        <right/>
        <vertical/>
        <horizontal/>
      </border>
    </dxf>
    <dxf>
      <font>
        <color rgb="FF22798E"/>
      </font>
      <border>
        <left style="thin">
          <color rgb="FFA6DCEA"/>
        </left>
        <right style="thin">
          <color rgb="FFA6DCEA"/>
        </right>
        <top style="thin">
          <color rgb="FFA6DCEA"/>
        </top>
        <bottom style="thin">
          <color rgb="FFA6DCEA"/>
        </bottom>
        <vertical style="thin">
          <color rgb="FFA6DCEA"/>
        </vertical>
        <horizontal style="thin">
          <color rgb="FFA6DCEA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4" tint="-0.249977111117893"/>
      </font>
    </dxf>
    <dxf>
      <font>
        <b/>
        <color theme="4" tint="-0.249977111117893"/>
      </font>
    </dxf>
    <dxf>
      <font>
        <b/>
        <i/>
      </font>
      <border>
        <top style="double">
          <color theme="4"/>
        </top>
      </border>
    </dxf>
    <dxf>
      <font>
        <color theme="2" tint="-0.749961851863155"/>
      </font>
      <border>
        <left/>
        <right/>
        <vertical/>
        <horizontal/>
      </border>
    </dxf>
    <dxf>
      <font>
        <color theme="4" tint="-0.249977111117893"/>
      </font>
      <border>
        <left style="thin">
          <color theme="4" tint="0.59996337778862885"/>
        </left>
        <right style="thin">
          <color theme="4" tint="0.59996337778862885"/>
        </right>
        <top style="thin">
          <color theme="4" tint="0.59996337778862885"/>
        </top>
        <bottom style="thin">
          <color theme="4" tint="0.59996337778862885"/>
        </bottom>
        <vertical style="thin">
          <color theme="4" tint="0.59996337778862885"/>
        </vertical>
        <horizontal style="thin">
          <color theme="4" tint="0.59996337778862885"/>
        </horizontal>
      </border>
    </dxf>
  </dxfs>
  <tableStyles count="4" defaultTableStyle="TableStyleMedium2" defaultPivotStyle="PivotStyleLight16">
    <tableStyle name="Sales Invoice Table" pivot="0" count="7" xr9:uid="{00000000-0011-0000-FFFF-FFFF00000000}">
      <tableStyleElement type="wholeTable" dxfId="95"/>
      <tableStyleElement type="headerRow" dxfId="94"/>
      <tableStyleElement type="totalRow" dxfId="93"/>
      <tableStyleElement type="firstColumn" dxfId="92"/>
      <tableStyleElement type="lastColumn" dxfId="91"/>
      <tableStyleElement type="firstRowStripe" dxfId="90"/>
      <tableStyleElement type="firstColumnStripe" dxfId="89"/>
    </tableStyle>
    <tableStyle name="Sales Invoice Table 2" pivot="0" count="7" xr9:uid="{00000000-0011-0000-FFFF-FFFF01000000}">
      <tableStyleElement type="wholeTable" dxfId="88"/>
      <tableStyleElement type="headerRow" dxfId="87"/>
      <tableStyleElement type="totalRow" dxfId="86"/>
      <tableStyleElement type="firstColumn" dxfId="85"/>
      <tableStyleElement type="lastColumn" dxfId="84"/>
      <tableStyleElement type="firstRowStripe" dxfId="83"/>
      <tableStyleElement type="firstColumnStripe" dxfId="82"/>
    </tableStyle>
    <tableStyle name="Sales Invoice Table 2 2" pivot="0" count="7" xr9:uid="{00000000-0011-0000-FFFF-FFFF01000000}">
      <tableStyleElement type="wholeTable" dxfId="81"/>
      <tableStyleElement type="headerRow" dxfId="80"/>
      <tableStyleElement type="totalRow" dxfId="79"/>
      <tableStyleElement type="firstColumn" dxfId="78"/>
      <tableStyleElement type="lastColumn" dxfId="77"/>
      <tableStyleElement type="firstRowStripe" dxfId="76"/>
      <tableStyleElement type="firstColumnStripe" dxfId="75"/>
    </tableStyle>
    <tableStyle name="Style de tableau 1" pivot="0" count="0" xr9:uid="{AF3EB5C6-F60C-4F07-BA3E-516A1C489F6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123826</xdr:colOff>
      <xdr:row>1</xdr:row>
      <xdr:rowOff>238125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4702818D-B631-4DDF-8A44-CD22E67361A8}"/>
            </a:ext>
          </a:extLst>
        </xdr:cNvPr>
        <xdr:cNvGrpSpPr/>
      </xdr:nvGrpSpPr>
      <xdr:grpSpPr>
        <a:xfrm>
          <a:off x="0" y="0"/>
          <a:ext cx="9353551" cy="428625"/>
          <a:chOff x="0" y="0"/>
          <a:chExt cx="9210676" cy="428625"/>
        </a:xfrm>
      </xdr:grpSpPr>
      <xdr:sp macro="" textlink="">
        <xdr:nvSpPr>
          <xdr:cNvPr id="18" name="Rectangle 17" title="Short Footer Graphic">
            <a:extLst>
              <a:ext uri="{FF2B5EF4-FFF2-40B4-BE49-F238E27FC236}">
                <a16:creationId xmlns:a16="http://schemas.microsoft.com/office/drawing/2014/main" id="{06DC52D9-32CF-4582-88CF-637E7FC36C9D}"/>
              </a:ext>
            </a:extLst>
          </xdr:cNvPr>
          <xdr:cNvSpPr/>
        </xdr:nvSpPr>
        <xdr:spPr>
          <a:xfrm>
            <a:off x="0" y="0"/>
            <a:ext cx="7877174" cy="428625"/>
          </a:xfrm>
          <a:prstGeom prst="rect">
            <a:avLst/>
          </a:prstGeom>
          <a:solidFill>
            <a:schemeClr val="accent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45720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91440">
              <a:spcBef>
                <a:spcPts val="0"/>
              </a:spcBef>
              <a:spcAft>
                <a:spcPts val="0"/>
              </a:spcAft>
            </a:pPr>
            <a:r>
              <a:rPr lang="en-US" sz="2500" b="1">
                <a:solidFill>
                  <a:srgbClr val="000000"/>
                </a:solidFill>
                <a:effectLst/>
                <a:ea typeface="Arial"/>
                <a:cs typeface="Times New Roman"/>
              </a:rPr>
              <a:t> </a:t>
            </a:r>
            <a:r>
              <a:rPr lang="en-US" sz="2500" b="1">
                <a:solidFill>
                  <a:schemeClr val="bg1"/>
                </a:solidFill>
                <a:effectLst/>
                <a:ea typeface="Arial"/>
                <a:cs typeface="Times New Roman"/>
              </a:rPr>
              <a:t>Préparation</a:t>
            </a:r>
            <a:r>
              <a:rPr lang="en-US" sz="2500" b="1" baseline="0">
                <a:solidFill>
                  <a:schemeClr val="bg1"/>
                </a:solidFill>
                <a:effectLst/>
                <a:ea typeface="Arial"/>
                <a:cs typeface="Times New Roman"/>
              </a:rPr>
              <a:t> de commande</a:t>
            </a:r>
            <a:endParaRPr lang="en-US" sz="2500" b="1">
              <a:solidFill>
                <a:schemeClr val="bg1"/>
              </a:solidFill>
              <a:effectLst/>
              <a:ea typeface="Arial"/>
              <a:cs typeface="Times New Roman"/>
            </a:endParaRPr>
          </a:p>
        </xdr:txBody>
      </xdr:sp>
      <xdr:grpSp>
        <xdr:nvGrpSpPr>
          <xdr:cNvPr id="19" name="Groupe 18">
            <a:extLst>
              <a:ext uri="{FF2B5EF4-FFF2-40B4-BE49-F238E27FC236}">
                <a16:creationId xmlns:a16="http://schemas.microsoft.com/office/drawing/2014/main" id="{0ED54BBB-4354-4B89-9C09-83C8ED902122}"/>
              </a:ext>
            </a:extLst>
          </xdr:cNvPr>
          <xdr:cNvGrpSpPr/>
        </xdr:nvGrpSpPr>
        <xdr:grpSpPr>
          <a:xfrm>
            <a:off x="7886701" y="0"/>
            <a:ext cx="1323975" cy="428625"/>
            <a:chOff x="14230350" y="0"/>
            <a:chExt cx="1323975" cy="428625"/>
          </a:xfrm>
        </xdr:grpSpPr>
        <xdr:sp macro="" textlink="">
          <xdr:nvSpPr>
            <xdr:cNvPr id="20" name="Rectangle 19">
              <a:extLst>
                <a:ext uri="{FF2B5EF4-FFF2-40B4-BE49-F238E27FC236}">
                  <a16:creationId xmlns:a16="http://schemas.microsoft.com/office/drawing/2014/main" id="{F1C324EE-6520-4EA7-A8CA-CA6566335AE7}"/>
                </a:ext>
              </a:extLst>
            </xdr:cNvPr>
            <xdr:cNvSpPr/>
          </xdr:nvSpPr>
          <xdr:spPr>
            <a:xfrm>
              <a:off x="14230350" y="0"/>
              <a:ext cx="1195959" cy="428625"/>
            </a:xfrm>
            <a:prstGeom prst="rect">
              <a:avLst/>
            </a:prstGeom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="horz" wrap="square" lIns="91440" tIns="45720" rIns="91440" bIns="4572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endParaRPr lang="en-US"/>
            </a:p>
          </xdr:txBody>
        </xdr:sp>
        <xdr:pic>
          <xdr:nvPicPr>
            <xdr:cNvPr id="21" name="Image 20">
              <a:extLst>
                <a:ext uri="{FF2B5EF4-FFF2-40B4-BE49-F238E27FC236}">
                  <a16:creationId xmlns:a16="http://schemas.microsoft.com/office/drawing/2014/main" id="{8C0EADE4-8C01-4A28-95B8-76DC6259C41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4859000" y="19051"/>
              <a:ext cx="695325" cy="390790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0</xdr:row>
      <xdr:rowOff>0</xdr:rowOff>
    </xdr:from>
    <xdr:to>
      <xdr:col>10</xdr:col>
      <xdr:colOff>1638299</xdr:colOff>
      <xdr:row>1</xdr:row>
      <xdr:rowOff>180975</xdr:rowOff>
    </xdr:to>
    <xdr:sp macro="" textlink="">
      <xdr:nvSpPr>
        <xdr:cNvPr id="6" name="Rectangle 5" title="Short Footer Graphic">
          <a:extLst>
            <a:ext uri="{FF2B5EF4-FFF2-40B4-BE49-F238E27FC236}">
              <a16:creationId xmlns:a16="http://schemas.microsoft.com/office/drawing/2014/main" id="{037D95C7-598E-4E39-8B88-61EE4856E8D6}"/>
            </a:ext>
          </a:extLst>
        </xdr:cNvPr>
        <xdr:cNvSpPr/>
      </xdr:nvSpPr>
      <xdr:spPr>
        <a:xfrm>
          <a:off x="142874" y="0"/>
          <a:ext cx="14068425" cy="428625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45720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91440">
            <a:spcBef>
              <a:spcPts val="0"/>
            </a:spcBef>
            <a:spcAft>
              <a:spcPts val="0"/>
            </a:spcAft>
          </a:pPr>
          <a:r>
            <a:rPr lang="en-US" sz="2500" b="1">
              <a:solidFill>
                <a:srgbClr val="000000"/>
              </a:solidFill>
              <a:effectLst/>
              <a:ea typeface="Arial"/>
              <a:cs typeface="Times New Roman"/>
            </a:rPr>
            <a:t> </a:t>
          </a:r>
          <a:r>
            <a:rPr lang="en-US" sz="2500" b="1">
              <a:solidFill>
                <a:schemeClr val="bg1"/>
              </a:solidFill>
              <a:effectLst/>
              <a:ea typeface="Arial"/>
              <a:cs typeface="Times New Roman"/>
            </a:rPr>
            <a:t>Sites</a:t>
          </a:r>
        </a:p>
      </xdr:txBody>
    </xdr:sp>
    <xdr:clientData/>
  </xdr:twoCellAnchor>
  <xdr:twoCellAnchor>
    <xdr:from>
      <xdr:col>10</xdr:col>
      <xdr:colOff>1657350</xdr:colOff>
      <xdr:row>0</xdr:row>
      <xdr:rowOff>0</xdr:rowOff>
    </xdr:from>
    <xdr:to>
      <xdr:col>13</xdr:col>
      <xdr:colOff>123825</xdr:colOff>
      <xdr:row>1</xdr:row>
      <xdr:rowOff>180975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BBA8858B-416C-43AB-B276-E10F4F8ECDAD}"/>
            </a:ext>
          </a:extLst>
        </xdr:cNvPr>
        <xdr:cNvGrpSpPr/>
      </xdr:nvGrpSpPr>
      <xdr:grpSpPr>
        <a:xfrm>
          <a:off x="11306175" y="0"/>
          <a:ext cx="3162300" cy="428625"/>
          <a:chOff x="14230350" y="0"/>
          <a:chExt cx="1323975" cy="428625"/>
        </a:xfrm>
      </xdr:grpSpPr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519187EE-9816-4108-9B58-E221FFB72AE5}"/>
              </a:ext>
            </a:extLst>
          </xdr:cNvPr>
          <xdr:cNvSpPr/>
        </xdr:nvSpPr>
        <xdr:spPr>
          <a:xfrm>
            <a:off x="14230350" y="0"/>
            <a:ext cx="1195959" cy="4286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  <xdr:pic>
        <xdr:nvPicPr>
          <xdr:cNvPr id="19" name="Image 18">
            <a:extLst>
              <a:ext uri="{FF2B5EF4-FFF2-40B4-BE49-F238E27FC236}">
                <a16:creationId xmlns:a16="http://schemas.microsoft.com/office/drawing/2014/main" id="{52EE48E0-9126-4299-8EEB-B768200E4B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859000" y="19051"/>
            <a:ext cx="695325" cy="390790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123825</xdr:colOff>
      <xdr:row>2</xdr:row>
      <xdr:rowOff>47625</xdr:rowOff>
    </xdr:to>
    <xdr:sp macro="" textlink="">
      <xdr:nvSpPr>
        <xdr:cNvPr id="43" name="Rectangle 42" title="Short Footer Graphic">
          <a:extLst>
            <a:ext uri="{FF2B5EF4-FFF2-40B4-BE49-F238E27FC236}">
              <a16:creationId xmlns:a16="http://schemas.microsoft.com/office/drawing/2014/main" id="{9F63088B-4D11-4D41-90ED-F4624DA8E2AC}"/>
            </a:ext>
          </a:extLst>
        </xdr:cNvPr>
        <xdr:cNvSpPr/>
      </xdr:nvSpPr>
      <xdr:spPr>
        <a:xfrm>
          <a:off x="0" y="0"/>
          <a:ext cx="12325350" cy="428625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45720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91440">
            <a:spcBef>
              <a:spcPts val="0"/>
            </a:spcBef>
            <a:spcAft>
              <a:spcPts val="0"/>
            </a:spcAft>
          </a:pPr>
          <a:r>
            <a:rPr lang="en-US" sz="2500" b="1">
              <a:solidFill>
                <a:srgbClr val="000000"/>
              </a:solidFill>
              <a:effectLst/>
              <a:ea typeface="Arial"/>
              <a:cs typeface="Times New Roman"/>
            </a:rPr>
            <a:t> </a:t>
          </a:r>
          <a:r>
            <a:rPr lang="en-US" sz="2500" b="1">
              <a:solidFill>
                <a:schemeClr val="bg1"/>
              </a:solidFill>
              <a:effectLst/>
              <a:ea typeface="Arial"/>
              <a:cs typeface="Times New Roman"/>
            </a:rPr>
            <a:t>Fournisseurs</a:t>
          </a:r>
        </a:p>
      </xdr:txBody>
    </xdr:sp>
    <xdr:clientData/>
  </xdr:twoCellAnchor>
  <xdr:twoCellAnchor>
    <xdr:from>
      <xdr:col>9</xdr:col>
      <xdr:colOff>792358</xdr:colOff>
      <xdr:row>0</xdr:row>
      <xdr:rowOff>1</xdr:rowOff>
    </xdr:from>
    <xdr:to>
      <xdr:col>12</xdr:col>
      <xdr:colOff>325633</xdr:colOff>
      <xdr:row>2</xdr:row>
      <xdr:rowOff>47626</xdr:rowOff>
    </xdr:to>
    <xdr:grpSp>
      <xdr:nvGrpSpPr>
        <xdr:cNvPr id="44" name="Groupe 43">
          <a:extLst>
            <a:ext uri="{FF2B5EF4-FFF2-40B4-BE49-F238E27FC236}">
              <a16:creationId xmlns:a16="http://schemas.microsoft.com/office/drawing/2014/main" id="{AD7198B5-75D6-4B7A-B08D-BEBA499CE9BB}"/>
            </a:ext>
          </a:extLst>
        </xdr:cNvPr>
        <xdr:cNvGrpSpPr/>
      </xdr:nvGrpSpPr>
      <xdr:grpSpPr>
        <a:xfrm>
          <a:off x="12936733" y="1"/>
          <a:ext cx="2771775" cy="428625"/>
          <a:chOff x="14230350" y="0"/>
          <a:chExt cx="1323975" cy="428625"/>
        </a:xfrm>
      </xdr:grpSpPr>
      <xdr:sp macro="" textlink="">
        <xdr:nvSpPr>
          <xdr:cNvPr id="45" name="Rectangle 44">
            <a:extLst>
              <a:ext uri="{FF2B5EF4-FFF2-40B4-BE49-F238E27FC236}">
                <a16:creationId xmlns:a16="http://schemas.microsoft.com/office/drawing/2014/main" id="{D689D93F-40B9-45BD-A0A7-33B7EB2C6431}"/>
              </a:ext>
            </a:extLst>
          </xdr:cNvPr>
          <xdr:cNvSpPr/>
        </xdr:nvSpPr>
        <xdr:spPr>
          <a:xfrm>
            <a:off x="14230350" y="0"/>
            <a:ext cx="1195959" cy="4286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  <xdr:pic>
        <xdr:nvPicPr>
          <xdr:cNvPr id="46" name="Image 45">
            <a:extLst>
              <a:ext uri="{FF2B5EF4-FFF2-40B4-BE49-F238E27FC236}">
                <a16:creationId xmlns:a16="http://schemas.microsoft.com/office/drawing/2014/main" id="{805E1C37-429C-464D-B45D-C2ECCBD265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859000" y="19051"/>
            <a:ext cx="695325" cy="390790"/>
          </a:xfrm>
          <a:prstGeom prst="rect">
            <a:avLst/>
          </a:prstGeom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942975</xdr:colOff>
      <xdr:row>2</xdr:row>
      <xdr:rowOff>47625</xdr:rowOff>
    </xdr:to>
    <xdr:sp macro="" textlink="">
      <xdr:nvSpPr>
        <xdr:cNvPr id="2" name="Rectangle 1" title="Short Footer Graphic">
          <a:extLst>
            <a:ext uri="{FF2B5EF4-FFF2-40B4-BE49-F238E27FC236}">
              <a16:creationId xmlns:a16="http://schemas.microsoft.com/office/drawing/2014/main" id="{8E43ACD9-20A9-4452-97AB-01408BC97B2C}"/>
            </a:ext>
          </a:extLst>
        </xdr:cNvPr>
        <xdr:cNvSpPr/>
      </xdr:nvSpPr>
      <xdr:spPr>
        <a:xfrm>
          <a:off x="0" y="0"/>
          <a:ext cx="8629650" cy="428625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45720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marR="91440">
            <a:spcBef>
              <a:spcPts val="0"/>
            </a:spcBef>
            <a:spcAft>
              <a:spcPts val="0"/>
            </a:spcAft>
          </a:pPr>
          <a:r>
            <a:rPr lang="en-US" sz="2500" b="1">
              <a:solidFill>
                <a:srgbClr val="000000"/>
              </a:solidFill>
              <a:effectLst/>
              <a:ea typeface="Arial"/>
              <a:cs typeface="Times New Roman"/>
            </a:rPr>
            <a:t> </a:t>
          </a:r>
          <a:r>
            <a:rPr lang="en-US" sz="2500" b="1">
              <a:solidFill>
                <a:schemeClr val="bg1"/>
              </a:solidFill>
              <a:effectLst/>
              <a:ea typeface="Arial"/>
              <a:cs typeface="Times New Roman"/>
            </a:rPr>
            <a:t>Catalogues</a:t>
          </a:r>
        </a:p>
      </xdr:txBody>
    </xdr:sp>
    <xdr:clientData/>
  </xdr:twoCellAnchor>
  <xdr:twoCellAnchor>
    <xdr:from>
      <xdr:col>5</xdr:col>
      <xdr:colOff>952501</xdr:colOff>
      <xdr:row>0</xdr:row>
      <xdr:rowOff>0</xdr:rowOff>
    </xdr:from>
    <xdr:to>
      <xdr:col>7</xdr:col>
      <xdr:colOff>133351</xdr:colOff>
      <xdr:row>2</xdr:row>
      <xdr:rowOff>47625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95842B2C-18CB-4EEE-A553-83A4B1C7B8D8}"/>
            </a:ext>
          </a:extLst>
        </xdr:cNvPr>
        <xdr:cNvGrpSpPr/>
      </xdr:nvGrpSpPr>
      <xdr:grpSpPr>
        <a:xfrm>
          <a:off x="7143751" y="0"/>
          <a:ext cx="1323975" cy="428625"/>
          <a:chOff x="14230350" y="0"/>
          <a:chExt cx="1323975" cy="428625"/>
        </a:xfrm>
      </xdr:grpSpPr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97915ADD-E54B-47D1-9763-2E4F7980D3F9}"/>
              </a:ext>
            </a:extLst>
          </xdr:cNvPr>
          <xdr:cNvSpPr/>
        </xdr:nvSpPr>
        <xdr:spPr>
          <a:xfrm>
            <a:off x="14230350" y="0"/>
            <a:ext cx="1195959" cy="4286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n-US"/>
          </a:p>
        </xdr:txBody>
      </xdr:sp>
      <xdr:pic>
        <xdr:nvPicPr>
          <xdr:cNvPr id="5" name="Image 4">
            <a:extLst>
              <a:ext uri="{FF2B5EF4-FFF2-40B4-BE49-F238E27FC236}">
                <a16:creationId xmlns:a16="http://schemas.microsoft.com/office/drawing/2014/main" id="{55E68669-BEC8-4265-84E7-42C22221EA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859000" y="19051"/>
            <a:ext cx="695325" cy="39079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%20de%20commande%20travail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ser le suivi des factures"/>
      <sheetName val="1 Creation commande"/>
      <sheetName val="2 selection produits"/>
      <sheetName val="Bon de commande"/>
      <sheetName val="Fiche SITE"/>
      <sheetName val="Fiche Fournisseur"/>
      <sheetName val="liste deroulante"/>
      <sheetName val="commande BH Aout"/>
      <sheetName val="Maduruin aout Bureau"/>
      <sheetName val="Bon de commande travail v2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702CF45-B952-4BDA-8E65-155691B5FAB6}" name="FacturesPrincipal" displayName="FacturesPrincipal" ref="A4:J8" totalsRowCount="1">
  <autoFilter ref="A4:J7" xr:uid="{30B50E93-7824-4003-9D63-E84359BE78AB}"/>
  <tableColumns count="10">
    <tableColumn id="1" xr3:uid="{521D1A4E-6B06-4BCB-8BF0-C84571D7CFA1}" name="index" totalsRowLabel="Total" dataDxfId="74" totalsRowDxfId="32"/>
    <tableColumn id="4" xr3:uid="{261DE6C8-FC2F-4FB6-A8E8-B991346BCD59}" name="Site" dataDxfId="73" totalsRowDxfId="31"/>
    <tableColumn id="12" xr3:uid="{2EE4756A-FE4C-488D-BE81-AEC7235628AC}" name="Fournisseurs" dataDxfId="72" totalsRowDxfId="30"/>
    <tableColumn id="3" xr3:uid="{AC41CADD-94A4-4924-B915-7E58D6EFD3E5}" name="Date de la commande" dataDxfId="71" totalsRowDxfId="29"/>
    <tableColumn id="11" xr3:uid="{99DE7190-2B25-4913-BAE2-4345C267CE37}" name="N° commande" dataDxfId="70" totalsRowDxfId="28">
      <calculatedColumnFormula>VLOOKUP(FacturesPrincipal[Site],Listedesclients[],2,FALSE)&amp;"_"&amp;VLOOKUP(FacturesPrincipal[Fournisseurs],Tableau3[#All],2,FALSE)&amp;"_"&amp;TEXT(FacturesPrincipal[Date de la commande],"mmm")</calculatedColumnFormula>
    </tableColumn>
    <tableColumn id="8" xr3:uid="{01C994A2-6580-492D-A22B-3A9E588C4AC3}" name="Taux T.V.A." totalsRowDxfId="27"/>
    <tableColumn id="9" xr3:uid="{C9258947-FAD7-4A39-8CAD-83E9F1B01B45}" name="Autre" totalsRowFunction="sum" totalsRowDxfId="26"/>
    <tableColumn id="6" xr3:uid="{3080390C-CC89-44FA-9C25-B2CC3E411690}" name="Dépôt" totalsRowFunction="sum" dataDxfId="69" totalsRowDxfId="25"/>
    <tableColumn id="10" xr3:uid="{F09C3090-BCF5-4824-BB6D-43E7DDE25574}" name="Total de la facture" totalsRowFunction="sum" dataDxfId="68" totalsRowDxfId="24"/>
    <tableColumn id="5" xr3:uid="{B05CBAEA-84AA-4E06-8A5D-B2DDA5C04FC6}" name="Notes" totalsRowFunction="count" totalsRowDxfId="23"/>
  </tableColumns>
  <tableStyleInfo name="Sales Invoice Table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6A39C54-8638-46BC-AD1D-D4A76C05447C}" name="Listedesclients" displayName="Listedesclients" ref="B3:M11" totalsRowCount="1">
  <autoFilter ref="B3:M10" xr:uid="{AEFB5317-078C-47BE-BE29-93BBA5289C5E}"/>
  <tableColumns count="12">
    <tableColumn id="1" xr3:uid="{970427F9-154A-4B10-8906-4BECACA60D10}" name="Nom du site" dataDxfId="67" totalsRowDxfId="11"/>
    <tableColumn id="2" xr3:uid="{F1207CEB-AC03-4FC1-8F77-B3F57E599E79}" name="index" dataDxfId="66" totalsRowDxfId="10">
      <calculatedColumnFormula>LEFT(B4,3)&amp; " - "&amp;D4</calculatedColumnFormula>
    </tableColumn>
    <tableColumn id="12" xr3:uid="{9F5B5625-0849-44A4-8EA8-14641EA50D31}" name="Type" dataDxfId="65" totalsRowDxfId="9"/>
    <tableColumn id="3" xr3:uid="{F61BC713-571F-44D6-9E2D-204DA1625DF6}" name="Nom du contact" dataDxfId="64" totalsRowDxfId="8"/>
    <tableColumn id="4" xr3:uid="{CE7E1D62-85C5-40F7-B36B-587323654255}" name="Adresse" dataDxfId="63" totalsRowDxfId="7"/>
    <tableColumn id="5" xr3:uid="{24C5C55B-04ED-430C-B3A6-E9B9F0CE4E36}" name="Ville" dataDxfId="62" totalsRowDxfId="6"/>
    <tableColumn id="6" xr3:uid="{6928AC9C-CADD-4D3B-8AF8-852ED91C8DDE}" name="Département" dataDxfId="61" totalsRowDxfId="5"/>
    <tableColumn id="7" xr3:uid="{08E3A6EE-978F-4442-801E-9A70AB9AC771}" name="Code postal" dataDxfId="60" totalsRowDxfId="4"/>
    <tableColumn id="8" xr3:uid="{40DFA4F0-1CCB-4DEC-A121-D32BC0239AC5}" name="Téléphone" dataDxfId="59" totalsRowDxfId="3"/>
    <tableColumn id="10" xr3:uid="{C3B14C02-5046-420F-8476-C0719DC930DA}" name="E-mail" dataDxfId="58" totalsRowDxfId="2" dataCellStyle="Lien hypertexte"/>
    <tableColumn id="9" xr3:uid="{E8133EA8-600F-4813-8331-AE47B25EB89E}" name="Tel fixe" dataDxfId="57" totalsRowDxfId="1" dataCellStyle="Lien hypertexte"/>
    <tableColumn id="11" xr3:uid="{58BFA316-E37E-408F-8377-F4E9A29FB3BB}" name="Télécopie" totalsRowFunction="count" dataDxfId="56" totalsRowDxfId="0"/>
  </tableColumns>
  <tableStyleInfo name="Sales Invoice Table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99C562-02F1-4933-A2D1-B2A5EF6B978F}" name="Tableau3" displayName="Tableau3" ref="A4:L9" totalsRowShown="0" dataDxfId="55">
  <autoFilter ref="A4:L9" xr:uid="{BF7AEFDE-91BB-48AF-9DEE-A8079A8C7A03}"/>
  <tableColumns count="12">
    <tableColumn id="2" xr3:uid="{E06BA05A-723F-4693-961E-05A052174DE0}" name="Nom" dataDxfId="54"/>
    <tableColumn id="1" xr3:uid="{905C99BC-CD79-4DBE-92C9-21DE7E0F19BE}" name="Index" dataDxfId="53"/>
    <tableColumn id="3" xr3:uid="{F467812B-E058-44FA-8CBE-A96199F9C556}" name="Contact" dataDxfId="52"/>
    <tableColumn id="4" xr3:uid="{41343577-72A8-4839-845D-D8C90F8289F8}" name="Adresse" dataDxfId="51"/>
    <tableColumn id="5" xr3:uid="{2BBF8E8C-85A5-46D5-9E65-A65CC76E8E08}" name="C. Postal" dataDxfId="50"/>
    <tableColumn id="6" xr3:uid="{5746A04F-92E9-4C90-AEFF-56D2C56ECC86}" name="Ville" dataDxfId="49"/>
    <tableColumn id="7" xr3:uid="{210939A0-AC0D-419B-9DB0-72D01B59F4A6}" name="telephone" dataDxfId="48"/>
    <tableColumn id="8" xr3:uid="{FC3103FC-6696-4898-B4C7-3DC564769363}" name="Mail" dataDxfId="47"/>
    <tableColumn id="10" xr3:uid="{6F531556-8CE1-4B5D-A663-A4A4A2645997}" name="Site Web" dataDxfId="46"/>
    <tableColumn id="12" xr3:uid="{6EE9AE7B-4E94-42A8-A36C-7C07211AE5DF}" name="Frais de port" dataDxfId="45"/>
    <tableColumn id="11" xr3:uid="{43748FDD-C868-4B12-A4FE-12F4054D4609}" name="remise F." dataDxfId="44"/>
    <tableColumn id="9" xr3:uid="{675BB89F-11AF-403D-8644-3430CDDBEF7E}" name="Types" dataDxfId="43"/>
  </tableColumns>
  <tableStyleInfo name="TableStyleLight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A9D26D8-D517-4E86-AAA8-2E6BC46D4392}" name="Détailsfacture" displayName="Détailsfacture" ref="A5:H79" totalsRowShown="0" headerRowDxfId="42" dataDxfId="41">
  <autoFilter ref="A5:H79" xr:uid="{8A99577E-7D3E-47B0-859A-92719034D926}"/>
  <tableColumns count="8">
    <tableColumn id="3" xr3:uid="{36E7DC08-F1D1-42D4-BB34-EB8BD2083D7B}" name="fournisseur" dataDxfId="40" dataCellStyle="Lien hypertexte"/>
    <tableColumn id="2" xr3:uid="{41D1676B-5F3A-4E66-ABC8-D1A94B52810B}" name="Description" dataDxfId="39"/>
    <tableColumn id="4" xr3:uid="{A9E25E6F-CD6A-4108-822D-5129717CFC46}" name="Ref:" dataDxfId="38"/>
    <tableColumn id="5" xr3:uid="{2712911F-581C-4BE3-AAEA-F3C5BE75B93C}" name="Quantité"/>
    <tableColumn id="6" xr3:uid="{84369C32-C88B-45F8-AD98-ADBCD699D40B}" name="Prix unitaire" dataDxfId="37"/>
    <tableColumn id="1" xr3:uid="{803320E3-0926-494E-A87F-51CD75F509D2}" name="lien Produit" dataDxfId="36" dataCellStyle="Lien hypertexte"/>
    <tableColumn id="7" xr3:uid="{33131E7D-255C-4945-92E7-2D91CC1B98AD}" name="Groupe" dataDxfId="35"/>
    <tableColumn id="8" xr3:uid="{23727F9A-7F3A-40E7-85FE-80242FBE4D63}" name="N° commande" dataDxfId="34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0DF4A1-B22E-4564-A44F-9A7F3CCC77B8}" name="Tableau2" displayName="Tableau2" ref="A3:C21">
  <autoFilter ref="A3:C21" xr:uid="{C7B5CCE5-A0E4-47BD-BFE9-4959EDA7517B}"/>
  <tableColumns count="3">
    <tableColumn id="1" xr3:uid="{31DC3587-BEA2-4D66-8259-E6A476BD48D5}" name="Types de sites" totalsRowFunction="count"/>
    <tableColumn id="2" xr3:uid="{A037FBC8-7804-459A-81D5-9AC8A52F1C9C}" name="Type Fourn."/>
    <tableColumn id="3" xr3:uid="{6A6D51BC-6990-41FE-89DD-81ECD9AED1DB}" name="Type Fourn.2" dataDxfId="33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herve.deliot@maduruin.fr" TargetMode="External"/><Relationship Id="rId1" Type="http://schemas.openxmlformats.org/officeDocument/2006/relationships/hyperlink" Target="mailto:sophie_darbois@carrefour.com" TargetMode="External"/><Relationship Id="rId5" Type="http://schemas.openxmlformats.org/officeDocument/2006/relationships/table" Target="../tables/table3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best-hygiene.com/Balai-coco-29-cm-douille-a-vis_21_271_304.html" TargetMode="External"/><Relationship Id="rId18" Type="http://schemas.openxmlformats.org/officeDocument/2006/relationships/hyperlink" Target="http://www.best-hygiene.com/Balayette-coco-manche-long_21_79_319.html" TargetMode="External"/><Relationship Id="rId26" Type="http://schemas.openxmlformats.org/officeDocument/2006/relationships/hyperlink" Target="http://www.best-hygiene.com/Boite-100-Gants-vinyle-transparent-legerement-poudre-AQL-1-5_21_62_232.html" TargetMode="External"/><Relationship Id="rId39" Type="http://schemas.openxmlformats.org/officeDocument/2006/relationships/hyperlink" Target="http://www.maduruin.fr/Detail.aspx?ProductId=941778" TargetMode="External"/><Relationship Id="rId21" Type="http://schemas.openxmlformats.org/officeDocument/2006/relationships/hyperlink" Target="http://www.best-hygiene.com/Colis-500-sacs-poubelle-30L-BD-epaisseur-30-microns_21_29_122.html" TargetMode="External"/><Relationship Id="rId34" Type="http://schemas.openxmlformats.org/officeDocument/2006/relationships/hyperlink" Target="http://www.maduruin.fr/Detail.aspx?ProductId=795641" TargetMode="External"/><Relationship Id="rId42" Type="http://schemas.openxmlformats.org/officeDocument/2006/relationships/hyperlink" Target="http://www.maduruin.fr/Detail.aspx?ProductId=3864718" TargetMode="External"/><Relationship Id="rId47" Type="http://schemas.openxmlformats.org/officeDocument/2006/relationships/hyperlink" Target="http://www.maduruin.fr/Detail.aspx?SearchText=900389" TargetMode="External"/><Relationship Id="rId50" Type="http://schemas.openxmlformats.org/officeDocument/2006/relationships/hyperlink" Target="http://www.maduruin.fr/Detail.aspx?SearchText=962447" TargetMode="External"/><Relationship Id="rId55" Type="http://schemas.openxmlformats.org/officeDocument/2006/relationships/hyperlink" Target="http://www.maduruin.fr/Detail.aspx?ProductId=761631" TargetMode="External"/><Relationship Id="rId63" Type="http://schemas.openxmlformats.org/officeDocument/2006/relationships/hyperlink" Target="http://www.maduruin.fr/Detail.aspx?SearchText=208723" TargetMode="External"/><Relationship Id="rId68" Type="http://schemas.openxmlformats.org/officeDocument/2006/relationships/printerSettings" Target="../printerSettings/printerSettings2.bin"/><Relationship Id="rId7" Type="http://schemas.openxmlformats.org/officeDocument/2006/relationships/hyperlink" Target="http://www.best-hygiene.com/Bidon-5L-javel-9-6-36_21_189_611.html" TargetMode="External"/><Relationship Id="rId2" Type="http://schemas.openxmlformats.org/officeDocument/2006/relationships/hyperlink" Target="http://www.best-hygiene.com/Colis-28-rouleaux-essuie-tout-menager-2-plis-alimentaire-ECOLABEL_21_42_175.html" TargetMode="External"/><Relationship Id="rId16" Type="http://schemas.openxmlformats.org/officeDocument/2006/relationships/hyperlink" Target="http://www.best-hygiene.com/Manche-bois-avec-douille-a-vis_21_85_358.html" TargetMode="External"/><Relationship Id="rId29" Type="http://schemas.openxmlformats.org/officeDocument/2006/relationships/hyperlink" Target="http://www.maduruin.fr/Detail.aspx?ProductId=1087655" TargetMode="External"/><Relationship Id="rId1" Type="http://schemas.openxmlformats.org/officeDocument/2006/relationships/hyperlink" Target="http://www.best-hygiene.com/Colis-96-rouleaux-papier-toilette-180-feuilles-2-plis-blanc-ECOLABEL-biodegradable-Utilisable-en-fosse-septique_21_36_156.html" TargetMode="External"/><Relationship Id="rId6" Type="http://schemas.openxmlformats.org/officeDocument/2006/relationships/hyperlink" Target="http://www.best-hygiene.com/Bidon-5L-Detergent-Desodorisant-Desinfectant-3D_21_175_43.html?f1=D%C3%A9tergent%20D%C3%A9sodorisant%20D%C3%A9sinfectant%203D" TargetMode="External"/><Relationship Id="rId11" Type="http://schemas.openxmlformats.org/officeDocument/2006/relationships/hyperlink" Target="http://www.best-hygiene.com/Bidon-5L-Decapant-four_21_219_105.html" TargetMode="External"/><Relationship Id="rId24" Type="http://schemas.openxmlformats.org/officeDocument/2006/relationships/hyperlink" Target="http://www.best-hygiene.com/Bombe-500ml-INSECTICIDE-FOUDROYANT-CAFARDS-ARAIGNEES_21_178_598.html" TargetMode="External"/><Relationship Id="rId32" Type="http://schemas.openxmlformats.org/officeDocument/2006/relationships/hyperlink" Target="http://www.maduruin.fr/Detail.aspx?ProductID=445799" TargetMode="External"/><Relationship Id="rId37" Type="http://schemas.openxmlformats.org/officeDocument/2006/relationships/hyperlink" Target="http://www.maduruin.fr/Detail.aspx?ProductID=3864144" TargetMode="External"/><Relationship Id="rId40" Type="http://schemas.openxmlformats.org/officeDocument/2006/relationships/hyperlink" Target="http://www.maduruin.fr/Detail.aspx?ProductId=1519994" TargetMode="External"/><Relationship Id="rId45" Type="http://schemas.openxmlformats.org/officeDocument/2006/relationships/hyperlink" Target="http://www.maduruin.fr/Detail.aspx?SearchText=029834" TargetMode="External"/><Relationship Id="rId53" Type="http://schemas.openxmlformats.org/officeDocument/2006/relationships/hyperlink" Target="http://www.maduruin.fr/Detail.aspx?SearchText=915374" TargetMode="External"/><Relationship Id="rId58" Type="http://schemas.openxmlformats.org/officeDocument/2006/relationships/hyperlink" Target="http://www.maduruin.fr/Detail.aspx?SearchText=580690" TargetMode="External"/><Relationship Id="rId66" Type="http://schemas.openxmlformats.org/officeDocument/2006/relationships/hyperlink" Target="http://www.maduruin.fr/Detail.aspx?ProductId=458328" TargetMode="External"/><Relationship Id="rId5" Type="http://schemas.openxmlformats.org/officeDocument/2006/relationships/hyperlink" Target="http://www.best-hygiene.com/Sac-20kg-Lessive-linge-en-poudre-atomisee-super-active-desinfectante_21__69.html" TargetMode="External"/><Relationship Id="rId15" Type="http://schemas.openxmlformats.org/officeDocument/2006/relationships/hyperlink" Target="http://www.best-hygiene.com/Manche-en-bois-sans-douille-petit-diametre-pour-raclette-sol_21_85_357.html" TargetMode="External"/><Relationship Id="rId23" Type="http://schemas.openxmlformats.org/officeDocument/2006/relationships/hyperlink" Target="http://www.best-hygiene.com/Sacs-poubelle-100L-BD-noirs-Disponible-en-37-45-80-microns_21_201_130.html" TargetMode="External"/><Relationship Id="rId28" Type="http://schemas.openxmlformats.org/officeDocument/2006/relationships/hyperlink" Target="http://www.best-hygiene.com/Boite-100-Gants-vinyle-transparent-legerement-poudre-AQL-1-5_21_62_232.html" TargetMode="External"/><Relationship Id="rId36" Type="http://schemas.openxmlformats.org/officeDocument/2006/relationships/hyperlink" Target="http://www.maduruin.fr/Detail.aspx?ProductId=1520523" TargetMode="External"/><Relationship Id="rId49" Type="http://schemas.openxmlformats.org/officeDocument/2006/relationships/hyperlink" Target="http://www.maduruin.fr/Detail.aspx?SearchText=962450" TargetMode="External"/><Relationship Id="rId57" Type="http://schemas.openxmlformats.org/officeDocument/2006/relationships/hyperlink" Target="http://www.maduruin.fr/Detail.aspx?SearchText=961307" TargetMode="External"/><Relationship Id="rId61" Type="http://schemas.openxmlformats.org/officeDocument/2006/relationships/hyperlink" Target="http://www.maduruin.fr/Detail.aspx?SearchText=580771" TargetMode="External"/><Relationship Id="rId10" Type="http://schemas.openxmlformats.org/officeDocument/2006/relationships/hyperlink" Target="http://www.best-hygiene.com/Bouteille-1L-Gel-detartrant-WC_21_3_3.html" TargetMode="External"/><Relationship Id="rId19" Type="http://schemas.openxmlformats.org/officeDocument/2006/relationships/hyperlink" Target="http://www.best-hygiene.com/Raclette-sol-industrielle-mousse-rouge-45-cm_21_88_365.html" TargetMode="External"/><Relationship Id="rId31" Type="http://schemas.openxmlformats.org/officeDocument/2006/relationships/hyperlink" Target="http://www.maduruin.fr/Detail.aspx?ProductID=1072151" TargetMode="External"/><Relationship Id="rId44" Type="http://schemas.openxmlformats.org/officeDocument/2006/relationships/hyperlink" Target="http://www.maduruin.fr/Detail.aspx?ProductId=1087793" TargetMode="External"/><Relationship Id="rId52" Type="http://schemas.openxmlformats.org/officeDocument/2006/relationships/hyperlink" Target="http://www.maduruin.fr/Detail.aspx?ProductId=761592" TargetMode="External"/><Relationship Id="rId60" Type="http://schemas.openxmlformats.org/officeDocument/2006/relationships/hyperlink" Target="http://www.maduruin.fr/Detail.aspx?SearchText=580798" TargetMode="External"/><Relationship Id="rId65" Type="http://schemas.openxmlformats.org/officeDocument/2006/relationships/hyperlink" Target="http://www.maduruin.fr/Detail.aspx?ProductId=57848" TargetMode="External"/><Relationship Id="rId4" Type="http://schemas.openxmlformats.org/officeDocument/2006/relationships/hyperlink" Target="http://www.best-hygiene.com/Sac-20kg-Lessive-linge-en-poudre-tout-textile-sans-phosphate_21_18_68.html" TargetMode="External"/><Relationship Id="rId9" Type="http://schemas.openxmlformats.org/officeDocument/2006/relationships/hyperlink" Target="http://www.best-hygiene.com/Bidon-5L-nettoyant-vitre_21_188_617.html" TargetMode="External"/><Relationship Id="rId14" Type="http://schemas.openxmlformats.org/officeDocument/2006/relationships/hyperlink" Target="http://www.best-hygiene.com/Frange-espagnole-coton-160-gr_21_80_326.html" TargetMode="External"/><Relationship Id="rId22" Type="http://schemas.openxmlformats.org/officeDocument/2006/relationships/hyperlink" Target="http://www.best-hygiene.com/Colis-500-sacs-poubelle-50L-BD-noirs-ou-blancs_21_29_125.html" TargetMode="External"/><Relationship Id="rId27" Type="http://schemas.openxmlformats.org/officeDocument/2006/relationships/hyperlink" Target="http://www.best-hygiene.com/Boite-100-Gants-vinyle-transparent-non-poudre-AQL-1-5_21_62_236.html" TargetMode="External"/><Relationship Id="rId30" Type="http://schemas.openxmlformats.org/officeDocument/2006/relationships/hyperlink" Target="http://www.maduruin.fr/Detail.aspx?ProductId=1070440" TargetMode="External"/><Relationship Id="rId35" Type="http://schemas.openxmlformats.org/officeDocument/2006/relationships/hyperlink" Target="http://www.maduruin.fr/Detail.aspx?ProductId=60375" TargetMode="External"/><Relationship Id="rId43" Type="http://schemas.openxmlformats.org/officeDocument/2006/relationships/hyperlink" Target="http://www.maduruin.fr/Detail.aspx?SearchText=688658" TargetMode="External"/><Relationship Id="rId48" Type="http://schemas.openxmlformats.org/officeDocument/2006/relationships/hyperlink" Target="http://www.maduruin.fr/Detail.aspx?SearchText=963688" TargetMode="External"/><Relationship Id="rId56" Type="http://schemas.openxmlformats.org/officeDocument/2006/relationships/hyperlink" Target="http://www.maduruin.fr/Detail.aspx?ProductId=2498135" TargetMode="External"/><Relationship Id="rId64" Type="http://schemas.openxmlformats.org/officeDocument/2006/relationships/hyperlink" Target="http://www.maduruin.fr/Detail.aspx?SearchText=208691" TargetMode="External"/><Relationship Id="rId69" Type="http://schemas.openxmlformats.org/officeDocument/2006/relationships/drawing" Target="../drawings/drawing4.xml"/><Relationship Id="rId8" Type="http://schemas.openxmlformats.org/officeDocument/2006/relationships/hyperlink" Target="http://www.best-hygiene.com/Flacon-500ml-nettoyant-vitre_21_188_618.html" TargetMode="External"/><Relationship Id="rId51" Type="http://schemas.openxmlformats.org/officeDocument/2006/relationships/hyperlink" Target="http://www.maduruin.fr/Detail.aspx?ProductId=3227017" TargetMode="External"/><Relationship Id="rId3" Type="http://schemas.openxmlformats.org/officeDocument/2006/relationships/hyperlink" Target="http://www.best-hygiene.com/Colis-40-Boites-de-100-mouchoirs-2-epaisseurs-blanc-100-ouate-ECOLABEL_21_46_190.html" TargetMode="External"/><Relationship Id="rId12" Type="http://schemas.openxmlformats.org/officeDocument/2006/relationships/hyperlink" Target="http://www.best-hygiene.com/Balai-coco-80-cm-douille-metal_21_271_307.html" TargetMode="External"/><Relationship Id="rId17" Type="http://schemas.openxmlformats.org/officeDocument/2006/relationships/hyperlink" Target="http://www.best-hygiene.com/Pelle-metal_21_79_324.html" TargetMode="External"/><Relationship Id="rId25" Type="http://schemas.openxmlformats.org/officeDocument/2006/relationships/hyperlink" Target="http://www.best-hygiene.com/Paire-Gant-menage_21_62_252.html" TargetMode="External"/><Relationship Id="rId33" Type="http://schemas.openxmlformats.org/officeDocument/2006/relationships/hyperlink" Target="http://www.maduruin.fr/Detail.aspx?ProductId=888695" TargetMode="External"/><Relationship Id="rId38" Type="http://schemas.openxmlformats.org/officeDocument/2006/relationships/hyperlink" Target="http://www.maduruin.fr/Detail.aspx?ProductId=58017" TargetMode="External"/><Relationship Id="rId46" Type="http://schemas.openxmlformats.org/officeDocument/2006/relationships/hyperlink" Target="http://www.maduruin.fr/Detail.aspx?SearchText=925044" TargetMode="External"/><Relationship Id="rId59" Type="http://schemas.openxmlformats.org/officeDocument/2006/relationships/hyperlink" Target="http://www.maduruin.fr/Detail.aspx?SearchText=580712" TargetMode="External"/><Relationship Id="rId67" Type="http://schemas.openxmlformats.org/officeDocument/2006/relationships/hyperlink" Target="http://www.maduruin.fr/Detail.aspx?ProductId=4889385" TargetMode="External"/><Relationship Id="rId20" Type="http://schemas.openxmlformats.org/officeDocument/2006/relationships/hyperlink" Target="http://www.best-hygiene.com/Ensemble-wc-balayette-socle_21_115_20.html" TargetMode="External"/><Relationship Id="rId41" Type="http://schemas.openxmlformats.org/officeDocument/2006/relationships/hyperlink" Target="http://www.maduruin.fr/Detail.aspx?ProductId=571704" TargetMode="External"/><Relationship Id="rId54" Type="http://schemas.openxmlformats.org/officeDocument/2006/relationships/hyperlink" Target="http://www.maduruin.fr/Detail.aspx?ProductId=487945" TargetMode="External"/><Relationship Id="rId62" Type="http://schemas.openxmlformats.org/officeDocument/2006/relationships/hyperlink" Target="http://www.maduruin.fr/Detail.aspx?SearchText=208683" TargetMode="External"/><Relationship Id="rId70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F28DE-145D-4B4A-85DB-45EED5648931}">
  <dimension ref="A1:J8"/>
  <sheetViews>
    <sheetView workbookViewId="0">
      <selection activeCell="A7" sqref="A7:XFD7"/>
    </sheetView>
  </sheetViews>
  <sheetFormatPr baseColWidth="10" defaultRowHeight="15" x14ac:dyDescent="0.25"/>
  <cols>
    <col min="3" max="3" width="13.5703125" bestFit="1" customWidth="1"/>
    <col min="4" max="4" width="16.28515625" bestFit="1" customWidth="1"/>
    <col min="5" max="5" width="22.42578125" customWidth="1"/>
    <col min="9" max="9" width="17.5703125" bestFit="1" customWidth="1"/>
  </cols>
  <sheetData>
    <row r="1" spans="1:10" x14ac:dyDescent="0.25">
      <c r="A1" s="1"/>
      <c r="B1" s="1"/>
      <c r="C1" s="1"/>
      <c r="D1" s="1"/>
      <c r="E1" s="1"/>
      <c r="F1" s="53"/>
      <c r="G1" s="53"/>
      <c r="H1" s="53"/>
      <c r="I1" s="53"/>
      <c r="J1" s="1"/>
    </row>
    <row r="2" spans="1:10" ht="21" x14ac:dyDescent="0.25">
      <c r="A2" s="54" t="s">
        <v>266</v>
      </c>
      <c r="B2" s="1"/>
      <c r="C2" s="1"/>
      <c r="D2" s="1"/>
      <c r="E2" s="1"/>
      <c r="F2" s="53"/>
      <c r="G2" s="53"/>
      <c r="H2" s="53"/>
      <c r="I2" s="53"/>
      <c r="J2" s="1"/>
    </row>
    <row r="3" spans="1:10" ht="5.0999999999999996" customHeight="1" x14ac:dyDescent="0.25">
      <c r="A3" s="54"/>
      <c r="B3" s="1"/>
      <c r="C3" s="1"/>
      <c r="D3" s="1"/>
      <c r="E3" s="1"/>
      <c r="F3" s="53"/>
      <c r="G3" s="53"/>
      <c r="H3" s="53"/>
      <c r="I3" s="53"/>
      <c r="J3" s="1"/>
    </row>
    <row r="4" spans="1:10" x14ac:dyDescent="0.25">
      <c r="A4" s="2" t="s">
        <v>33</v>
      </c>
      <c r="B4" s="1" t="s">
        <v>274</v>
      </c>
      <c r="C4" s="2" t="s">
        <v>275</v>
      </c>
      <c r="D4" s="2" t="s">
        <v>267</v>
      </c>
      <c r="E4" s="2" t="s">
        <v>315</v>
      </c>
      <c r="F4" s="55" t="s">
        <v>268</v>
      </c>
      <c r="G4" s="55" t="s">
        <v>269</v>
      </c>
      <c r="H4" s="55" t="s">
        <v>270</v>
      </c>
      <c r="I4" s="55" t="s">
        <v>271</v>
      </c>
      <c r="J4" s="2" t="s">
        <v>272</v>
      </c>
    </row>
    <row r="5" spans="1:10" x14ac:dyDescent="0.25">
      <c r="A5" s="3">
        <v>3</v>
      </c>
      <c r="B5" s="2" t="s">
        <v>11</v>
      </c>
      <c r="C5" s="3" t="s">
        <v>50</v>
      </c>
      <c r="D5" s="56">
        <v>43193</v>
      </c>
      <c r="E5" s="3" t="str">
        <f>VLOOKUP(FacturesPrincipal[Site],Listedesclients[],2,FALSE)&amp;"_"&amp;VLOOKUP(FacturesPrincipal[Fournisseurs],Tableau3[#All],2,FALSE)&amp;"_"&amp;TEXT(FacturesPrincipal[Date de la commande],"mmm")</f>
        <v>Ost - CHU_BEST_avr</v>
      </c>
      <c r="F5" s="55"/>
      <c r="G5" s="55"/>
      <c r="H5" s="118"/>
      <c r="I5" s="118"/>
      <c r="J5" s="2"/>
    </row>
    <row r="6" spans="1:10" x14ac:dyDescent="0.25">
      <c r="A6" s="3">
        <v>2</v>
      </c>
      <c r="B6" s="2" t="s">
        <v>17</v>
      </c>
      <c r="C6" s="3" t="s">
        <v>71</v>
      </c>
      <c r="D6" s="56">
        <v>43098</v>
      </c>
      <c r="E6" s="3" t="str">
        <f>VLOOKUP(FacturesPrincipal[Site],Listedesclients[],2,FALSE)&amp;"_"&amp;VLOOKUP(FacturesPrincipal[Fournisseurs],Tableau3[#All],2,FALSE)&amp;"_"&amp;TEXT(FacturesPrincipal[Date de la commande],"mmm")</f>
        <v>Bou - CHRS_CARR_déc</v>
      </c>
      <c r="F6" s="57"/>
      <c r="G6" s="58"/>
      <c r="H6" s="58"/>
      <c r="I6" s="58"/>
      <c r="J6" s="59"/>
    </row>
    <row r="7" spans="1:10" x14ac:dyDescent="0.25">
      <c r="A7" s="3">
        <v>1</v>
      </c>
      <c r="B7" s="2" t="s">
        <v>11</v>
      </c>
      <c r="C7" s="3" t="s">
        <v>69</v>
      </c>
      <c r="D7" s="56">
        <v>43067</v>
      </c>
      <c r="E7" s="3" t="str">
        <f>VLOOKUP(FacturesPrincipal[Site],Listedesclients[],2,FALSE)&amp;"_"&amp;VLOOKUP(FacturesPrincipal[Fournisseurs],Tableau3[#All],2,FALSE)&amp;"_"&amp;TEXT(FacturesPrincipal[Date de la commande],"mmm")</f>
        <v>Ost - CHU_MADU_nov</v>
      </c>
      <c r="F7" s="57">
        <v>0.19600000000000001</v>
      </c>
      <c r="G7" s="58">
        <v>0</v>
      </c>
      <c r="H7" s="58">
        <v>0</v>
      </c>
      <c r="I7" s="58"/>
      <c r="J7" s="59"/>
    </row>
    <row r="8" spans="1:10" x14ac:dyDescent="0.25">
      <c r="A8" s="60" t="s">
        <v>273</v>
      </c>
      <c r="B8" s="62"/>
      <c r="C8" s="60"/>
      <c r="D8" s="61"/>
      <c r="E8" s="4"/>
      <c r="F8" s="63"/>
      <c r="G8" s="64">
        <f>SUBTOTAL(109,FacturesPrincipal[Autre])</f>
        <v>0</v>
      </c>
      <c r="H8" s="64">
        <f>SUBTOTAL(109,FacturesPrincipal[Dépôt])</f>
        <v>0</v>
      </c>
      <c r="I8" s="64">
        <f>SUBTOTAL(109,FacturesPrincipal[Total de la facture])</f>
        <v>0</v>
      </c>
      <c r="J8" s="65">
        <f>SUBTOTAL(103,FacturesPrincipal[Notes])</f>
        <v>0</v>
      </c>
    </row>
  </sheetData>
  <conditionalFormatting sqref="E4:E7">
    <cfRule type="duplicateValues" dxfId="12" priority="7"/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EBB2CD8-851F-498E-B5DF-C9519E6DA6D5}">
          <x14:formula1>
            <xm:f>Site!$B$4:$B$10</xm:f>
          </x14:formula1>
          <xm:sqref>B4:B7</xm:sqref>
        </x14:dataValidation>
        <x14:dataValidation type="list" allowBlank="1" showInputMessage="1" showErrorMessage="1" xr:uid="{60E83977-2013-47FF-9BAA-EC03E3B3A898}">
          <x14:formula1>
            <xm:f>fournisseurs!$A$5:$A$9</xm:f>
          </x14:formula1>
          <xm:sqref>C4:C7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3C179-2AE5-4830-9DB2-1606A9C64B6A}">
  <dimension ref="B1:M11"/>
  <sheetViews>
    <sheetView topLeftCell="F1" workbookViewId="0">
      <selection activeCell="O7" sqref="O7"/>
    </sheetView>
  </sheetViews>
  <sheetFormatPr baseColWidth="10" defaultColWidth="9.140625" defaultRowHeight="18.75" customHeight="1" x14ac:dyDescent="0.25"/>
  <cols>
    <col min="1" max="1" width="2.140625" style="1" customWidth="1"/>
    <col min="2" max="2" width="14" style="5" bestFit="1" customWidth="1"/>
    <col min="3" max="3" width="14" style="5" customWidth="1"/>
    <col min="4" max="4" width="8.28515625" style="1" bestFit="1" customWidth="1"/>
    <col min="5" max="5" width="22.28515625" style="1" customWidth="1"/>
    <col min="6" max="6" width="26.7109375" style="1" customWidth="1"/>
    <col min="7" max="7" width="17.28515625" style="1" customWidth="1"/>
    <col min="8" max="8" width="12" style="1" customWidth="1"/>
    <col min="9" max="9" width="13.140625" style="6" customWidth="1"/>
    <col min="10" max="10" width="14.85546875" style="1" customWidth="1"/>
    <col min="11" max="11" width="27.5703125" style="1" bestFit="1" customWidth="1"/>
    <col min="12" max="12" width="27.5703125" style="1" customWidth="1"/>
    <col min="13" max="13" width="15.28515625" style="6" customWidth="1"/>
    <col min="14" max="16384" width="9.140625" style="1"/>
  </cols>
  <sheetData>
    <row r="1" spans="2:13" ht="20.100000000000001" customHeight="1" x14ac:dyDescent="0.25">
      <c r="D1" s="120"/>
    </row>
    <row r="2" spans="2:13" ht="20.100000000000001" customHeight="1" x14ac:dyDescent="0.25">
      <c r="B2" s="7"/>
      <c r="C2" s="7"/>
      <c r="D2" s="120"/>
    </row>
    <row r="3" spans="2:13" s="11" customFormat="1" ht="15" x14ac:dyDescent="0.25">
      <c r="B3" s="8" t="s">
        <v>1</v>
      </c>
      <c r="C3" s="8" t="s">
        <v>33</v>
      </c>
      <c r="D3" s="8" t="s">
        <v>0</v>
      </c>
      <c r="E3" s="8" t="s">
        <v>2</v>
      </c>
      <c r="F3" s="8" t="s">
        <v>3</v>
      </c>
      <c r="G3" s="8" t="s">
        <v>4</v>
      </c>
      <c r="H3" s="8" t="s">
        <v>5</v>
      </c>
      <c r="I3" s="10" t="s">
        <v>6</v>
      </c>
      <c r="J3" s="2" t="s">
        <v>7</v>
      </c>
      <c r="K3" s="2" t="s">
        <v>8</v>
      </c>
      <c r="L3" s="113" t="s">
        <v>314</v>
      </c>
      <c r="M3" s="2" t="s">
        <v>9</v>
      </c>
    </row>
    <row r="4" spans="2:13" ht="15.95" customHeight="1" x14ac:dyDescent="0.2">
      <c r="B4" s="13" t="s">
        <v>11</v>
      </c>
      <c r="C4" s="1" t="str">
        <f t="shared" ref="C4:C10" si="0">LEFT(B4,3)&amp; " - "&amp;D4</f>
        <v>Ost - CHU</v>
      </c>
      <c r="D4" s="3" t="s">
        <v>10</v>
      </c>
      <c r="E4" s="13" t="s">
        <v>12</v>
      </c>
      <c r="F4" s="13" t="s">
        <v>13</v>
      </c>
      <c r="G4" s="13" t="s">
        <v>14</v>
      </c>
      <c r="H4" s="13" t="s">
        <v>15</v>
      </c>
      <c r="I4" s="14">
        <v>69140</v>
      </c>
      <c r="J4" s="15"/>
      <c r="K4" s="16"/>
      <c r="L4" s="114"/>
      <c r="M4" s="12"/>
    </row>
    <row r="5" spans="2:13" ht="15.95" customHeight="1" x14ac:dyDescent="0.25">
      <c r="B5" s="13" t="s">
        <v>17</v>
      </c>
      <c r="C5" s="1" t="str">
        <f t="shared" si="0"/>
        <v>Bou - CHRS</v>
      </c>
      <c r="D5" s="3" t="s">
        <v>16</v>
      </c>
      <c r="E5" s="13" t="s">
        <v>18</v>
      </c>
      <c r="F5" s="4" t="s">
        <v>19</v>
      </c>
      <c r="G5" s="13" t="s">
        <v>20</v>
      </c>
      <c r="H5" s="13" t="s">
        <v>21</v>
      </c>
      <c r="I5" s="14">
        <v>38300</v>
      </c>
      <c r="J5" s="20"/>
      <c r="K5" s="4"/>
      <c r="L5" s="20"/>
      <c r="M5" s="12"/>
    </row>
    <row r="6" spans="2:13" ht="15.95" customHeight="1" x14ac:dyDescent="0.25">
      <c r="B6" s="13" t="s">
        <v>45</v>
      </c>
      <c r="C6" s="1" t="str">
        <f t="shared" si="0"/>
        <v>Cre - CHU</v>
      </c>
      <c r="D6" s="3" t="s">
        <v>10</v>
      </c>
      <c r="E6" s="13" t="s">
        <v>35</v>
      </c>
      <c r="F6" t="s">
        <v>41</v>
      </c>
      <c r="G6" s="13" t="s">
        <v>29</v>
      </c>
      <c r="H6" s="13" t="s">
        <v>47</v>
      </c>
      <c r="I6" s="14">
        <v>21000</v>
      </c>
      <c r="J6" s="20"/>
      <c r="K6" s="19"/>
      <c r="L6" s="115"/>
      <c r="M6" s="12"/>
    </row>
    <row r="7" spans="2:13" ht="15.95" customHeight="1" x14ac:dyDescent="0.25">
      <c r="B7" s="13" t="s">
        <v>37</v>
      </c>
      <c r="C7" s="1" t="str">
        <f t="shared" si="0"/>
        <v>Caf - CHU</v>
      </c>
      <c r="D7" s="3" t="s">
        <v>10</v>
      </c>
      <c r="E7" s="13" t="s">
        <v>36</v>
      </c>
      <c r="F7" t="s">
        <v>44</v>
      </c>
      <c r="G7" s="13" t="s">
        <v>30</v>
      </c>
      <c r="H7" s="13" t="s">
        <v>46</v>
      </c>
      <c r="I7" s="14">
        <v>14000</v>
      </c>
      <c r="J7" s="20"/>
      <c r="K7" s="18"/>
      <c r="L7" s="116"/>
      <c r="M7" s="12"/>
    </row>
    <row r="8" spans="2:13" ht="15.95" customHeight="1" x14ac:dyDescent="0.25">
      <c r="B8" s="13" t="s">
        <v>38</v>
      </c>
      <c r="C8" s="1" t="str">
        <f t="shared" si="0"/>
        <v>Mar - CHU</v>
      </c>
      <c r="D8" s="3" t="s">
        <v>10</v>
      </c>
      <c r="E8" s="13" t="s">
        <v>40</v>
      </c>
      <c r="F8" s="13" t="s">
        <v>39</v>
      </c>
      <c r="G8" s="13" t="s">
        <v>31</v>
      </c>
      <c r="H8" s="13" t="s">
        <v>34</v>
      </c>
      <c r="I8" s="14">
        <v>34000</v>
      </c>
      <c r="J8" s="20"/>
      <c r="K8" s="18"/>
      <c r="L8" s="116"/>
      <c r="M8" s="12"/>
    </row>
    <row r="9" spans="2:13" ht="15.95" customHeight="1" x14ac:dyDescent="0.25">
      <c r="B9" s="13"/>
      <c r="C9" s="1" t="str">
        <f t="shared" si="0"/>
        <v xml:space="preserve"> - SAEL</v>
      </c>
      <c r="D9" s="3" t="s">
        <v>77</v>
      </c>
      <c r="E9" s="13"/>
      <c r="F9" s="13"/>
      <c r="G9" s="13" t="s">
        <v>32</v>
      </c>
      <c r="H9" s="13"/>
      <c r="I9" s="14"/>
      <c r="J9" s="20"/>
      <c r="K9" s="18"/>
      <c r="L9" s="116"/>
      <c r="M9" s="12"/>
    </row>
    <row r="10" spans="2:13" ht="15.95" customHeight="1" x14ac:dyDescent="0.25">
      <c r="B10" s="13"/>
      <c r="C10" s="1" t="str">
        <f t="shared" si="0"/>
        <v xml:space="preserve"> - CAO</v>
      </c>
      <c r="D10" s="3" t="s">
        <v>23</v>
      </c>
      <c r="E10" s="13" t="s">
        <v>43</v>
      </c>
      <c r="F10" s="13" t="s">
        <v>48</v>
      </c>
      <c r="G10" s="13" t="s">
        <v>30</v>
      </c>
      <c r="H10" s="13" t="s">
        <v>42</v>
      </c>
      <c r="I10" s="14">
        <v>14000</v>
      </c>
      <c r="J10" s="20"/>
      <c r="K10" s="18"/>
      <c r="L10" s="116"/>
      <c r="M10" s="12"/>
    </row>
    <row r="11" spans="2:13" ht="12.75" x14ac:dyDescent="0.2">
      <c r="B11" s="9"/>
      <c r="C11" s="9"/>
      <c r="D11" s="9"/>
      <c r="J11" s="17"/>
      <c r="M11" s="17">
        <f>SUBTOTAL(103,Listedesclients[Télécopie])</f>
        <v>0</v>
      </c>
    </row>
  </sheetData>
  <mergeCells count="1">
    <mergeCell ref="D1:D2"/>
  </mergeCells>
  <conditionalFormatting sqref="D4:D10">
    <cfRule type="duplicateValues" dxfId="22" priority="1"/>
  </conditionalFormatting>
  <conditionalFormatting sqref="B4:B10">
    <cfRule type="duplicateValues" dxfId="21" priority="2"/>
  </conditionalFormatting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7A5165-0695-4E04-9A56-4B0EE544A5C9}">
          <x14:formula1>
            <xm:f>L.D.!$A$4:$A$11</xm:f>
          </x14:formula1>
          <xm:sqref>D4:D10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DD47-AD76-4715-9988-978A21D61154}">
  <dimension ref="A4:L9"/>
  <sheetViews>
    <sheetView workbookViewId="0">
      <selection activeCell="C20" sqref="C20"/>
    </sheetView>
  </sheetViews>
  <sheetFormatPr baseColWidth="10" defaultRowHeight="15" x14ac:dyDescent="0.25"/>
  <cols>
    <col min="1" max="1" width="12.85546875" bestFit="1" customWidth="1"/>
    <col min="2" max="2" width="11.5703125" customWidth="1"/>
    <col min="3" max="3" width="23.28515625" customWidth="1"/>
    <col min="4" max="4" width="27" customWidth="1"/>
    <col min="5" max="5" width="10.85546875" bestFit="1" customWidth="1"/>
    <col min="6" max="6" width="12.140625" bestFit="1" customWidth="1"/>
    <col min="7" max="7" width="12.7109375" bestFit="1" customWidth="1"/>
    <col min="8" max="8" width="31.85546875" customWidth="1"/>
    <col min="9" max="9" width="39.85546875" bestFit="1" customWidth="1"/>
    <col min="10" max="10" width="25.7109375" customWidth="1"/>
    <col min="11" max="11" width="11.42578125" bestFit="1" customWidth="1"/>
  </cols>
  <sheetData>
    <row r="4" spans="1:12" x14ac:dyDescent="0.25">
      <c r="A4" t="s">
        <v>54</v>
      </c>
      <c r="B4" t="s">
        <v>28</v>
      </c>
      <c r="C4" t="s">
        <v>55</v>
      </c>
      <c r="D4" t="s">
        <v>3</v>
      </c>
      <c r="E4" t="s">
        <v>282</v>
      </c>
      <c r="F4" t="s">
        <v>4</v>
      </c>
      <c r="G4" t="s">
        <v>56</v>
      </c>
      <c r="H4" t="s">
        <v>57</v>
      </c>
      <c r="I4" t="s">
        <v>58</v>
      </c>
      <c r="J4" t="s">
        <v>304</v>
      </c>
      <c r="K4" t="s">
        <v>305</v>
      </c>
      <c r="L4" t="s">
        <v>59</v>
      </c>
    </row>
    <row r="5" spans="1:12" s="22" customFormat="1" ht="30.75" customHeight="1" x14ac:dyDescent="0.25">
      <c r="A5" s="22" t="s">
        <v>50</v>
      </c>
      <c r="B5" s="22" t="s">
        <v>312</v>
      </c>
      <c r="C5" s="22" t="s">
        <v>55</v>
      </c>
      <c r="D5" s="23" t="s">
        <v>51</v>
      </c>
      <c r="E5" s="22">
        <v>40400</v>
      </c>
      <c r="F5" s="21" t="s">
        <v>52</v>
      </c>
      <c r="G5" s="24" t="s">
        <v>56</v>
      </c>
      <c r="H5" s="22" t="s">
        <v>53</v>
      </c>
      <c r="I5" s="22" t="s">
        <v>281</v>
      </c>
      <c r="J5" s="22" t="s">
        <v>307</v>
      </c>
      <c r="K5" s="110"/>
      <c r="L5" s="22" t="s">
        <v>49</v>
      </c>
    </row>
    <row r="6" spans="1:12" ht="30" x14ac:dyDescent="0.25">
      <c r="A6" s="22" t="s">
        <v>69</v>
      </c>
      <c r="B6" s="22" t="s">
        <v>308</v>
      </c>
      <c r="C6" s="22" t="s">
        <v>278</v>
      </c>
      <c r="D6" s="23" t="s">
        <v>276</v>
      </c>
      <c r="E6" s="22">
        <v>69120</v>
      </c>
      <c r="F6" s="21" t="s">
        <v>277</v>
      </c>
      <c r="G6" s="24">
        <v>472523323</v>
      </c>
      <c r="H6" s="25" t="s">
        <v>279</v>
      </c>
      <c r="I6" s="22" t="s">
        <v>280</v>
      </c>
      <c r="J6" s="22"/>
      <c r="K6" s="110"/>
      <c r="L6" s="22" t="s">
        <v>61</v>
      </c>
    </row>
    <row r="7" spans="1:12" ht="30" x14ac:dyDescent="0.25">
      <c r="A7" s="22" t="s">
        <v>71</v>
      </c>
      <c r="B7" s="22" t="s">
        <v>309</v>
      </c>
      <c r="C7" s="22" t="s">
        <v>70</v>
      </c>
      <c r="D7" s="23" t="s">
        <v>74</v>
      </c>
      <c r="E7" s="22">
        <v>91002</v>
      </c>
      <c r="F7" s="21" t="s">
        <v>73</v>
      </c>
      <c r="G7" s="24">
        <v>784394122</v>
      </c>
      <c r="H7" s="25" t="s">
        <v>72</v>
      </c>
      <c r="I7" s="22"/>
      <c r="J7" s="111">
        <v>6.88</v>
      </c>
      <c r="K7" s="110">
        <v>-0.04</v>
      </c>
      <c r="L7" s="22" t="s">
        <v>63</v>
      </c>
    </row>
    <row r="8" spans="1:12" x14ac:dyDescent="0.25">
      <c r="A8" s="22" t="s">
        <v>75</v>
      </c>
      <c r="B8" s="22" t="s">
        <v>310</v>
      </c>
      <c r="C8" s="22"/>
      <c r="D8" s="23"/>
      <c r="E8" s="22"/>
      <c r="F8" s="21"/>
      <c r="G8" s="24"/>
      <c r="H8" s="22"/>
      <c r="I8" s="22"/>
      <c r="J8" s="22"/>
      <c r="K8" s="110"/>
      <c r="L8" s="22" t="s">
        <v>66</v>
      </c>
    </row>
    <row r="9" spans="1:12" x14ac:dyDescent="0.25">
      <c r="A9" s="22" t="s">
        <v>76</v>
      </c>
      <c r="B9" s="22" t="s">
        <v>311</v>
      </c>
      <c r="C9" s="22"/>
      <c r="D9" s="23"/>
      <c r="E9" s="22"/>
      <c r="F9" s="21"/>
      <c r="G9" s="24"/>
      <c r="H9" s="22"/>
      <c r="I9" s="22"/>
      <c r="J9" s="22"/>
      <c r="K9" s="110"/>
      <c r="L9" s="22" t="s">
        <v>64</v>
      </c>
    </row>
  </sheetData>
  <hyperlinks>
    <hyperlink ref="H7" r:id="rId1" xr:uid="{BC7A1115-9810-47B2-B0E1-C2391B387DDF}"/>
    <hyperlink ref="H6" r:id="rId2" xr:uid="{A9EA4261-73F9-4137-A970-80F770417748}"/>
  </hyperlinks>
  <pageMargins left="0.7" right="0.7" top="0.75" bottom="0.75" header="0.3" footer="0.3"/>
  <pageSetup paperSize="9" orientation="portrait" verticalDpi="300" r:id="rId3"/>
  <drawing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C045880-4AB0-49EC-82BF-AF64C2B820FE}">
          <x14:formula1>
            <xm:f>L.D.!$B$4:$B$12</xm:f>
          </x14:formula1>
          <xm:sqref>L5:L9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7B524-8F48-4622-A0FA-FFD0DCEDAC0D}">
  <dimension ref="A5:H79"/>
  <sheetViews>
    <sheetView workbookViewId="0">
      <selection activeCell="H52" sqref="H52"/>
    </sheetView>
  </sheetViews>
  <sheetFormatPr baseColWidth="10" defaultRowHeight="15" x14ac:dyDescent="0.25"/>
  <cols>
    <col min="1" max="1" width="13.5703125" style="29" bestFit="1" customWidth="1"/>
    <col min="2" max="2" width="40.7109375" bestFit="1" customWidth="1"/>
    <col min="5" max="5" width="15.7109375" customWidth="1"/>
    <col min="6" max="6" width="16" bestFit="1" customWidth="1"/>
    <col min="7" max="7" width="16.140625" customWidth="1"/>
    <col min="8" max="8" width="15.85546875" customWidth="1"/>
  </cols>
  <sheetData>
    <row r="5" spans="1:8" x14ac:dyDescent="0.25">
      <c r="A5" s="27" t="s">
        <v>82</v>
      </c>
      <c r="B5" s="28" t="s">
        <v>78</v>
      </c>
      <c r="C5" s="26" t="s">
        <v>303</v>
      </c>
      <c r="D5" s="26" t="s">
        <v>283</v>
      </c>
      <c r="E5" s="26" t="s">
        <v>79</v>
      </c>
      <c r="F5" s="27" t="s">
        <v>81</v>
      </c>
      <c r="G5" s="27" t="s">
        <v>83</v>
      </c>
      <c r="H5" s="119" t="s">
        <v>315</v>
      </c>
    </row>
    <row r="6" spans="1:8" s="30" customFormat="1" ht="11.25" x14ac:dyDescent="0.2">
      <c r="A6" s="35" t="s">
        <v>50</v>
      </c>
      <c r="B6" s="31" t="s">
        <v>84</v>
      </c>
      <c r="C6" s="32" t="s">
        <v>85</v>
      </c>
      <c r="D6" s="32"/>
      <c r="E6" s="33">
        <v>17.899999999999999</v>
      </c>
      <c r="F6" s="34" t="s">
        <v>86</v>
      </c>
      <c r="G6" s="31" t="s">
        <v>87</v>
      </c>
      <c r="H6" s="117" t="s">
        <v>316</v>
      </c>
    </row>
    <row r="7" spans="1:8" s="30" customFormat="1" ht="11.25" x14ac:dyDescent="0.2">
      <c r="A7" s="35" t="s">
        <v>50</v>
      </c>
      <c r="B7" s="31" t="s">
        <v>88</v>
      </c>
      <c r="C7" s="36" t="s">
        <v>89</v>
      </c>
      <c r="D7" s="36"/>
      <c r="E7" s="37">
        <v>11.97</v>
      </c>
      <c r="F7" s="34" t="s">
        <v>90</v>
      </c>
      <c r="G7" s="31" t="s">
        <v>87</v>
      </c>
      <c r="H7" s="117" t="s">
        <v>315</v>
      </c>
    </row>
    <row r="8" spans="1:8" s="30" customFormat="1" ht="11.25" x14ac:dyDescent="0.2">
      <c r="A8" s="35" t="s">
        <v>50</v>
      </c>
      <c r="B8" s="31" t="s">
        <v>91</v>
      </c>
      <c r="C8" s="36" t="s">
        <v>92</v>
      </c>
      <c r="D8" s="36"/>
      <c r="E8" s="37">
        <v>25.2</v>
      </c>
      <c r="F8" s="34" t="s">
        <v>93</v>
      </c>
      <c r="G8" s="31" t="s">
        <v>87</v>
      </c>
      <c r="H8" s="117" t="s">
        <v>316</v>
      </c>
    </row>
    <row r="9" spans="1:8" s="30" customFormat="1" ht="11.25" x14ac:dyDescent="0.2">
      <c r="A9" s="35" t="s">
        <v>50</v>
      </c>
      <c r="B9" s="31" t="s">
        <v>94</v>
      </c>
      <c r="C9" s="36" t="s">
        <v>95</v>
      </c>
      <c r="D9" s="36"/>
      <c r="E9" s="37">
        <v>27.96</v>
      </c>
      <c r="F9" s="34" t="s">
        <v>96</v>
      </c>
      <c r="G9" s="31" t="s">
        <v>97</v>
      </c>
      <c r="H9" s="117" t="s">
        <v>315</v>
      </c>
    </row>
    <row r="10" spans="1:8" s="30" customFormat="1" ht="11.25" x14ac:dyDescent="0.2">
      <c r="A10" s="35" t="s">
        <v>50</v>
      </c>
      <c r="B10" s="31" t="s">
        <v>98</v>
      </c>
      <c r="C10" s="36" t="s">
        <v>99</v>
      </c>
      <c r="D10" s="36"/>
      <c r="E10" s="37">
        <v>38.5</v>
      </c>
      <c r="F10" s="34" t="s">
        <v>100</v>
      </c>
      <c r="G10" s="31" t="s">
        <v>97</v>
      </c>
      <c r="H10" s="117" t="s">
        <v>315</v>
      </c>
    </row>
    <row r="11" spans="1:8" s="30" customFormat="1" ht="11.25" x14ac:dyDescent="0.2">
      <c r="A11" s="35" t="s">
        <v>50</v>
      </c>
      <c r="B11" s="31" t="s">
        <v>101</v>
      </c>
      <c r="C11" s="36" t="s">
        <v>102</v>
      </c>
      <c r="D11" s="36"/>
      <c r="E11" s="37">
        <v>6.65</v>
      </c>
      <c r="F11" s="34" t="s">
        <v>103</v>
      </c>
      <c r="G11" s="31" t="s">
        <v>97</v>
      </c>
      <c r="H11" s="117" t="s">
        <v>315</v>
      </c>
    </row>
    <row r="12" spans="1:8" s="30" customFormat="1" ht="11.25" x14ac:dyDescent="0.2">
      <c r="A12" s="35" t="s">
        <v>50</v>
      </c>
      <c r="B12" s="31" t="s">
        <v>104</v>
      </c>
      <c r="C12" s="36" t="s">
        <v>105</v>
      </c>
      <c r="D12" s="36"/>
      <c r="E12" s="37">
        <v>5.14</v>
      </c>
      <c r="F12" s="34" t="s">
        <v>106</v>
      </c>
      <c r="G12" s="31" t="s">
        <v>97</v>
      </c>
      <c r="H12" s="117" t="s">
        <v>315</v>
      </c>
    </row>
    <row r="13" spans="1:8" s="30" customFormat="1" ht="11.25" x14ac:dyDescent="0.2">
      <c r="A13" s="35" t="s">
        <v>50</v>
      </c>
      <c r="B13" s="31" t="s">
        <v>107</v>
      </c>
      <c r="C13" s="36" t="s">
        <v>108</v>
      </c>
      <c r="D13" s="36"/>
      <c r="E13" s="37">
        <v>1.54</v>
      </c>
      <c r="F13" s="34" t="s">
        <v>109</v>
      </c>
      <c r="G13" s="31" t="s">
        <v>97</v>
      </c>
      <c r="H13" s="117" t="s">
        <v>315</v>
      </c>
    </row>
    <row r="14" spans="1:8" s="30" customFormat="1" ht="11.25" x14ac:dyDescent="0.2">
      <c r="A14" s="35" t="s">
        <v>50</v>
      </c>
      <c r="B14" s="31" t="s">
        <v>110</v>
      </c>
      <c r="C14" s="36" t="s">
        <v>111</v>
      </c>
      <c r="D14" s="36"/>
      <c r="E14" s="37">
        <v>3.5</v>
      </c>
      <c r="F14" s="34" t="s">
        <v>112</v>
      </c>
      <c r="G14" s="31" t="s">
        <v>97</v>
      </c>
      <c r="H14" s="117" t="s">
        <v>315</v>
      </c>
    </row>
    <row r="15" spans="1:8" s="30" customFormat="1" ht="11.25" x14ac:dyDescent="0.2">
      <c r="A15" s="35" t="s">
        <v>50</v>
      </c>
      <c r="B15" s="31" t="s">
        <v>113</v>
      </c>
      <c r="C15" s="36" t="s">
        <v>114</v>
      </c>
      <c r="D15" s="36"/>
      <c r="E15" s="37">
        <v>1.1299999999999999</v>
      </c>
      <c r="F15" s="34" t="s">
        <v>115</v>
      </c>
      <c r="G15" s="31" t="s">
        <v>97</v>
      </c>
      <c r="H15" s="117" t="s">
        <v>315</v>
      </c>
    </row>
    <row r="16" spans="1:8" s="30" customFormat="1" ht="11.25" x14ac:dyDescent="0.2">
      <c r="A16" s="35" t="s">
        <v>50</v>
      </c>
      <c r="B16" s="31" t="s">
        <v>116</v>
      </c>
      <c r="C16" s="36" t="s">
        <v>117</v>
      </c>
      <c r="D16" s="36"/>
      <c r="E16" s="37">
        <v>8.0299999999999994</v>
      </c>
      <c r="F16" s="34" t="s">
        <v>118</v>
      </c>
      <c r="G16" s="31" t="s">
        <v>97</v>
      </c>
      <c r="H16" s="117" t="s">
        <v>315</v>
      </c>
    </row>
    <row r="17" spans="1:8" s="30" customFormat="1" ht="11.25" x14ac:dyDescent="0.2">
      <c r="A17" s="35" t="s">
        <v>50</v>
      </c>
      <c r="B17" s="31" t="s">
        <v>119</v>
      </c>
      <c r="C17" s="36" t="s">
        <v>120</v>
      </c>
      <c r="D17" s="36"/>
      <c r="E17" s="37">
        <v>5.75</v>
      </c>
      <c r="F17" s="34" t="s">
        <v>121</v>
      </c>
      <c r="G17" s="31" t="s">
        <v>122</v>
      </c>
      <c r="H17" s="117" t="s">
        <v>315</v>
      </c>
    </row>
    <row r="18" spans="1:8" s="30" customFormat="1" ht="11.25" x14ac:dyDescent="0.2">
      <c r="A18" s="35" t="s">
        <v>50</v>
      </c>
      <c r="B18" s="31" t="s">
        <v>123</v>
      </c>
      <c r="C18" s="36" t="s">
        <v>124</v>
      </c>
      <c r="D18" s="36"/>
      <c r="E18" s="37">
        <v>0.95</v>
      </c>
      <c r="F18" s="34" t="s">
        <v>125</v>
      </c>
      <c r="G18" s="31" t="s">
        <v>122</v>
      </c>
      <c r="H18" s="117" t="s">
        <v>315</v>
      </c>
    </row>
    <row r="19" spans="1:8" s="30" customFormat="1" ht="11.25" x14ac:dyDescent="0.2">
      <c r="A19" s="35" t="s">
        <v>50</v>
      </c>
      <c r="B19" s="31" t="s">
        <v>126</v>
      </c>
      <c r="C19" s="36" t="s">
        <v>127</v>
      </c>
      <c r="D19" s="36"/>
      <c r="E19" s="37">
        <v>0.99</v>
      </c>
      <c r="F19" s="34" t="s">
        <v>128</v>
      </c>
      <c r="G19" s="31" t="s">
        <v>122</v>
      </c>
      <c r="H19" s="117" t="s">
        <v>315</v>
      </c>
    </row>
    <row r="20" spans="1:8" s="30" customFormat="1" ht="11.25" x14ac:dyDescent="0.2">
      <c r="A20" s="35" t="s">
        <v>50</v>
      </c>
      <c r="B20" s="31" t="s">
        <v>129</v>
      </c>
      <c r="C20" s="36" t="s">
        <v>130</v>
      </c>
      <c r="D20" s="36"/>
      <c r="E20" s="37">
        <v>1.03</v>
      </c>
      <c r="F20" s="34" t="s">
        <v>131</v>
      </c>
      <c r="G20" s="31" t="s">
        <v>122</v>
      </c>
      <c r="H20" s="117" t="s">
        <v>315</v>
      </c>
    </row>
    <row r="21" spans="1:8" s="30" customFormat="1" ht="11.25" x14ac:dyDescent="0.2">
      <c r="A21" s="35" t="s">
        <v>50</v>
      </c>
      <c r="B21" s="31" t="s">
        <v>132</v>
      </c>
      <c r="C21" s="36" t="s">
        <v>133</v>
      </c>
      <c r="D21" s="36"/>
      <c r="E21" s="37">
        <v>1.06</v>
      </c>
      <c r="F21" s="34" t="s">
        <v>132</v>
      </c>
      <c r="G21" s="31" t="s">
        <v>122</v>
      </c>
      <c r="H21" s="117" t="s">
        <v>315</v>
      </c>
    </row>
    <row r="22" spans="1:8" s="30" customFormat="1" ht="11.25" x14ac:dyDescent="0.2">
      <c r="A22" s="35" t="s">
        <v>50</v>
      </c>
      <c r="B22" s="31" t="s">
        <v>134</v>
      </c>
      <c r="C22" s="36" t="s">
        <v>135</v>
      </c>
      <c r="D22" s="36"/>
      <c r="E22" s="37">
        <v>1.6</v>
      </c>
      <c r="F22" s="34" t="s">
        <v>136</v>
      </c>
      <c r="G22" s="31" t="s">
        <v>122</v>
      </c>
      <c r="H22" s="117" t="s">
        <v>315</v>
      </c>
    </row>
    <row r="23" spans="1:8" s="30" customFormat="1" ht="11.25" x14ac:dyDescent="0.2">
      <c r="A23" s="35" t="s">
        <v>50</v>
      </c>
      <c r="B23" s="31" t="s">
        <v>137</v>
      </c>
      <c r="C23" s="36" t="s">
        <v>138</v>
      </c>
      <c r="D23" s="36"/>
      <c r="E23" s="37">
        <v>0.98</v>
      </c>
      <c r="F23" s="34" t="s">
        <v>139</v>
      </c>
      <c r="G23" s="31" t="s">
        <v>122</v>
      </c>
      <c r="H23" s="117" t="s">
        <v>315</v>
      </c>
    </row>
    <row r="24" spans="1:8" s="30" customFormat="1" ht="11.25" x14ac:dyDescent="0.2">
      <c r="A24" s="35" t="s">
        <v>50</v>
      </c>
      <c r="B24" s="31" t="s">
        <v>140</v>
      </c>
      <c r="C24" s="36" t="s">
        <v>141</v>
      </c>
      <c r="D24" s="36"/>
      <c r="E24" s="37">
        <v>3.27</v>
      </c>
      <c r="F24" s="34" t="s">
        <v>142</v>
      </c>
      <c r="G24" s="31" t="s">
        <v>122</v>
      </c>
      <c r="H24" s="117" t="s">
        <v>315</v>
      </c>
    </row>
    <row r="25" spans="1:8" s="30" customFormat="1" ht="11.25" x14ac:dyDescent="0.2">
      <c r="A25" s="35" t="s">
        <v>50</v>
      </c>
      <c r="B25" s="31" t="s">
        <v>143</v>
      </c>
      <c r="C25" s="36" t="s">
        <v>144</v>
      </c>
      <c r="D25" s="36"/>
      <c r="E25" s="37">
        <v>1.05</v>
      </c>
      <c r="F25" s="34" t="s">
        <v>145</v>
      </c>
      <c r="G25" s="31" t="s">
        <v>122</v>
      </c>
      <c r="H25" s="117" t="s">
        <v>315</v>
      </c>
    </row>
    <row r="26" spans="1:8" s="30" customFormat="1" ht="11.25" x14ac:dyDescent="0.2">
      <c r="A26" s="35" t="s">
        <v>50</v>
      </c>
      <c r="B26" s="31" t="s">
        <v>146</v>
      </c>
      <c r="C26" s="36" t="s">
        <v>147</v>
      </c>
      <c r="D26" s="36"/>
      <c r="E26" s="37">
        <v>15.6</v>
      </c>
      <c r="F26" s="34" t="s">
        <v>148</v>
      </c>
      <c r="G26" s="31" t="s">
        <v>149</v>
      </c>
      <c r="H26" s="117" t="s">
        <v>316</v>
      </c>
    </row>
    <row r="27" spans="1:8" s="30" customFormat="1" ht="11.25" x14ac:dyDescent="0.2">
      <c r="A27" s="35" t="s">
        <v>50</v>
      </c>
      <c r="B27" s="31" t="s">
        <v>150</v>
      </c>
      <c r="C27" s="36" t="s">
        <v>151</v>
      </c>
      <c r="D27" s="36"/>
      <c r="E27" s="37">
        <v>24.3</v>
      </c>
      <c r="F27" s="34" t="s">
        <v>152</v>
      </c>
      <c r="G27" s="31" t="s">
        <v>149</v>
      </c>
      <c r="H27" s="117" t="s">
        <v>315</v>
      </c>
    </row>
    <row r="28" spans="1:8" s="30" customFormat="1" ht="11.25" x14ac:dyDescent="0.2">
      <c r="A28" s="35" t="s">
        <v>50</v>
      </c>
      <c r="B28" s="31" t="s">
        <v>153</v>
      </c>
      <c r="C28" s="36" t="s">
        <v>154</v>
      </c>
      <c r="D28" s="36"/>
      <c r="E28" s="37">
        <v>21.8</v>
      </c>
      <c r="F28" s="34" t="s">
        <v>155</v>
      </c>
      <c r="G28" s="31" t="s">
        <v>149</v>
      </c>
      <c r="H28" s="117" t="s">
        <v>315</v>
      </c>
    </row>
    <row r="29" spans="1:8" s="30" customFormat="1" ht="11.25" x14ac:dyDescent="0.2">
      <c r="A29" s="35" t="s">
        <v>50</v>
      </c>
      <c r="B29" s="38" t="s">
        <v>156</v>
      </c>
      <c r="C29" s="36" t="s">
        <v>157</v>
      </c>
      <c r="D29" s="144"/>
      <c r="E29" s="39">
        <v>9</v>
      </c>
      <c r="F29" s="34" t="s">
        <v>158</v>
      </c>
      <c r="G29" s="31" t="s">
        <v>159</v>
      </c>
      <c r="H29" s="117" t="s">
        <v>315</v>
      </c>
    </row>
    <row r="30" spans="1:8" s="30" customFormat="1" ht="11.25" x14ac:dyDescent="0.2">
      <c r="A30" s="35" t="s">
        <v>50</v>
      </c>
      <c r="B30" s="31" t="s">
        <v>160</v>
      </c>
      <c r="C30" s="36" t="s">
        <v>161</v>
      </c>
      <c r="D30" s="36"/>
      <c r="E30" s="37">
        <v>0.56999999999999995</v>
      </c>
      <c r="F30" s="34" t="s">
        <v>162</v>
      </c>
      <c r="G30" s="31" t="s">
        <v>163</v>
      </c>
      <c r="H30" s="117" t="s">
        <v>315</v>
      </c>
    </row>
    <row r="31" spans="1:8" s="30" customFormat="1" ht="11.25" x14ac:dyDescent="0.2">
      <c r="A31" s="35" t="s">
        <v>50</v>
      </c>
      <c r="B31" s="38" t="s">
        <v>164</v>
      </c>
      <c r="C31" s="36" t="s">
        <v>165</v>
      </c>
      <c r="D31" s="144"/>
      <c r="E31" s="39">
        <v>3.15</v>
      </c>
      <c r="F31" s="34" t="s">
        <v>166</v>
      </c>
      <c r="G31" s="31" t="s">
        <v>163</v>
      </c>
      <c r="H31" s="117" t="s">
        <v>315</v>
      </c>
    </row>
    <row r="32" spans="1:8" s="30" customFormat="1" ht="11.25" x14ac:dyDescent="0.2">
      <c r="A32" s="35" t="s">
        <v>50</v>
      </c>
      <c r="B32" s="31" t="s">
        <v>167</v>
      </c>
      <c r="C32" s="36" t="s">
        <v>168</v>
      </c>
      <c r="D32" s="36"/>
      <c r="E32" s="37">
        <v>2.94</v>
      </c>
      <c r="F32" s="34" t="s">
        <v>169</v>
      </c>
      <c r="G32" s="31" t="s">
        <v>163</v>
      </c>
      <c r="H32" s="117" t="s">
        <v>315</v>
      </c>
    </row>
    <row r="33" spans="1:8" s="30" customFormat="1" ht="11.25" x14ac:dyDescent="0.2">
      <c r="A33" s="35" t="s">
        <v>69</v>
      </c>
      <c r="B33" s="40" t="s">
        <v>170</v>
      </c>
      <c r="C33" s="40">
        <v>785404</v>
      </c>
      <c r="D33" s="40"/>
      <c r="E33" s="41"/>
      <c r="F33" s="34" t="s">
        <v>169</v>
      </c>
      <c r="G33" s="31" t="s">
        <v>163</v>
      </c>
      <c r="H33" s="117" t="s">
        <v>315</v>
      </c>
    </row>
    <row r="34" spans="1:8" s="30" customFormat="1" ht="11.25" x14ac:dyDescent="0.2">
      <c r="A34" s="35" t="s">
        <v>69</v>
      </c>
      <c r="B34" s="42" t="s">
        <v>171</v>
      </c>
      <c r="C34" s="42">
        <v>901813</v>
      </c>
      <c r="D34" s="42"/>
      <c r="E34" s="43">
        <v>7</v>
      </c>
      <c r="F34" s="34" t="s">
        <v>172</v>
      </c>
      <c r="G34" s="31" t="s">
        <v>173</v>
      </c>
      <c r="H34" s="117" t="s">
        <v>315</v>
      </c>
    </row>
    <row r="35" spans="1:8" s="30" customFormat="1" ht="11.25" x14ac:dyDescent="0.2">
      <c r="A35" s="35" t="s">
        <v>69</v>
      </c>
      <c r="B35" s="42" t="s">
        <v>174</v>
      </c>
      <c r="C35" s="42">
        <v>901791</v>
      </c>
      <c r="D35" s="42"/>
      <c r="E35" s="43">
        <v>7</v>
      </c>
      <c r="F35" s="34" t="s">
        <v>175</v>
      </c>
      <c r="G35" s="31" t="s">
        <v>173</v>
      </c>
      <c r="H35" s="117" t="s">
        <v>317</v>
      </c>
    </row>
    <row r="36" spans="1:8" s="30" customFormat="1" ht="11.25" x14ac:dyDescent="0.2">
      <c r="A36" s="35" t="s">
        <v>69</v>
      </c>
      <c r="B36" s="42" t="s">
        <v>176</v>
      </c>
      <c r="C36" s="42">
        <v>147965</v>
      </c>
      <c r="D36" s="42"/>
      <c r="E36" s="43">
        <v>7</v>
      </c>
      <c r="F36" s="34" t="s">
        <v>177</v>
      </c>
      <c r="G36" s="31" t="s">
        <v>173</v>
      </c>
      <c r="H36" s="117" t="s">
        <v>315</v>
      </c>
    </row>
    <row r="37" spans="1:8" s="30" customFormat="1" ht="11.25" x14ac:dyDescent="0.2">
      <c r="A37" s="35" t="s">
        <v>69</v>
      </c>
      <c r="B37" s="42" t="s">
        <v>178</v>
      </c>
      <c r="C37" s="42">
        <v>901805</v>
      </c>
      <c r="D37" s="42"/>
      <c r="E37" s="43">
        <v>7</v>
      </c>
      <c r="F37" s="34" t="s">
        <v>179</v>
      </c>
      <c r="G37" s="31" t="s">
        <v>173</v>
      </c>
      <c r="H37" s="117" t="s">
        <v>315</v>
      </c>
    </row>
    <row r="38" spans="1:8" s="30" customFormat="1" ht="11.25" x14ac:dyDescent="0.2">
      <c r="A38" s="35" t="s">
        <v>69</v>
      </c>
      <c r="B38" s="42" t="s">
        <v>180</v>
      </c>
      <c r="C38" s="42">
        <v>296247</v>
      </c>
      <c r="D38" s="42"/>
      <c r="E38" s="43">
        <v>11.96</v>
      </c>
      <c r="F38" s="34" t="s">
        <v>181</v>
      </c>
      <c r="G38" s="31" t="s">
        <v>173</v>
      </c>
      <c r="H38" s="117" t="s">
        <v>315</v>
      </c>
    </row>
    <row r="39" spans="1:8" s="30" customFormat="1" ht="11.25" x14ac:dyDescent="0.2">
      <c r="A39" s="35" t="s">
        <v>69</v>
      </c>
      <c r="B39" s="42" t="s">
        <v>182</v>
      </c>
      <c r="C39" s="42">
        <v>296263</v>
      </c>
      <c r="D39" s="42"/>
      <c r="E39" s="43">
        <v>11.96</v>
      </c>
      <c r="F39" s="34" t="s">
        <v>183</v>
      </c>
      <c r="G39" s="31" t="s">
        <v>173</v>
      </c>
      <c r="H39" s="117" t="s">
        <v>317</v>
      </c>
    </row>
    <row r="40" spans="1:8" s="30" customFormat="1" ht="11.25" x14ac:dyDescent="0.2">
      <c r="A40" s="35" t="s">
        <v>69</v>
      </c>
      <c r="B40" s="42" t="s">
        <v>184</v>
      </c>
      <c r="C40" s="42">
        <v>500836</v>
      </c>
      <c r="D40" s="42"/>
      <c r="E40" s="43">
        <v>2.1</v>
      </c>
      <c r="F40" s="34" t="s">
        <v>185</v>
      </c>
      <c r="G40" s="31" t="s">
        <v>173</v>
      </c>
      <c r="H40" s="117" t="s">
        <v>315</v>
      </c>
    </row>
    <row r="41" spans="1:8" s="30" customFormat="1" ht="11.25" x14ac:dyDescent="0.2">
      <c r="A41" s="35" t="s">
        <v>69</v>
      </c>
      <c r="B41" s="42" t="s">
        <v>186</v>
      </c>
      <c r="C41" s="42">
        <v>581408</v>
      </c>
      <c r="D41" s="42"/>
      <c r="E41" s="43">
        <v>1.08</v>
      </c>
      <c r="F41" s="34" t="s">
        <v>187</v>
      </c>
      <c r="G41" s="31" t="s">
        <v>173</v>
      </c>
      <c r="H41" s="117" t="s">
        <v>315</v>
      </c>
    </row>
    <row r="42" spans="1:8" s="30" customFormat="1" ht="11.25" x14ac:dyDescent="0.2">
      <c r="A42" s="35" t="s">
        <v>69</v>
      </c>
      <c r="B42" s="42" t="s">
        <v>188</v>
      </c>
      <c r="C42" s="42">
        <v>646153</v>
      </c>
      <c r="D42" s="42"/>
      <c r="E42" s="43">
        <v>27.84</v>
      </c>
      <c r="F42" s="34" t="s">
        <v>189</v>
      </c>
      <c r="G42" s="31" t="s">
        <v>173</v>
      </c>
      <c r="H42" s="117" t="s">
        <v>315</v>
      </c>
    </row>
    <row r="43" spans="1:8" s="30" customFormat="1" ht="11.25" x14ac:dyDescent="0.2">
      <c r="A43" s="35" t="s">
        <v>69</v>
      </c>
      <c r="B43" s="42" t="s">
        <v>190</v>
      </c>
      <c r="C43" s="42">
        <v>208691</v>
      </c>
      <c r="D43" s="42"/>
      <c r="E43" s="43">
        <v>0.43</v>
      </c>
      <c r="F43" s="34" t="s">
        <v>191</v>
      </c>
      <c r="G43" s="31" t="s">
        <v>192</v>
      </c>
      <c r="H43" s="117" t="s">
        <v>315</v>
      </c>
    </row>
    <row r="44" spans="1:8" s="30" customFormat="1" ht="11.25" x14ac:dyDescent="0.2">
      <c r="A44" s="35" t="s">
        <v>69</v>
      </c>
      <c r="B44" s="42" t="s">
        <v>193</v>
      </c>
      <c r="C44" s="42">
        <v>208723</v>
      </c>
      <c r="D44" s="42"/>
      <c r="E44" s="43">
        <v>0.33</v>
      </c>
      <c r="F44" s="34" t="s">
        <v>194</v>
      </c>
      <c r="G44" s="31" t="s">
        <v>192</v>
      </c>
      <c r="H44" s="117" t="s">
        <v>315</v>
      </c>
    </row>
    <row r="45" spans="1:8" s="30" customFormat="1" ht="11.25" x14ac:dyDescent="0.2">
      <c r="A45" s="35" t="s">
        <v>69</v>
      </c>
      <c r="B45" s="42" t="s">
        <v>195</v>
      </c>
      <c r="C45" s="42">
        <v>208683</v>
      </c>
      <c r="D45" s="42"/>
      <c r="E45" s="43">
        <v>0.45</v>
      </c>
      <c r="F45" s="34" t="s">
        <v>196</v>
      </c>
      <c r="G45" s="31" t="s">
        <v>192</v>
      </c>
      <c r="H45" s="117" t="s">
        <v>315</v>
      </c>
    </row>
    <row r="46" spans="1:8" s="30" customFormat="1" ht="11.25" x14ac:dyDescent="0.2">
      <c r="A46" s="35" t="s">
        <v>69</v>
      </c>
      <c r="B46" s="42" t="s">
        <v>197</v>
      </c>
      <c r="C46" s="42">
        <v>332896</v>
      </c>
      <c r="D46" s="42"/>
      <c r="E46" s="43">
        <v>8.8000000000000007</v>
      </c>
      <c r="F46" s="34" t="s">
        <v>198</v>
      </c>
      <c r="G46" s="31" t="s">
        <v>199</v>
      </c>
      <c r="H46" s="117" t="s">
        <v>315</v>
      </c>
    </row>
    <row r="47" spans="1:8" s="30" customFormat="1" ht="11.25" x14ac:dyDescent="0.2">
      <c r="A47" s="35" t="s">
        <v>69</v>
      </c>
      <c r="B47" s="42" t="s">
        <v>200</v>
      </c>
      <c r="C47" s="42">
        <v>916981</v>
      </c>
      <c r="D47" s="42"/>
      <c r="E47" s="43">
        <v>0.92</v>
      </c>
      <c r="F47" s="34"/>
      <c r="G47" s="31" t="s">
        <v>205</v>
      </c>
      <c r="H47" s="117" t="s">
        <v>315</v>
      </c>
    </row>
    <row r="48" spans="1:8" s="30" customFormat="1" ht="11.25" x14ac:dyDescent="0.2">
      <c r="A48" s="35" t="s">
        <v>69</v>
      </c>
      <c r="B48" s="42" t="s">
        <v>201</v>
      </c>
      <c r="C48" s="42">
        <v>288522</v>
      </c>
      <c r="D48" s="42"/>
      <c r="E48" s="43">
        <v>33.24</v>
      </c>
      <c r="F48" s="34" t="s">
        <v>202</v>
      </c>
      <c r="G48" s="31" t="s">
        <v>199</v>
      </c>
      <c r="H48" s="117" t="s">
        <v>315</v>
      </c>
    </row>
    <row r="49" spans="1:8" s="30" customFormat="1" ht="11.25" x14ac:dyDescent="0.2">
      <c r="A49" s="35" t="s">
        <v>69</v>
      </c>
      <c r="B49" s="42" t="s">
        <v>203</v>
      </c>
      <c r="C49" s="42">
        <v>911550</v>
      </c>
      <c r="D49" s="42"/>
      <c r="E49" s="43">
        <v>10.8</v>
      </c>
      <c r="F49" s="34" t="s">
        <v>204</v>
      </c>
      <c r="G49" s="31" t="s">
        <v>205</v>
      </c>
      <c r="H49" s="117" t="s">
        <v>315</v>
      </c>
    </row>
    <row r="50" spans="1:8" s="30" customFormat="1" ht="11.25" x14ac:dyDescent="0.2">
      <c r="A50" s="35" t="s">
        <v>69</v>
      </c>
      <c r="B50" s="42" t="s">
        <v>206</v>
      </c>
      <c r="C50" s="42">
        <v>960340</v>
      </c>
      <c r="D50" s="42"/>
      <c r="E50" s="43">
        <v>2.7</v>
      </c>
      <c r="F50" s="34" t="s">
        <v>207</v>
      </c>
      <c r="G50" s="31" t="s">
        <v>208</v>
      </c>
      <c r="H50" s="117" t="s">
        <v>315</v>
      </c>
    </row>
    <row r="51" spans="1:8" s="30" customFormat="1" ht="11.25" x14ac:dyDescent="0.2">
      <c r="A51" s="35" t="s">
        <v>69</v>
      </c>
      <c r="B51" s="42" t="s">
        <v>209</v>
      </c>
      <c r="C51" s="42">
        <v>688658</v>
      </c>
      <c r="D51" s="42"/>
      <c r="E51" s="43">
        <v>2.4500000000000002</v>
      </c>
      <c r="F51" s="34" t="s">
        <v>209</v>
      </c>
      <c r="G51" s="31" t="s">
        <v>192</v>
      </c>
      <c r="H51" s="117" t="s">
        <v>315</v>
      </c>
    </row>
    <row r="52" spans="1:8" s="30" customFormat="1" ht="11.25" x14ac:dyDescent="0.2">
      <c r="A52" s="35" t="s">
        <v>69</v>
      </c>
      <c r="B52" s="42" t="s">
        <v>210</v>
      </c>
      <c r="C52" s="42">
        <v>900389</v>
      </c>
      <c r="D52" s="42"/>
      <c r="E52" s="43">
        <v>0.69</v>
      </c>
      <c r="F52" s="34" t="s">
        <v>211</v>
      </c>
      <c r="G52" s="31" t="s">
        <v>212</v>
      </c>
      <c r="H52" s="117" t="s">
        <v>317</v>
      </c>
    </row>
    <row r="53" spans="1:8" s="30" customFormat="1" ht="11.25" x14ac:dyDescent="0.2">
      <c r="A53" s="35" t="s">
        <v>69</v>
      </c>
      <c r="B53" s="42" t="s">
        <v>213</v>
      </c>
      <c r="C53" s="42">
        <v>925044</v>
      </c>
      <c r="D53" s="42"/>
      <c r="E53" s="43">
        <v>1.89</v>
      </c>
      <c r="F53" s="34" t="s">
        <v>214</v>
      </c>
      <c r="G53" s="31" t="s">
        <v>212</v>
      </c>
      <c r="H53" s="117" t="s">
        <v>315</v>
      </c>
    </row>
    <row r="54" spans="1:8" s="30" customFormat="1" ht="11.25" x14ac:dyDescent="0.2">
      <c r="A54" s="35" t="s">
        <v>69</v>
      </c>
      <c r="B54" s="42" t="s">
        <v>215</v>
      </c>
      <c r="C54" s="42">
        <v>29834</v>
      </c>
      <c r="D54" s="42"/>
      <c r="E54" s="43">
        <v>24.45</v>
      </c>
      <c r="F54" s="34" t="s">
        <v>216</v>
      </c>
      <c r="G54" s="31" t="s">
        <v>212</v>
      </c>
      <c r="H54" s="117" t="s">
        <v>315</v>
      </c>
    </row>
    <row r="55" spans="1:8" s="30" customFormat="1" ht="11.25" x14ac:dyDescent="0.2">
      <c r="A55" s="35" t="s">
        <v>69</v>
      </c>
      <c r="B55" s="42" t="s">
        <v>217</v>
      </c>
      <c r="C55" s="42">
        <v>581335</v>
      </c>
      <c r="D55" s="42"/>
      <c r="E55" s="43">
        <v>0.59</v>
      </c>
      <c r="F55" s="34" t="s">
        <v>218</v>
      </c>
      <c r="G55" s="31" t="s">
        <v>212</v>
      </c>
      <c r="H55" s="117" t="s">
        <v>315</v>
      </c>
    </row>
    <row r="56" spans="1:8" s="30" customFormat="1" ht="11.25" x14ac:dyDescent="0.2">
      <c r="A56" s="35" t="s">
        <v>69</v>
      </c>
      <c r="B56" s="42" t="s">
        <v>219</v>
      </c>
      <c r="C56" s="42">
        <v>962447</v>
      </c>
      <c r="D56" s="42"/>
      <c r="E56" s="43">
        <v>1.63</v>
      </c>
      <c r="F56" s="35" t="s">
        <v>220</v>
      </c>
      <c r="G56" s="31" t="s">
        <v>221</v>
      </c>
      <c r="H56" s="117" t="s">
        <v>315</v>
      </c>
    </row>
    <row r="57" spans="1:8" s="30" customFormat="1" ht="11.25" x14ac:dyDescent="0.2">
      <c r="A57" s="35" t="s">
        <v>69</v>
      </c>
      <c r="B57" s="42" t="s">
        <v>222</v>
      </c>
      <c r="C57" s="42">
        <v>962450</v>
      </c>
      <c r="D57" s="42"/>
      <c r="E57" s="43">
        <v>2.79</v>
      </c>
      <c r="F57" s="34" t="s">
        <v>223</v>
      </c>
      <c r="G57" s="31" t="s">
        <v>221</v>
      </c>
      <c r="H57" s="117" t="s">
        <v>315</v>
      </c>
    </row>
    <row r="58" spans="1:8" s="30" customFormat="1" ht="11.25" x14ac:dyDescent="0.2">
      <c r="A58" s="35" t="s">
        <v>69</v>
      </c>
      <c r="B58" s="42" t="s">
        <v>224</v>
      </c>
      <c r="C58" s="42">
        <v>4889385</v>
      </c>
      <c r="D58" s="42"/>
      <c r="E58" s="43">
        <v>2.4500000000000002</v>
      </c>
      <c r="F58" s="34" t="s">
        <v>225</v>
      </c>
      <c r="G58" s="31" t="s">
        <v>221</v>
      </c>
      <c r="H58" s="117" t="s">
        <v>315</v>
      </c>
    </row>
    <row r="59" spans="1:8" s="30" customFormat="1" ht="11.25" x14ac:dyDescent="0.2">
      <c r="A59" s="35" t="s">
        <v>69</v>
      </c>
      <c r="B59" s="42" t="s">
        <v>226</v>
      </c>
      <c r="C59" s="42">
        <v>963688</v>
      </c>
      <c r="D59" s="42"/>
      <c r="E59" s="43">
        <v>49</v>
      </c>
      <c r="F59" s="34" t="s">
        <v>227</v>
      </c>
      <c r="G59" s="31" t="s">
        <v>221</v>
      </c>
      <c r="H59" s="117" t="s">
        <v>315</v>
      </c>
    </row>
    <row r="60" spans="1:8" s="30" customFormat="1" ht="11.25" x14ac:dyDescent="0.2">
      <c r="A60" s="35" t="s">
        <v>69</v>
      </c>
      <c r="B60" s="42" t="s">
        <v>228</v>
      </c>
      <c r="C60" s="42">
        <v>297478</v>
      </c>
      <c r="D60" s="42"/>
      <c r="E60" s="43">
        <v>28</v>
      </c>
      <c r="F60" s="34" t="s">
        <v>229</v>
      </c>
      <c r="G60" s="31" t="s">
        <v>221</v>
      </c>
      <c r="H60" s="117" t="s">
        <v>315</v>
      </c>
    </row>
    <row r="61" spans="1:8" s="30" customFormat="1" ht="11.25" x14ac:dyDescent="0.2">
      <c r="A61" s="35" t="s">
        <v>69</v>
      </c>
      <c r="B61" s="42" t="s">
        <v>230</v>
      </c>
      <c r="C61" s="42">
        <v>915374</v>
      </c>
      <c r="D61" s="42"/>
      <c r="E61" s="43">
        <v>29</v>
      </c>
      <c r="F61" s="34" t="s">
        <v>231</v>
      </c>
      <c r="G61" s="31" t="s">
        <v>221</v>
      </c>
      <c r="H61" s="117" t="s">
        <v>315</v>
      </c>
    </row>
    <row r="62" spans="1:8" s="30" customFormat="1" ht="11.25" x14ac:dyDescent="0.2">
      <c r="A62" s="35" t="s">
        <v>69</v>
      </c>
      <c r="B62" s="42" t="s">
        <v>232</v>
      </c>
      <c r="C62" s="44" t="s">
        <v>233</v>
      </c>
      <c r="D62" s="44"/>
      <c r="E62" s="43">
        <v>21.35</v>
      </c>
      <c r="F62" s="34" t="s">
        <v>234</v>
      </c>
      <c r="G62" s="31" t="s">
        <v>221</v>
      </c>
      <c r="H62" s="117" t="s">
        <v>315</v>
      </c>
    </row>
    <row r="63" spans="1:8" s="30" customFormat="1" ht="11.25" x14ac:dyDescent="0.2">
      <c r="A63" s="35" t="s">
        <v>69</v>
      </c>
      <c r="B63" s="42" t="s">
        <v>235</v>
      </c>
      <c r="C63" s="44">
        <v>731852</v>
      </c>
      <c r="D63" s="44"/>
      <c r="E63" s="43">
        <v>22.35</v>
      </c>
      <c r="F63" s="34"/>
      <c r="G63" s="31" t="s">
        <v>221</v>
      </c>
      <c r="H63" s="117" t="s">
        <v>315</v>
      </c>
    </row>
    <row r="64" spans="1:8" s="30" customFormat="1" ht="11.25" x14ac:dyDescent="0.2">
      <c r="A64" s="35" t="s">
        <v>69</v>
      </c>
      <c r="B64" s="42" t="s">
        <v>236</v>
      </c>
      <c r="C64" s="42">
        <v>458328</v>
      </c>
      <c r="D64" s="42"/>
      <c r="E64" s="43">
        <v>2.4500000000000002</v>
      </c>
      <c r="F64" s="34" t="s">
        <v>237</v>
      </c>
      <c r="G64" s="31" t="s">
        <v>239</v>
      </c>
      <c r="H64" s="117" t="s">
        <v>315</v>
      </c>
    </row>
    <row r="65" spans="1:8" s="30" customFormat="1" ht="11.25" x14ac:dyDescent="0.2">
      <c r="A65" s="35" t="s">
        <v>69</v>
      </c>
      <c r="B65" s="42" t="s">
        <v>238</v>
      </c>
      <c r="C65" s="44">
        <v>261754</v>
      </c>
      <c r="D65" s="44"/>
      <c r="E65" s="43">
        <v>1.9</v>
      </c>
      <c r="F65" s="34" t="s">
        <v>239</v>
      </c>
      <c r="G65" s="31" t="s">
        <v>239</v>
      </c>
      <c r="H65" s="117" t="s">
        <v>315</v>
      </c>
    </row>
    <row r="66" spans="1:8" s="30" customFormat="1" ht="11.25" x14ac:dyDescent="0.2">
      <c r="A66" s="35" t="s">
        <v>69</v>
      </c>
      <c r="B66" s="42" t="s">
        <v>240</v>
      </c>
      <c r="C66" s="44">
        <v>106139</v>
      </c>
      <c r="D66" s="44"/>
      <c r="E66" s="43">
        <v>32</v>
      </c>
      <c r="F66" s="34" t="s">
        <v>241</v>
      </c>
      <c r="G66" s="31" t="s">
        <v>239</v>
      </c>
      <c r="H66" s="117" t="s">
        <v>315</v>
      </c>
    </row>
    <row r="67" spans="1:8" s="30" customFormat="1" ht="11.25" x14ac:dyDescent="0.2">
      <c r="A67" s="35" t="s">
        <v>69</v>
      </c>
      <c r="B67" s="42" t="s">
        <v>242</v>
      </c>
      <c r="C67" s="45">
        <v>18913</v>
      </c>
      <c r="D67" s="45"/>
      <c r="E67" s="43">
        <v>2.92</v>
      </c>
      <c r="F67" s="34" t="s">
        <v>243</v>
      </c>
      <c r="G67" s="31" t="s">
        <v>239</v>
      </c>
      <c r="H67" s="117" t="s">
        <v>315</v>
      </c>
    </row>
    <row r="68" spans="1:8" s="30" customFormat="1" ht="11.25" x14ac:dyDescent="0.2">
      <c r="A68" s="35" t="s">
        <v>69</v>
      </c>
      <c r="B68" s="42" t="s">
        <v>244</v>
      </c>
      <c r="C68" s="44">
        <v>235994</v>
      </c>
      <c r="D68" s="44"/>
      <c r="E68" s="43">
        <v>2.7</v>
      </c>
      <c r="F68" s="34" t="s">
        <v>245</v>
      </c>
      <c r="G68" s="31" t="s">
        <v>239</v>
      </c>
      <c r="H68" s="117" t="s">
        <v>315</v>
      </c>
    </row>
    <row r="69" spans="1:8" s="30" customFormat="1" ht="11.25" x14ac:dyDescent="0.2">
      <c r="A69" s="35" t="s">
        <v>69</v>
      </c>
      <c r="B69" s="42" t="s">
        <v>246</v>
      </c>
      <c r="C69" s="42">
        <v>310750</v>
      </c>
      <c r="D69" s="42"/>
      <c r="E69" s="43">
        <v>3.25</v>
      </c>
      <c r="F69" s="34"/>
      <c r="G69" s="31" t="s">
        <v>221</v>
      </c>
      <c r="H69" s="117" t="s">
        <v>315</v>
      </c>
    </row>
    <row r="70" spans="1:8" s="30" customFormat="1" ht="11.25" x14ac:dyDescent="0.2">
      <c r="A70" s="35" t="s">
        <v>69</v>
      </c>
      <c r="B70" s="42" t="s">
        <v>247</v>
      </c>
      <c r="C70" s="44">
        <v>961307</v>
      </c>
      <c r="D70" s="44"/>
      <c r="E70" s="43">
        <v>35</v>
      </c>
      <c r="F70" s="34" t="s">
        <v>248</v>
      </c>
      <c r="G70" s="31" t="s">
        <v>249</v>
      </c>
      <c r="H70" s="117" t="s">
        <v>315</v>
      </c>
    </row>
    <row r="71" spans="1:8" s="30" customFormat="1" ht="11.25" x14ac:dyDescent="0.2">
      <c r="A71" s="35" t="s">
        <v>69</v>
      </c>
      <c r="B71" s="42" t="s">
        <v>250</v>
      </c>
      <c r="C71" s="44">
        <v>580690</v>
      </c>
      <c r="D71" s="44"/>
      <c r="E71" s="43">
        <v>15.15</v>
      </c>
      <c r="F71" s="34" t="s">
        <v>251</v>
      </c>
      <c r="G71" s="31" t="s">
        <v>252</v>
      </c>
      <c r="H71" s="117" t="s">
        <v>315</v>
      </c>
    </row>
    <row r="72" spans="1:8" s="30" customFormat="1" ht="11.25" x14ac:dyDescent="0.2">
      <c r="A72" s="35" t="s">
        <v>69</v>
      </c>
      <c r="B72" s="42" t="s">
        <v>253</v>
      </c>
      <c r="C72" s="44">
        <v>580712</v>
      </c>
      <c r="D72" s="44"/>
      <c r="E72" s="43">
        <v>16.8</v>
      </c>
      <c r="F72" s="34" t="s">
        <v>251</v>
      </c>
      <c r="G72" s="31" t="s">
        <v>252</v>
      </c>
      <c r="H72" s="117" t="s">
        <v>315</v>
      </c>
    </row>
    <row r="73" spans="1:8" s="30" customFormat="1" ht="11.25" x14ac:dyDescent="0.2">
      <c r="A73" s="35" t="s">
        <v>69</v>
      </c>
      <c r="B73" s="42" t="s">
        <v>254</v>
      </c>
      <c r="C73" s="44">
        <v>580798</v>
      </c>
      <c r="D73" s="44"/>
      <c r="E73" s="43">
        <v>23.8</v>
      </c>
      <c r="F73" s="34" t="s">
        <v>255</v>
      </c>
      <c r="G73" s="31" t="s">
        <v>252</v>
      </c>
      <c r="H73" s="117" t="s">
        <v>315</v>
      </c>
    </row>
    <row r="74" spans="1:8" s="30" customFormat="1" ht="11.25" x14ac:dyDescent="0.2">
      <c r="A74" s="35" t="s">
        <v>69</v>
      </c>
      <c r="B74" s="42" t="s">
        <v>256</v>
      </c>
      <c r="C74" s="44">
        <v>580771</v>
      </c>
      <c r="D74" s="44"/>
      <c r="E74" s="43">
        <v>21.35</v>
      </c>
      <c r="F74" s="34" t="s">
        <v>255</v>
      </c>
      <c r="G74" s="31" t="s">
        <v>252</v>
      </c>
      <c r="H74" s="117" t="s">
        <v>315</v>
      </c>
    </row>
    <row r="75" spans="1:8" s="30" customFormat="1" ht="11.25" x14ac:dyDescent="0.2">
      <c r="A75" s="35" t="s">
        <v>69</v>
      </c>
      <c r="B75" s="42" t="s">
        <v>257</v>
      </c>
      <c r="C75" s="42">
        <v>908441</v>
      </c>
      <c r="D75" s="42"/>
      <c r="E75" s="43">
        <v>74.5</v>
      </c>
      <c r="F75" s="34"/>
      <c r="G75" s="31" t="s">
        <v>192</v>
      </c>
      <c r="H75" s="117" t="s">
        <v>315</v>
      </c>
    </row>
    <row r="76" spans="1:8" s="30" customFormat="1" ht="11.25" x14ac:dyDescent="0.2">
      <c r="A76" s="35" t="s">
        <v>69</v>
      </c>
      <c r="B76" s="42" t="s">
        <v>258</v>
      </c>
      <c r="C76" s="42">
        <v>126578</v>
      </c>
      <c r="D76" s="42"/>
      <c r="E76" s="43">
        <v>164</v>
      </c>
      <c r="F76" s="34"/>
      <c r="G76" s="31" t="s">
        <v>221</v>
      </c>
      <c r="H76" s="117" t="s">
        <v>315</v>
      </c>
    </row>
    <row r="77" spans="1:8" s="30" customFormat="1" ht="11.25" x14ac:dyDescent="0.2">
      <c r="A77" s="35" t="s">
        <v>69</v>
      </c>
      <c r="B77" s="42" t="s">
        <v>259</v>
      </c>
      <c r="C77" s="44">
        <v>590426</v>
      </c>
      <c r="D77" s="44"/>
      <c r="E77" s="43">
        <v>0.57999999999999996</v>
      </c>
      <c r="F77" s="34" t="s">
        <v>259</v>
      </c>
      <c r="G77" s="31" t="s">
        <v>173</v>
      </c>
      <c r="H77" s="117" t="s">
        <v>315</v>
      </c>
    </row>
    <row r="78" spans="1:8" x14ac:dyDescent="0.25">
      <c r="A78" s="49" t="s">
        <v>71</v>
      </c>
      <c r="B78" s="46" t="s">
        <v>261</v>
      </c>
      <c r="C78" s="46" t="s">
        <v>262</v>
      </c>
      <c r="D78" s="46"/>
      <c r="E78" s="47">
        <v>25</v>
      </c>
      <c r="F78" s="48"/>
      <c r="G78" s="50" t="s">
        <v>62</v>
      </c>
      <c r="H78" s="117" t="s">
        <v>315</v>
      </c>
    </row>
    <row r="79" spans="1:8" x14ac:dyDescent="0.25">
      <c r="A79" s="49" t="s">
        <v>71</v>
      </c>
      <c r="B79" s="46" t="s">
        <v>263</v>
      </c>
      <c r="C79" s="46" t="s">
        <v>264</v>
      </c>
      <c r="D79" s="46"/>
      <c r="E79" s="47">
        <v>20</v>
      </c>
      <c r="F79" s="48"/>
      <c r="G79" s="50" t="s">
        <v>62</v>
      </c>
      <c r="H79" s="117" t="s">
        <v>315</v>
      </c>
    </row>
  </sheetData>
  <hyperlinks>
    <hyperlink ref="F6" r:id="rId1" tooltip="Papier Toilette" xr:uid="{AF86B3ED-445D-4604-9CFD-81DF1F1AB4D5}"/>
    <hyperlink ref="F7" r:id="rId2" xr:uid="{3F582F5D-F380-49A1-B85B-EFA97BE77A82}"/>
    <hyperlink ref="F8" r:id="rId3" xr:uid="{C720E627-531D-477C-9652-6373289D1F51}"/>
    <hyperlink ref="F9" r:id="rId4" xr:uid="{F412C24E-CF85-4D7C-810F-BFCD2F65D62D}"/>
    <hyperlink ref="F10" r:id="rId5" xr:uid="{F503AD30-5385-48DB-80BE-DEF79B224987}"/>
    <hyperlink ref="F11" r:id="rId6" xr:uid="{83488C20-A356-417F-BC64-793CB449B7ED}"/>
    <hyperlink ref="F12" r:id="rId7" xr:uid="{7D88004B-8E2F-4CB0-9029-05095829BE3B}"/>
    <hyperlink ref="F13" r:id="rId8" xr:uid="{9D563930-8C8E-41E3-B7F5-85B89BFA7340}"/>
    <hyperlink ref="F14" r:id="rId9" xr:uid="{092CE46A-5662-4795-80A1-4C68D4EF568F}"/>
    <hyperlink ref="F15" r:id="rId10" xr:uid="{58821439-E0B2-46F8-A2E9-3899C74C522F}"/>
    <hyperlink ref="F16" r:id="rId11" xr:uid="{9B1582B0-8706-4862-947E-2EA5B6983422}"/>
    <hyperlink ref="F17" r:id="rId12" xr:uid="{4BEC46FC-37E0-4696-AF66-5FF4F88EFD18}"/>
    <hyperlink ref="F18" r:id="rId13" xr:uid="{BA0051DF-4A91-472D-9C81-2F5BD94FCA6A}"/>
    <hyperlink ref="F19" r:id="rId14" xr:uid="{A138F02B-BF66-404C-9C84-10DFC001AC62}"/>
    <hyperlink ref="F20" r:id="rId15" xr:uid="{4786E038-C3A3-43A0-9037-5EF8F218834B}"/>
    <hyperlink ref="F21" r:id="rId16" xr:uid="{B3758743-A6D5-42C9-8AD4-973548AA63EC}"/>
    <hyperlink ref="F22" r:id="rId17" xr:uid="{FB8D714C-3386-4B54-A6F9-A05E6DC2DB21}"/>
    <hyperlink ref="F23" r:id="rId18" xr:uid="{29E17C2A-1335-48C8-8CF4-B57D2D9C4177}"/>
    <hyperlink ref="F24" r:id="rId19" xr:uid="{96B90D27-B78A-4F16-8ACF-2FB8E3BB5A41}"/>
    <hyperlink ref="F25" r:id="rId20" xr:uid="{56A8A690-CDA6-4319-A58D-CBF57EFEC197}"/>
    <hyperlink ref="F26" r:id="rId21" xr:uid="{232DE6B8-CE36-487F-BC19-BE891B5B104D}"/>
    <hyperlink ref="F27" r:id="rId22" xr:uid="{F810A71A-5546-49A0-82DE-D03654EBB375}"/>
    <hyperlink ref="F28" r:id="rId23" xr:uid="{72626FF9-04A0-4188-8DD9-97B152066F19}"/>
    <hyperlink ref="F29" r:id="rId24" xr:uid="{14DE4805-8660-4C57-9EDB-C0FEB967CFA6}"/>
    <hyperlink ref="F30" r:id="rId25" xr:uid="{C64C7C02-BC39-432E-8158-8B173C319F29}"/>
    <hyperlink ref="F32" r:id="rId26" xr:uid="{CC4FF2BD-9B56-46DE-985B-52BD532FE8DB}"/>
    <hyperlink ref="F31" r:id="rId27" xr:uid="{53225D15-B810-4ACD-A37C-BAC1165C213C}"/>
    <hyperlink ref="F33" r:id="rId28" xr:uid="{AABCEED5-05DC-49E0-8ADB-116202B1EB5C}"/>
    <hyperlink ref="F34" r:id="rId29" xr:uid="{2602ECC5-B63D-4281-825E-001CB2C1D512}"/>
    <hyperlink ref="F35" r:id="rId30" xr:uid="{18A55C03-0638-4F80-83E7-2EF4B34547DC}"/>
    <hyperlink ref="F37" r:id="rId31" xr:uid="{D151731B-6FC4-4D2C-8B18-C0F387C8BBE3}"/>
    <hyperlink ref="F39" r:id="rId32" xr:uid="{01D45C53-1AE6-4CE0-A4F8-5C4BB98467E8}"/>
    <hyperlink ref="F40" r:id="rId33" xr:uid="{D6D64340-1580-41F4-B24C-B901863A52B3}"/>
    <hyperlink ref="F41" r:id="rId34" xr:uid="{7F985528-88EE-41A5-AB0D-34BA5DB76193}"/>
    <hyperlink ref="F42" r:id="rId35" xr:uid="{345A3261-8109-4F83-B58F-54627DFDE88B}"/>
    <hyperlink ref="F77" r:id="rId36" xr:uid="{3DC96D51-2883-422F-98DE-3B2359E5537C}"/>
    <hyperlink ref="F36" r:id="rId37" xr:uid="{825CDDFF-D1ED-4C26-8D29-8FBFB30451CA}"/>
    <hyperlink ref="F38" r:id="rId38" xr:uid="{9315298A-CB2D-45CA-8601-8B125AB0D4E7}"/>
    <hyperlink ref="F46" r:id="rId39" xr:uid="{DA51A9CE-D0C4-4AE9-9650-5A1CCC2A2792}"/>
    <hyperlink ref="F48" r:id="rId40" xr:uid="{C2BE6BD9-4199-48DC-A1FC-96B5B0A9D217}"/>
    <hyperlink ref="F49" r:id="rId41" xr:uid="{84B7BBA9-34DC-4E11-ACFC-C9752FA56C83}"/>
    <hyperlink ref="F50" r:id="rId42" xr:uid="{67C5F216-CADF-4BEA-9272-B515B08F1FEC}"/>
    <hyperlink ref="F51" r:id="rId43" xr:uid="{A1C8044A-9D33-45B8-96FE-FA2543A5F221}"/>
    <hyperlink ref="F55" r:id="rId44" xr:uid="{4D2A9C25-D669-459D-8714-554EAF7D1BDF}"/>
    <hyperlink ref="F54" r:id="rId45" xr:uid="{16FF1D06-E448-4FA5-A74C-BD0354A7485D}"/>
    <hyperlink ref="F53" r:id="rId46" xr:uid="{CC272D24-4343-4D33-9FD1-2581FA6E7D63}"/>
    <hyperlink ref="F52" r:id="rId47" xr:uid="{C1AE13E8-D181-4E98-BFD3-23C6C775E7E4}"/>
    <hyperlink ref="F59" r:id="rId48" xr:uid="{09F1BDDD-0610-49B3-AD8B-4111A34C331C}"/>
    <hyperlink ref="F57" r:id="rId49" xr:uid="{53A9A317-5045-4876-8879-B990D7F744B5}"/>
    <hyperlink ref="F56" r:id="rId50" xr:uid="{62D07F75-33E3-4140-A3F4-001FE2A7D593}"/>
    <hyperlink ref="F60" r:id="rId51" xr:uid="{0A813920-72C4-44B6-8232-88D132A70DE9}"/>
    <hyperlink ref="F62" r:id="rId52" xr:uid="{3AF01FDD-ECAD-4701-B33D-106DA6EE8FC3}"/>
    <hyperlink ref="F61" r:id="rId53" xr:uid="{9835457B-A6ED-4E5D-8790-AE7C0BBEBA28}"/>
    <hyperlink ref="F66" r:id="rId54" xr:uid="{121AB7AF-51A9-4644-A9E8-A517DF03803D}"/>
    <hyperlink ref="F68" r:id="rId55" xr:uid="{352C5F4D-9CD0-493A-BF2E-7E01C0CD67F7}"/>
    <hyperlink ref="F67" r:id="rId56" xr:uid="{C5A2AA83-FADD-43AA-B3DE-C73EC4BDF993}"/>
    <hyperlink ref="F70" r:id="rId57" xr:uid="{A1B44BC5-A9D7-4AAE-9390-CE3752D825C5}"/>
    <hyperlink ref="F71" r:id="rId58" xr:uid="{B8697A7B-A9D1-4A26-B420-360D30C4B0E5}"/>
    <hyperlink ref="F72" r:id="rId59" xr:uid="{6B2331F7-FF23-4CEB-BDE2-58B8F6C7A0DD}"/>
    <hyperlink ref="F73" r:id="rId60" xr:uid="{E065C15B-D772-4EF1-A63F-7BF5DA24E4FB}"/>
    <hyperlink ref="F74" r:id="rId61" xr:uid="{3F6EF050-D885-431C-B1E0-318BD585762D}"/>
    <hyperlink ref="F45" r:id="rId62" xr:uid="{57B733CF-23FE-4DAD-929D-558E70FD3430}"/>
    <hyperlink ref="F44" r:id="rId63" xr:uid="{C598F9C4-8D35-46B0-882F-42A606B2E36E}"/>
    <hyperlink ref="F43" r:id="rId64" xr:uid="{E0949463-45CF-453F-B2E8-014A8E76F140}"/>
    <hyperlink ref="F65" r:id="rId65" xr:uid="{B7F8BE56-E4D0-4576-948C-CC6DAD899777}"/>
    <hyperlink ref="F64" r:id="rId66" xr:uid="{CDAC243F-94A1-4ACF-9E84-9C7FBFE2388E}"/>
    <hyperlink ref="F58" r:id="rId67" xr:uid="{62AACFEA-123A-4C41-8092-46D5B6658E01}"/>
  </hyperlinks>
  <pageMargins left="0.7" right="0.7" top="0.75" bottom="0.75" header="0.3" footer="0.3"/>
  <pageSetup paperSize="9" orientation="portrait" verticalDpi="300" r:id="rId68"/>
  <drawing r:id="rId69"/>
  <tableParts count="1">
    <tablePart r:id="rId70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0C706DE-C46B-4990-8CF1-9366A9E6FC53}">
          <x14:formula1>
            <xm:f>L.D.!$C$4:$C$21</xm:f>
          </x14:formula1>
          <xm:sqref>G6:G79</xm:sqref>
        </x14:dataValidation>
        <x14:dataValidation type="list" allowBlank="1" showInputMessage="1" showErrorMessage="1" xr:uid="{EC4355DF-5CA9-4650-930B-AECE3E1ADEE5}">
          <x14:formula1>
            <xm:f>fournisseurs!$A$5:$A$9</xm:f>
          </x14:formula1>
          <xm:sqref>A6:A79</xm:sqref>
        </x14:dataValidation>
        <x14:dataValidation type="list" allowBlank="1" showInputMessage="1" showErrorMessage="1" xr:uid="{F922EB27-957C-4BBB-87BB-4B8B9702F02A}">
          <x14:formula1>
            <xm:f>'creation de commande'!$E$4:$E$7</xm:f>
          </x14:formula1>
          <xm:sqref>H6:H79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EE2BA-9F38-46C0-869B-8702E8CBF84E}">
  <dimension ref="A1:O52"/>
  <sheetViews>
    <sheetView tabSelected="1" topLeftCell="A4" zoomScaleNormal="100" workbookViewId="0">
      <selection activeCell="B15" sqref="B15"/>
    </sheetView>
  </sheetViews>
  <sheetFormatPr baseColWidth="10" defaultColWidth="9.140625" defaultRowHeight="12.75" x14ac:dyDescent="0.25"/>
  <cols>
    <col min="1" max="1" width="3.140625" style="77" customWidth="1"/>
    <col min="2" max="2" width="18" style="77" bestFit="1" customWidth="1"/>
    <col min="3" max="3" width="18.28515625" style="77" customWidth="1"/>
    <col min="4" max="4" width="4.42578125" style="77" customWidth="1"/>
    <col min="5" max="5" width="6.5703125" style="77" customWidth="1"/>
    <col min="6" max="6" width="10" style="77" customWidth="1"/>
    <col min="7" max="7" width="4.42578125" style="77" customWidth="1"/>
    <col min="8" max="8" width="12.28515625" style="77" customWidth="1"/>
    <col min="9" max="9" width="22" style="77" customWidth="1"/>
    <col min="10" max="10" width="1.140625" style="77" customWidth="1"/>
    <col min="11" max="11" width="15.7109375" style="77" customWidth="1"/>
    <col min="12" max="12" width="19" style="77" customWidth="1"/>
    <col min="13" max="13" width="3.140625" style="77" customWidth="1"/>
    <col min="14" max="14" width="9.140625" style="77"/>
    <col min="15" max="15" width="11.28515625" style="77" customWidth="1"/>
    <col min="16" max="16384" width="9.140625" style="77"/>
  </cols>
  <sheetData>
    <row r="1" spans="1:13" ht="58.5" customHeight="1" x14ac:dyDescent="0.25">
      <c r="A1" s="74"/>
      <c r="B1" s="121" t="str">
        <f>VLOOKUP(L1,'creation de commande'!A4:J8,3,FALSE)</f>
        <v>Best Hygiene</v>
      </c>
      <c r="C1" s="121"/>
      <c r="D1" s="121"/>
      <c r="E1" s="121"/>
      <c r="F1" s="121"/>
      <c r="G1" s="121"/>
      <c r="H1" s="121"/>
      <c r="I1" s="121"/>
      <c r="J1" s="75"/>
      <c r="K1" s="75" t="s">
        <v>313</v>
      </c>
      <c r="L1" s="112">
        <v>3</v>
      </c>
      <c r="M1" s="76"/>
    </row>
    <row r="2" spans="1:13" s="74" customFormat="1" ht="6" customHeight="1" x14ac:dyDescent="0.25">
      <c r="B2" s="78"/>
      <c r="C2" s="78"/>
      <c r="D2" s="78"/>
      <c r="E2" s="78"/>
      <c r="F2" s="78"/>
      <c r="G2" s="78"/>
      <c r="H2" s="78"/>
      <c r="I2" s="78"/>
      <c r="J2" s="79"/>
      <c r="K2" s="79"/>
      <c r="L2" s="79"/>
      <c r="M2" s="79"/>
    </row>
    <row r="3" spans="1:13" s="74" customFormat="1" ht="6.75" customHeight="1" x14ac:dyDescent="0.25">
      <c r="B3" s="80"/>
      <c r="C3" s="80"/>
      <c r="D3" s="80"/>
      <c r="E3" s="80"/>
      <c r="F3" s="80"/>
      <c r="G3" s="80"/>
      <c r="H3" s="80"/>
      <c r="I3" s="80"/>
      <c r="J3" s="81"/>
      <c r="K3" s="81"/>
      <c r="L3" s="81"/>
      <c r="M3" s="81"/>
    </row>
    <row r="4" spans="1:13" ht="15" customHeight="1" x14ac:dyDescent="0.2">
      <c r="B4" s="107" t="s">
        <v>288</v>
      </c>
      <c r="C4" s="128" t="str">
        <f>VLOOKUP(B1,fournisseurs!A4:L9,4,FALSE)</f>
        <v>Route de Mont de Marsan Départementale 20E</v>
      </c>
      <c r="D4" s="128"/>
      <c r="E4" s="122" t="s">
        <v>55</v>
      </c>
      <c r="F4" s="122"/>
      <c r="G4" s="129" t="str">
        <f>VLOOKUP(B1,fournisseurs!A4:L9,3,FALSE)</f>
        <v>Contact</v>
      </c>
      <c r="H4" s="129"/>
      <c r="I4" s="108" t="s">
        <v>300</v>
      </c>
      <c r="J4" s="82"/>
      <c r="K4" s="140" t="str">
        <f>VLOOKUP(B1,fournisseurs!A4:L9,8,FALSE)</f>
        <v>service-client@best-hygiene.com</v>
      </c>
      <c r="L4" s="140"/>
      <c r="M4" s="140"/>
    </row>
    <row r="5" spans="1:13" ht="15" customHeight="1" x14ac:dyDescent="0.2">
      <c r="B5" s="107" t="s">
        <v>6</v>
      </c>
      <c r="C5" s="128">
        <f>VLOOKUP(B1,fournisseurs!A4:L9,5,FALSE)</f>
        <v>40400</v>
      </c>
      <c r="D5" s="128"/>
      <c r="E5" s="122" t="s">
        <v>290</v>
      </c>
      <c r="F5" s="122"/>
      <c r="G5" s="141" t="str">
        <f>VLOOKUP(B1,fournisseurs!A4:L9,7,FALSE)</f>
        <v>telephone</v>
      </c>
      <c r="H5" s="141"/>
      <c r="I5" s="108" t="s">
        <v>301</v>
      </c>
      <c r="J5" s="82"/>
      <c r="K5" s="140" t="str">
        <f>VLOOKUP(B1,fournisseurs!A4:L9,9,FALSE)</f>
        <v>http://www.best-hygiene.com/</v>
      </c>
      <c r="L5" s="140"/>
      <c r="M5" s="140"/>
    </row>
    <row r="6" spans="1:13" ht="15" customHeight="1" x14ac:dyDescent="0.2">
      <c r="B6" s="83" t="s">
        <v>299</v>
      </c>
      <c r="C6" s="129" t="str">
        <f>VLOOKUP(B1,fournisseurs!A4:L9,6,FALSE)</f>
        <v>SAUGNAC ET MURET</v>
      </c>
      <c r="D6" s="129"/>
      <c r="E6" s="122" t="s">
        <v>289</v>
      </c>
      <c r="F6" s="122"/>
      <c r="G6" s="141" t="str">
        <f>VLOOKUP(B1,fournisseurs!A4:L9,7,FALSE)</f>
        <v>telephone</v>
      </c>
      <c r="H6" s="141"/>
      <c r="I6" s="84"/>
      <c r="J6" s="82"/>
      <c r="K6" s="82"/>
      <c r="L6" s="82"/>
      <c r="M6" s="82"/>
    </row>
    <row r="8" spans="1:13" s="85" customFormat="1" ht="18" customHeight="1" x14ac:dyDescent="0.2">
      <c r="B8" s="86" t="s">
        <v>291</v>
      </c>
      <c r="C8" s="130" t="str">
        <f>VLOOKUP(L1,'creation de commande'!A4:J8,2,FALSE)</f>
        <v>Osterode</v>
      </c>
      <c r="D8" s="130"/>
      <c r="E8" s="130"/>
      <c r="F8" s="86" t="s">
        <v>302</v>
      </c>
      <c r="G8" s="131" t="str">
        <f>VLOOKUP(C8,Site!B3:M11,4,FALSE)</f>
        <v>Cabit Cyril</v>
      </c>
      <c r="H8" s="131"/>
      <c r="I8" s="131"/>
      <c r="J8" s="87"/>
      <c r="K8" s="86" t="s">
        <v>293</v>
      </c>
      <c r="L8" s="88">
        <f>VLOOKUP(C8,Site!B3:L11,11,FALSE)</f>
        <v>0</v>
      </c>
    </row>
    <row r="9" spans="1:13" s="85" customFormat="1" ht="18" customHeight="1" x14ac:dyDescent="0.2">
      <c r="B9" s="86" t="s">
        <v>294</v>
      </c>
      <c r="C9" s="132" t="str">
        <f>VLOOKUP(C8,Site!B3:M11,5,FALSE)</f>
        <v>819 route du mas rillier</v>
      </c>
      <c r="D9" s="132"/>
      <c r="E9" s="132"/>
      <c r="F9" s="86" t="s">
        <v>292</v>
      </c>
      <c r="G9" s="131">
        <f>VLOOKUP(C8,Site!B3:M11,9,FALSE)</f>
        <v>0</v>
      </c>
      <c r="H9" s="131"/>
      <c r="I9" s="131"/>
      <c r="J9" s="89"/>
      <c r="K9" s="86" t="s">
        <v>315</v>
      </c>
      <c r="L9" s="90" t="str">
        <f>VLOOKUP(L1,FacturesPrincipal[[#Headers],[#Data]],5,FALSE)</f>
        <v>Ost - CHU_BEST_avr</v>
      </c>
    </row>
    <row r="10" spans="1:13" s="85" customFormat="1" ht="18" customHeight="1" x14ac:dyDescent="0.2">
      <c r="B10" s="87" t="s">
        <v>6</v>
      </c>
      <c r="C10" s="132">
        <f>VLOOKUP(C8,Site!B3:M11,8,FALSE)</f>
        <v>69140</v>
      </c>
      <c r="D10" s="132"/>
      <c r="E10" s="132"/>
      <c r="F10" s="86" t="s">
        <v>295</v>
      </c>
      <c r="G10" s="130">
        <f>VLOOKUP(C8,Site!B3:M11,12,FALSE)</f>
        <v>0</v>
      </c>
      <c r="H10" s="130"/>
      <c r="I10" s="130"/>
      <c r="J10" s="87"/>
      <c r="K10" s="90"/>
      <c r="L10" s="90"/>
    </row>
    <row r="11" spans="1:13" ht="18" customHeight="1" x14ac:dyDescent="0.2">
      <c r="B11" s="109" t="s">
        <v>4</v>
      </c>
      <c r="C11" s="123" t="str">
        <f>VLOOKUP(C8,Site!B3:M11,6,FALSE)</f>
        <v>Rillieux la pape</v>
      </c>
      <c r="D11" s="123"/>
      <c r="E11" s="123"/>
      <c r="F11" s="86" t="s">
        <v>296</v>
      </c>
      <c r="G11" s="133">
        <f>VLOOKUP(C8,Site!B3:M11,10,FALSE)</f>
        <v>0</v>
      </c>
      <c r="H11" s="133"/>
      <c r="I11" s="133"/>
      <c r="J11" s="133"/>
      <c r="K11" s="91"/>
      <c r="L11" s="91"/>
    </row>
    <row r="12" spans="1:13" ht="21" customHeight="1" x14ac:dyDescent="0.25">
      <c r="B12" s="135" t="str">
        <f>"Facture pour : "&amp;IFERROR(VLOOKUP(rngFacture,'creation de commande'!A4:J9,5),"")</f>
        <v>Facture pour : N° commande</v>
      </c>
      <c r="C12" s="135"/>
      <c r="D12" s="135"/>
      <c r="E12" s="135"/>
      <c r="F12" s="135"/>
      <c r="G12" s="135"/>
      <c r="H12" s="135"/>
      <c r="I12" s="135"/>
      <c r="J12" s="135"/>
      <c r="K12" s="135"/>
    </row>
    <row r="13" spans="1:13" ht="21" customHeight="1" x14ac:dyDescent="0.25">
      <c r="B13" s="92"/>
      <c r="C13" s="92"/>
      <c r="D13" s="92"/>
      <c r="E13" s="92"/>
      <c r="F13" s="92"/>
      <c r="G13" s="92"/>
      <c r="H13" s="92"/>
      <c r="I13" s="92"/>
      <c r="J13" s="92"/>
      <c r="K13" s="92"/>
    </row>
    <row r="14" spans="1:13" s="93" customFormat="1" ht="23.25" customHeight="1" x14ac:dyDescent="0.25">
      <c r="B14" s="94" t="s">
        <v>303</v>
      </c>
      <c r="C14" s="134" t="s">
        <v>78</v>
      </c>
      <c r="D14" s="134"/>
      <c r="E14" s="134"/>
      <c r="F14" s="134"/>
      <c r="G14" s="134"/>
      <c r="H14" s="95" t="s">
        <v>283</v>
      </c>
      <c r="I14" s="136" t="s">
        <v>79</v>
      </c>
      <c r="J14" s="136"/>
      <c r="K14" s="95" t="s">
        <v>80</v>
      </c>
      <c r="L14" s="96" t="s">
        <v>297</v>
      </c>
    </row>
    <row r="15" spans="1:13" s="93" customFormat="1" ht="20.100000000000001" customHeight="1" x14ac:dyDescent="0.25">
      <c r="B15" s="97" t="str">
        <f>IFERROR(INDEX(Détailsfacture[],SMALL(IF(Détailsfacture[N° commande]=rngFacture,ROW(Détailsfacture[])-ROW(Détailsfacture[#Headers])), ROW(1:1)), MATCH($B$14, Détailsfacture[#Headers], 0)),"")</f>
        <v>SANINOV</v>
      </c>
      <c r="C15" s="124"/>
      <c r="D15" s="125"/>
      <c r="E15" s="125"/>
      <c r="F15" s="125"/>
      <c r="G15" s="126"/>
      <c r="H15" s="98" t="str">
        <f t="array" ref="H15">IFERROR(INDEX([1]!Détailsfacture[#Data],SMALL(IF([1]!Détailsfacture[N° de commande]=rngFacture,ROW([1]!Détailsfacture[#Data])-ROW([1]!Détailsfacture[#Headers])), ROW(1:1)), MATCH($H$14, [1]!Détailsfacture[#Headers], 0)),"")</f>
        <v/>
      </c>
      <c r="I15" s="127" t="str">
        <f t="array" ref="I15">IFERROR(INDEX([1]!Détailsfacture[#Data],SMALL(IF([1]!Détailsfacture[N° de commande]=rngFacture,ROW([1]!Détailsfacture[#Data])-ROW([1]!Détailsfacture[#Headers])), ROW(1:1)), MATCH($I$14, [1]!Détailsfacture[#Headers], 0)),"")</f>
        <v/>
      </c>
      <c r="J15" s="127"/>
      <c r="K15" s="99" t="str">
        <f>IFERROR(INDEX([1]!Détailsfacture[#Data],SMALL(IF([1]!Détailsfacture[N° de commande]=rngFacture,ROW([1]!Détailsfacture[#Data])-ROW([1]!Détailsfacture[#Headers])), ROW(1:1)), MATCH($K$14, [1]!Détailsfacture[#Headers], 0)),"")</f>
        <v/>
      </c>
      <c r="L15" s="100" t="str">
        <f>IFERROR((H15*I15)-K15,"")</f>
        <v/>
      </c>
    </row>
    <row r="16" spans="1:13" s="93" customFormat="1" ht="20.100000000000001" customHeight="1" x14ac:dyDescent="0.25">
      <c r="B16" s="97" t="str">
        <f>IFERROR(INDEX(Détailsfacture[],SMALL(IF(Détailsfacture[N° commande]=rngFacture,ROW(Détailsfacture[])-ROW(Détailsfacture[#Headers])), ROW(2:2)), MATCH($B$14, Détailsfacture[#Headers], 0)),"")</f>
        <v/>
      </c>
      <c r="C16" s="124" t="str">
        <f t="array" ref="C16">IFERROR(INDEX([1]!Détailsfacture[#Data],SMALL(IF([1]!Détailsfacture[N° de commande]=rngFacture,ROW([1]!Détailsfacture[#Data])-ROW([1]!Détailsfacture[#Headers])), ROW(2:2)), MATCH($C$14, [1]!Détailsfacture[#Headers], 0)),"")</f>
        <v/>
      </c>
      <c r="D16" s="125"/>
      <c r="E16" s="125"/>
      <c r="F16" s="125"/>
      <c r="G16" s="126"/>
      <c r="H16" s="98" t="str">
        <f t="array" ref="H16">IFERROR(INDEX([1]!Détailsfacture[#Data],SMALL(IF([1]!Détailsfacture[N° de commande]=rngFacture,ROW([1]!Détailsfacture[#Data])-ROW([1]!Détailsfacture[#Headers])), ROW(2:2)), MATCH($H$14, [1]!Détailsfacture[#Headers], 0)),"")</f>
        <v/>
      </c>
      <c r="I16" s="127" t="str">
        <f t="array" ref="I16">IFERROR(INDEX([1]!Détailsfacture[#Data],SMALL(IF([1]!Détailsfacture[N° de commande]=rngFacture,ROW([1]!Détailsfacture[#Data])-ROW([1]!Détailsfacture[#Headers])), ROW(2:2)), MATCH($I$14, [1]!Détailsfacture[#Headers], 0)),"")</f>
        <v/>
      </c>
      <c r="J16" s="127"/>
      <c r="K16" s="99">
        <v>0</v>
      </c>
      <c r="L16" s="100" t="str">
        <f t="shared" ref="L16:L39" si="0">IFERROR((H16*I16)-K16,"")</f>
        <v/>
      </c>
    </row>
    <row r="17" spans="2:12" s="93" customFormat="1" ht="20.100000000000001" customHeight="1" x14ac:dyDescent="0.25">
      <c r="B17" s="97" t="str">
        <f>IFERROR(INDEX(Détailsfacture[],SMALL(IF(Détailsfacture[N° commande]=rngFacture,ROW(Détailsfacture[])-ROW(Détailsfacture[#Headers])), ROW(3:3)), MATCH($B$14, Détailsfacture[#Headers], 0)),"")</f>
        <v/>
      </c>
      <c r="C17" s="124" t="str">
        <f t="array" ref="C17">IFERROR(INDEX([1]!Détailsfacture[#Data],SMALL(IF([1]!Détailsfacture[N° de commande]=rngFacture,ROW([1]!Détailsfacture[#Data])-ROW([1]!Détailsfacture[#Headers])), ROW(3:3)), MATCH($C$14, [1]!Détailsfacture[#Headers], 0)),"")</f>
        <v/>
      </c>
      <c r="D17" s="125"/>
      <c r="E17" s="125"/>
      <c r="F17" s="125"/>
      <c r="G17" s="126"/>
      <c r="H17" s="98" t="str">
        <f t="array" ref="H17">IFERROR(INDEX([1]!Détailsfacture[#Data],SMALL(IF([1]!Détailsfacture[N° de commande]=rngFacture,ROW([1]!Détailsfacture[#Data])-ROW([1]!Détailsfacture[#Headers])), ROW(3:3)), MATCH($H$14, [1]!Détailsfacture[#Headers], 0)),"")</f>
        <v/>
      </c>
      <c r="I17" s="127" t="str">
        <f t="array" ref="I17">IFERROR(INDEX([1]!Détailsfacture[#Data],SMALL(IF([1]!Détailsfacture[N° de commande]=rngFacture,ROW([1]!Détailsfacture[#Data])-ROW([1]!Détailsfacture[#Headers])), ROW(3:3)), MATCH($I$14, [1]!Détailsfacture[#Headers], 0)),"")</f>
        <v/>
      </c>
      <c r="J17" s="127"/>
      <c r="K17" s="99">
        <v>0</v>
      </c>
      <c r="L17" s="100" t="str">
        <f t="shared" si="0"/>
        <v/>
      </c>
    </row>
    <row r="18" spans="2:12" s="93" customFormat="1" ht="20.100000000000001" customHeight="1" x14ac:dyDescent="0.25">
      <c r="B18" s="97" t="str">
        <f>IFERROR(INDEX(Détailsfacture[],SMALL(IF(Détailsfacture[N° commande]=rngFacture,ROW(Détailsfacture[])-ROW(Détailsfacture[#Headers])), ROW(4:4)), MATCH($B$14, Détailsfacture[#Headers], 0)),"")</f>
        <v/>
      </c>
      <c r="C18" s="124" t="str">
        <f t="array" ref="C18">IFERROR(INDEX([1]!Détailsfacture[#Data],SMALL(IF([1]!Détailsfacture[N° de commande]=rngFacture,ROW([1]!Détailsfacture[#Data])-ROW([1]!Détailsfacture[#Headers])), ROW(4:4)), MATCH($C$14, [1]!Détailsfacture[#Headers], 0)),"")</f>
        <v/>
      </c>
      <c r="D18" s="125"/>
      <c r="E18" s="125"/>
      <c r="F18" s="125"/>
      <c r="G18" s="126"/>
      <c r="H18" s="98" t="str">
        <f t="array" ref="H18">IFERROR(INDEX([1]!Détailsfacture[#Data],SMALL(IF([1]!Détailsfacture[N° de commande]=rngFacture,ROW([1]!Détailsfacture[#Data])-ROW([1]!Détailsfacture[#Headers])), ROW(4:4)), MATCH($H$14, [1]!Détailsfacture[#Headers], 0)),"")</f>
        <v/>
      </c>
      <c r="I18" s="127" t="str">
        <f t="array" ref="I18">IFERROR(INDEX([1]!Détailsfacture[#Data],SMALL(IF([1]!Détailsfacture[N° de commande]=rngFacture,ROW([1]!Détailsfacture[#Data])-ROW([1]!Détailsfacture[#Headers])), ROW(4:4)), MATCH($I$14, [1]!Détailsfacture[#Headers], 0)),"")</f>
        <v/>
      </c>
      <c r="J18" s="127"/>
      <c r="K18" s="99">
        <v>0</v>
      </c>
      <c r="L18" s="100" t="str">
        <f t="shared" si="0"/>
        <v/>
      </c>
    </row>
    <row r="19" spans="2:12" s="93" customFormat="1" ht="20.100000000000001" customHeight="1" x14ac:dyDescent="0.25">
      <c r="B19" s="97" t="str">
        <f>IFERROR(INDEX(Détailsfacture[],SMALL(IF(Détailsfacture[N° commande]=rngFacture,ROW(Détailsfacture[])-ROW(Détailsfacture[#Headers])), ROW(5:5)), MATCH($B$14, Détailsfacture[#Headers], 0)),"")</f>
        <v/>
      </c>
      <c r="C19" s="124" t="str">
        <f t="array" ref="C19">IFERROR(INDEX([1]!Détailsfacture[#Data],SMALL(IF([1]!Détailsfacture[N° de commande]=rngFacture,ROW([1]!Détailsfacture[#Data])-ROW([1]!Détailsfacture[#Headers])), ROW(5:5)), MATCH($C$14, [1]!Détailsfacture[#Headers], 0)),"")</f>
        <v/>
      </c>
      <c r="D19" s="125"/>
      <c r="E19" s="125"/>
      <c r="F19" s="125"/>
      <c r="G19" s="126"/>
      <c r="H19" s="98" t="str">
        <f t="array" ref="H19">IFERROR(INDEX([1]!Détailsfacture[#Data],SMALL(IF([1]!Détailsfacture[N° de commande]=rngFacture,ROW([1]!Détailsfacture[#Data])-ROW([1]!Détailsfacture[#Headers])), ROW(5:5)), MATCH($H$14, [1]!Détailsfacture[#Headers], 0)),"")</f>
        <v/>
      </c>
      <c r="I19" s="127" t="str">
        <f t="array" ref="I19">IFERROR(INDEX([1]!Détailsfacture[#Data],SMALL(IF([1]!Détailsfacture[N° de commande]=rngFacture,ROW([1]!Détailsfacture[#Data])-ROW([1]!Détailsfacture[#Headers])), ROW(5:5)), MATCH($I$14, [1]!Détailsfacture[#Headers], 0)),"")</f>
        <v/>
      </c>
      <c r="J19" s="127"/>
      <c r="K19" s="99">
        <v>0</v>
      </c>
      <c r="L19" s="100" t="str">
        <f t="shared" si="0"/>
        <v/>
      </c>
    </row>
    <row r="20" spans="2:12" s="93" customFormat="1" ht="20.100000000000001" customHeight="1" x14ac:dyDescent="0.25">
      <c r="B20" s="97" t="str">
        <f>IFERROR(INDEX(Détailsfacture[],SMALL(IF(Détailsfacture[N° commande]=rngFacture,ROW(Détailsfacture[])-ROW(Détailsfacture[#Headers])), ROW(6:6)), MATCH($B$14, Détailsfacture[#Headers], 0)),"")</f>
        <v/>
      </c>
      <c r="C20" s="124" t="str">
        <f t="array" ref="C20">IFERROR(INDEX([1]!Détailsfacture[#Data],SMALL(IF([1]!Détailsfacture[N° de commande]=rngFacture,ROW([1]!Détailsfacture[#Data])-ROW([1]!Détailsfacture[#Headers])), ROW(6:6)), MATCH($C$14, [1]!Détailsfacture[#Headers], 0)),"")</f>
        <v/>
      </c>
      <c r="D20" s="125"/>
      <c r="E20" s="125"/>
      <c r="F20" s="125"/>
      <c r="G20" s="126"/>
      <c r="H20" s="98" t="str">
        <f t="array" ref="H20">IFERROR(INDEX([1]!Détailsfacture[#Data],SMALL(IF([1]!Détailsfacture[N° de commande]=rngFacture,ROW([1]!Détailsfacture[#Data])-ROW([1]!Détailsfacture[#Headers])), ROW(6:6)), MATCH($H$14, [1]!Détailsfacture[#Headers], 0)),"")</f>
        <v/>
      </c>
      <c r="I20" s="127" t="str">
        <f t="array" ref="I20">IFERROR(INDEX([1]!Détailsfacture[#Data],SMALL(IF([1]!Détailsfacture[N° de commande]=rngFacture,ROW([1]!Détailsfacture[#Data])-ROW([1]!Détailsfacture[#Headers])), ROW(6:6)), MATCH($I$14, [1]!Détailsfacture[#Headers], 0)),"")</f>
        <v/>
      </c>
      <c r="J20" s="127"/>
      <c r="K20" s="99">
        <v>0</v>
      </c>
      <c r="L20" s="100" t="str">
        <f t="shared" si="0"/>
        <v/>
      </c>
    </row>
    <row r="21" spans="2:12" s="93" customFormat="1" ht="20.100000000000001" customHeight="1" x14ac:dyDescent="0.25">
      <c r="B21" s="97" t="str">
        <f>IFERROR(INDEX(Détailsfacture[],SMALL(IF(Détailsfacture[N° commande]=rngFacture,ROW(Détailsfacture[])-ROW(Détailsfacture[#Headers])), ROW(7:7)), MATCH($B$14, Détailsfacture[#Headers], 0)),"")</f>
        <v/>
      </c>
      <c r="C21" s="124" t="str">
        <f t="array" ref="C21">IFERROR(INDEX([1]!Détailsfacture[#Data],SMALL(IF([1]!Détailsfacture[N° de commande]=rngFacture,ROW([1]!Détailsfacture[#Data])-ROW([1]!Détailsfacture[#Headers])), ROW(7:7)), MATCH($C$14, [1]!Détailsfacture[#Headers], 0)),"")</f>
        <v/>
      </c>
      <c r="D21" s="125"/>
      <c r="E21" s="125"/>
      <c r="F21" s="125"/>
      <c r="G21" s="126"/>
      <c r="H21" s="98" t="str">
        <f t="array" ref="H21">IFERROR(INDEX([1]!Détailsfacture[#Data],SMALL(IF([1]!Détailsfacture[N° de commande]=rngFacture,ROW([1]!Détailsfacture[#Data])-ROW([1]!Détailsfacture[#Headers])), ROW(7:7)), MATCH($H$14, [1]!Détailsfacture[#Headers], 0)),"")</f>
        <v/>
      </c>
      <c r="I21" s="127" t="str">
        <f t="array" ref="I21">IFERROR(INDEX([1]!Détailsfacture[#Data],SMALL(IF([1]!Détailsfacture[N° de commande]=rngFacture,ROW([1]!Détailsfacture[#Data])-ROW([1]!Détailsfacture[#Headers])), ROW(7:7)), MATCH($I$14, [1]!Détailsfacture[#Headers], 0)),"")</f>
        <v/>
      </c>
      <c r="J21" s="127"/>
      <c r="K21" s="99">
        <v>0</v>
      </c>
      <c r="L21" s="100" t="str">
        <f t="shared" si="0"/>
        <v/>
      </c>
    </row>
    <row r="22" spans="2:12" s="93" customFormat="1" ht="20.100000000000001" customHeight="1" x14ac:dyDescent="0.25">
      <c r="B22" s="97" t="str">
        <f>IFERROR(INDEX(Détailsfacture[],SMALL(IF(Détailsfacture[N° commande]=rngFacture,ROW(Détailsfacture[])-ROW(Détailsfacture[#Headers])), ROW(8:8)), MATCH($B$14, Détailsfacture[#Headers], 0)),"")</f>
        <v/>
      </c>
      <c r="C22" s="124" t="str">
        <f t="array" ref="C22">IFERROR(INDEX([1]!Détailsfacture[#Data],SMALL(IF([1]!Détailsfacture[N° de commande]=rngFacture,ROW([1]!Détailsfacture[#Data])-ROW([1]!Détailsfacture[#Headers])), ROW(8:8)), MATCH($C$14, [1]!Détailsfacture[#Headers], 0)),"")</f>
        <v/>
      </c>
      <c r="D22" s="125"/>
      <c r="E22" s="125"/>
      <c r="F22" s="125"/>
      <c r="G22" s="126"/>
      <c r="H22" s="98" t="str">
        <f t="array" ref="H22">IFERROR(INDEX([1]!Détailsfacture[#Data],SMALL(IF([1]!Détailsfacture[N° de commande]=rngFacture,ROW([1]!Détailsfacture[#Data])-ROW([1]!Détailsfacture[#Headers])), ROW(8:8)), MATCH($H$14, [1]!Détailsfacture[#Headers], 0)),"")</f>
        <v/>
      </c>
      <c r="I22" s="127" t="str">
        <f t="array" ref="I22">IFERROR(INDEX([1]!Détailsfacture[#Data],SMALL(IF([1]!Détailsfacture[N° de commande]=rngFacture,ROW([1]!Détailsfacture[#Data])-ROW([1]!Détailsfacture[#Headers])), ROW(8:8)), MATCH($I$14, [1]!Détailsfacture[#Headers], 0)),"")</f>
        <v/>
      </c>
      <c r="J22" s="127"/>
      <c r="K22" s="99">
        <v>0</v>
      </c>
      <c r="L22" s="100" t="str">
        <f t="shared" si="0"/>
        <v/>
      </c>
    </row>
    <row r="23" spans="2:12" s="93" customFormat="1" ht="20.100000000000001" customHeight="1" x14ac:dyDescent="0.25">
      <c r="B23" s="97" t="str">
        <f>IFERROR(INDEX(Détailsfacture[],SMALL(IF(Détailsfacture[N° commande]=rngFacture,ROW(Détailsfacture[])-ROW(Détailsfacture[#Headers])), ROW(9:9)), MATCH($B$14, Détailsfacture[#Headers], 0)),"")</f>
        <v/>
      </c>
      <c r="C23" s="124" t="str">
        <f t="array" ref="C23">IFERROR(INDEX([1]!Détailsfacture[#Data],SMALL(IF([1]!Détailsfacture[N° de commande]=rngFacture,ROW([1]!Détailsfacture[#Data])-ROW([1]!Détailsfacture[#Headers])), ROW(9:9)), MATCH($C$14, [1]!Détailsfacture[#Headers], 0)),"")</f>
        <v/>
      </c>
      <c r="D23" s="125"/>
      <c r="E23" s="125"/>
      <c r="F23" s="125"/>
      <c r="G23" s="126"/>
      <c r="H23" s="98" t="str">
        <f t="array" ref="H23">IFERROR(INDEX([1]!Détailsfacture[#Data],SMALL(IF([1]!Détailsfacture[N° de commande]=rngFacture,ROW([1]!Détailsfacture[#Data])-ROW([1]!Détailsfacture[#Headers])), ROW(9:9)), MATCH($H$14, [1]!Détailsfacture[#Headers], 0)),"")</f>
        <v/>
      </c>
      <c r="I23" s="127" t="str">
        <f t="array" ref="I23">IFERROR(INDEX([1]!Détailsfacture[#Data],SMALL(IF([1]!Détailsfacture[N° de commande]=rngFacture,ROW([1]!Détailsfacture[#Data])-ROW([1]!Détailsfacture[#Headers])), ROW(9:9)), MATCH($I$14, [1]!Détailsfacture[#Headers], 0)),"")</f>
        <v/>
      </c>
      <c r="J23" s="127"/>
      <c r="K23" s="99">
        <v>0</v>
      </c>
      <c r="L23" s="100" t="str">
        <f t="shared" si="0"/>
        <v/>
      </c>
    </row>
    <row r="24" spans="2:12" s="93" customFormat="1" ht="20.100000000000001" customHeight="1" x14ac:dyDescent="0.25">
      <c r="B24" s="97" t="str">
        <f>IFERROR(INDEX(Détailsfacture[],SMALL(IF(Détailsfacture[N° commande]=rngFacture,ROW(Détailsfacture[])-ROW(Détailsfacture[#Headers])), ROW(10:10)), MATCH($B$14, Détailsfacture[#Headers], 0)),"")</f>
        <v/>
      </c>
      <c r="C24" s="124" t="str">
        <f t="array" ref="C24">IFERROR(INDEX([1]!Détailsfacture[#Data],SMALL(IF([1]!Détailsfacture[N° de commande]=rngFacture,ROW([1]!Détailsfacture[#Data])-ROW([1]!Détailsfacture[#Headers])), ROW(10:10)), MATCH($C$14, [1]!Détailsfacture[#Headers], 0)),"")</f>
        <v/>
      </c>
      <c r="D24" s="125"/>
      <c r="E24" s="125"/>
      <c r="F24" s="125"/>
      <c r="G24" s="126"/>
      <c r="H24" s="98" t="str">
        <f t="array" ref="H24">IFERROR(INDEX([1]!Détailsfacture[#Data],SMALL(IF([1]!Détailsfacture[N° de commande]=rngFacture,ROW([1]!Détailsfacture[#Data])-ROW([1]!Détailsfacture[#Headers])), ROW(10:10)), MATCH($H$14, [1]!Détailsfacture[#Headers], 0)),"")</f>
        <v/>
      </c>
      <c r="I24" s="127" t="str">
        <f t="array" ref="I24">IFERROR(INDEX([1]!Détailsfacture[#Data],SMALL(IF([1]!Détailsfacture[N° de commande]=rngFacture,ROW([1]!Détailsfacture[#Data])-ROW([1]!Détailsfacture[#Headers])), ROW(10:10)), MATCH($I$14, [1]!Détailsfacture[#Headers], 0)),"")</f>
        <v/>
      </c>
      <c r="J24" s="127"/>
      <c r="K24" s="99">
        <v>0</v>
      </c>
      <c r="L24" s="100" t="str">
        <f t="shared" si="0"/>
        <v/>
      </c>
    </row>
    <row r="25" spans="2:12" s="93" customFormat="1" ht="20.100000000000001" customHeight="1" x14ac:dyDescent="0.25">
      <c r="B25" s="97" t="str">
        <f>IFERROR(INDEX(Détailsfacture[],SMALL(IF(Détailsfacture[N° commande]=rngFacture,ROW(Détailsfacture[])-ROW(Détailsfacture[#Headers])), ROW(11:11)), MATCH($B$14, Détailsfacture[#Headers], 0)),"")</f>
        <v/>
      </c>
      <c r="C25" s="124" t="str">
        <f t="array" ref="C25">IFERROR(INDEX([1]!Détailsfacture[#Data],SMALL(IF([1]!Détailsfacture[N° de commande]=rngFacture,ROW([1]!Détailsfacture[#Data])-ROW([1]!Détailsfacture[#Headers])), ROW(11:11)), MATCH($C$14, [1]!Détailsfacture[#Headers], 0)),"")</f>
        <v/>
      </c>
      <c r="D25" s="125"/>
      <c r="E25" s="125"/>
      <c r="F25" s="125"/>
      <c r="G25" s="126"/>
      <c r="H25" s="98" t="str">
        <f t="array" ref="H25">IFERROR(INDEX([1]!Détailsfacture[#Data],SMALL(IF([1]!Détailsfacture[N° de commande]=rngFacture,ROW([1]!Détailsfacture[#Data])-ROW([1]!Détailsfacture[#Headers])), ROW(11:11)), MATCH($H$14, [1]!Détailsfacture[#Headers], 0)),"")</f>
        <v/>
      </c>
      <c r="I25" s="127" t="str">
        <f t="array" ref="I25">IFERROR(INDEX([1]!Détailsfacture[#Data],SMALL(IF([1]!Détailsfacture[N° de commande]=rngFacture,ROW([1]!Détailsfacture[#Data])-ROW([1]!Détailsfacture[#Headers])), ROW(11:11)), MATCH($I$14, [1]!Détailsfacture[#Headers], 0)),"")</f>
        <v/>
      </c>
      <c r="J25" s="127"/>
      <c r="K25" s="99">
        <v>0</v>
      </c>
      <c r="L25" s="100" t="str">
        <f t="shared" si="0"/>
        <v/>
      </c>
    </row>
    <row r="26" spans="2:12" s="93" customFormat="1" ht="20.100000000000001" customHeight="1" x14ac:dyDescent="0.25">
      <c r="B26" s="97" t="str">
        <f>IFERROR(INDEX(Détailsfacture[],SMALL(IF(Détailsfacture[N° commande]=rngFacture,ROW(Détailsfacture[])-ROW(Détailsfacture[#Headers])), ROW(12:12)), MATCH($B$14, Détailsfacture[#Headers], 0)),"")</f>
        <v/>
      </c>
      <c r="C26" s="124" t="str">
        <f t="array" ref="C26">IFERROR(INDEX([1]!Détailsfacture[#Data],SMALL(IF([1]!Détailsfacture[N° de commande]=rngFacture,ROW([1]!Détailsfacture[#Data])-ROW([1]!Détailsfacture[#Headers])), ROW(12:12)), MATCH($C$14, [1]!Détailsfacture[#Headers], 0)),"")</f>
        <v/>
      </c>
      <c r="D26" s="125"/>
      <c r="E26" s="125"/>
      <c r="F26" s="125"/>
      <c r="G26" s="126"/>
      <c r="H26" s="98" t="str">
        <f t="array" ref="H26">IFERROR(INDEX([1]!Détailsfacture[#Data],SMALL(IF([1]!Détailsfacture[N° de commande]=rngFacture,ROW([1]!Détailsfacture[#Data])-ROW([1]!Détailsfacture[#Headers])), ROW(12:12)), MATCH($H$14, [1]!Détailsfacture[#Headers], 0)),"")</f>
        <v/>
      </c>
      <c r="I26" s="127" t="str">
        <f t="array" ref="I26">IFERROR(INDEX([1]!Détailsfacture[#Data],SMALL(IF([1]!Détailsfacture[N° de commande]=rngFacture,ROW([1]!Détailsfacture[#Data])-ROW([1]!Détailsfacture[#Headers])), ROW(12:12)), MATCH($I$14, [1]!Détailsfacture[#Headers], 0)),"")</f>
        <v/>
      </c>
      <c r="J26" s="127"/>
      <c r="K26" s="99">
        <v>0</v>
      </c>
      <c r="L26" s="100" t="str">
        <f t="shared" si="0"/>
        <v/>
      </c>
    </row>
    <row r="27" spans="2:12" s="93" customFormat="1" ht="20.100000000000001" customHeight="1" x14ac:dyDescent="0.25">
      <c r="B27" s="97" t="str">
        <f>IFERROR(INDEX(Détailsfacture[],SMALL(IF(Détailsfacture[N° commande]=rngFacture,ROW(Détailsfacture[])-ROW(Détailsfacture[#Headers])), ROW(13:13)), MATCH($B$14, Détailsfacture[#Headers], 0)),"")</f>
        <v/>
      </c>
      <c r="C27" s="124" t="str">
        <f t="array" ref="C27">IFERROR(INDEX([1]!Détailsfacture[#Data],SMALL(IF([1]!Détailsfacture[N° de commande]=rngFacture,ROW([1]!Détailsfacture[#Data])-ROW([1]!Détailsfacture[#Headers])), ROW(14:14)), MATCH($C$14, [1]!Détailsfacture[#Headers], 0)),"")</f>
        <v/>
      </c>
      <c r="D27" s="125"/>
      <c r="E27" s="125"/>
      <c r="F27" s="125"/>
      <c r="G27" s="126"/>
      <c r="H27" s="98" t="str">
        <f t="array" ref="H27">IFERROR(INDEX([1]!Détailsfacture[#Data],SMALL(IF([1]!Détailsfacture[N° de commande]=rngFacture,ROW([1]!Détailsfacture[#Data])-ROW([1]!Détailsfacture[#Headers])), ROW(14:14)), MATCH($H$14, [1]!Détailsfacture[#Headers], 0)),"")</f>
        <v/>
      </c>
      <c r="I27" s="127" t="str">
        <f t="array" ref="I27">IFERROR(INDEX([1]!Détailsfacture[#Data],SMALL(IF([1]!Détailsfacture[N° de commande]=rngFacture,ROW([1]!Détailsfacture[#Data])-ROW([1]!Détailsfacture[#Headers])), ROW(14:14)), MATCH($I$14, [1]!Détailsfacture[#Headers], 0)),"")</f>
        <v/>
      </c>
      <c r="J27" s="127"/>
      <c r="K27" s="99">
        <v>0</v>
      </c>
      <c r="L27" s="100" t="str">
        <f t="shared" si="0"/>
        <v/>
      </c>
    </row>
    <row r="28" spans="2:12" s="93" customFormat="1" ht="20.100000000000001" customHeight="1" x14ac:dyDescent="0.25">
      <c r="B28" s="97" t="str">
        <f>IFERROR(INDEX(Détailsfacture[],SMALL(IF(Détailsfacture[N° commande]=rngFacture,ROW(Détailsfacture[])-ROW(Détailsfacture[#Headers])), ROW(14:14)), MATCH($B$14, Détailsfacture[#Headers], 0)),"")</f>
        <v/>
      </c>
      <c r="C28" s="124" t="str">
        <f t="array" ref="C28">IFERROR(INDEX([1]!Détailsfacture[#Data],SMALL(IF([1]!Détailsfacture[N° de commande]=rngFacture,ROW([1]!Détailsfacture[#Data])-ROW([1]!Détailsfacture[#Headers])), ROW(15:15)), MATCH($C$14, [1]!Détailsfacture[#Headers], 0)),"")</f>
        <v/>
      </c>
      <c r="D28" s="125"/>
      <c r="E28" s="125"/>
      <c r="F28" s="125"/>
      <c r="G28" s="126"/>
      <c r="H28" s="98" t="str">
        <f t="array" ref="H28">IFERROR(INDEX([1]!Détailsfacture[#Data],SMALL(IF([1]!Détailsfacture[N° de commande]=rngFacture,ROW([1]!Détailsfacture[#Data])-ROW([1]!Détailsfacture[#Headers])), ROW(15:15)), MATCH($H$14, [1]!Détailsfacture[#Headers], 0)),"")</f>
        <v/>
      </c>
      <c r="I28" s="127" t="str">
        <f t="array" ref="I28">IFERROR(INDEX([1]!Détailsfacture[#Data],SMALL(IF([1]!Détailsfacture[N° de commande]=rngFacture,ROW([1]!Détailsfacture[#Data])-ROW([1]!Détailsfacture[#Headers])), ROW(15:15)), MATCH($I$14, [1]!Détailsfacture[#Headers], 0)),"")</f>
        <v/>
      </c>
      <c r="J28" s="127"/>
      <c r="K28" s="99">
        <v>0</v>
      </c>
      <c r="L28" s="100" t="str">
        <f t="shared" si="0"/>
        <v/>
      </c>
    </row>
    <row r="29" spans="2:12" s="93" customFormat="1" ht="20.100000000000001" customHeight="1" x14ac:dyDescent="0.25">
      <c r="B29" s="97" t="str">
        <f>IFERROR(INDEX(Détailsfacture[],SMALL(IF(Détailsfacture[N° commande]=rngFacture,ROW(Détailsfacture[])-ROW(Détailsfacture[#Headers])), ROW(15:15)), MATCH($B$14, Détailsfacture[#Headers], 0)),"")</f>
        <v/>
      </c>
      <c r="C29" s="124" t="str">
        <f t="array" ref="C29">IFERROR(INDEX([1]!Détailsfacture[#Data],SMALL(IF([1]!Détailsfacture[N° de commande]=rngFacture,ROW([1]!Détailsfacture[#Data])-ROW([1]!Détailsfacture[#Headers])), ROW(16:16)), MATCH($C$14, [1]!Détailsfacture[#Headers], 0)),"")</f>
        <v/>
      </c>
      <c r="D29" s="125"/>
      <c r="E29" s="125"/>
      <c r="F29" s="125"/>
      <c r="G29" s="126"/>
      <c r="H29" s="98" t="str">
        <f t="array" ref="H29">IFERROR(INDEX([1]!Détailsfacture[#Data],SMALL(IF([1]!Détailsfacture[N° de commande]=rngFacture,ROW([1]!Détailsfacture[#Data])-ROW([1]!Détailsfacture[#Headers])), ROW(16:16)), MATCH($H$14, [1]!Détailsfacture[#Headers], 0)),"")</f>
        <v/>
      </c>
      <c r="I29" s="127" t="str">
        <f t="array" ref="I29">IFERROR(INDEX([1]!Détailsfacture[#Data],SMALL(IF([1]!Détailsfacture[N° de commande]=rngFacture,ROW([1]!Détailsfacture[#Data])-ROW([1]!Détailsfacture[#Headers])), ROW(16:16)), MATCH($I$14, [1]!Détailsfacture[#Headers], 0)),"")</f>
        <v/>
      </c>
      <c r="J29" s="127"/>
      <c r="K29" s="99">
        <v>0</v>
      </c>
      <c r="L29" s="100" t="str">
        <f t="shared" si="0"/>
        <v/>
      </c>
    </row>
    <row r="30" spans="2:12" s="93" customFormat="1" ht="20.100000000000001" customHeight="1" x14ac:dyDescent="0.25">
      <c r="B30" s="97" t="str">
        <f>IFERROR(INDEX(Détailsfacture[],SMALL(IF(Détailsfacture[N° commande]=rngFacture,ROW(Détailsfacture[])-ROW(Détailsfacture[#Headers])), ROW(16:16)), MATCH($B$14, Détailsfacture[#Headers], 0)),"")</f>
        <v/>
      </c>
      <c r="C30" s="124" t="str">
        <f t="array" ref="C30">IFERROR(INDEX([1]!Détailsfacture[#Data],SMALL(IF([1]!Détailsfacture[N° de commande]=rngFacture,ROW([1]!Détailsfacture[#Data])-ROW([1]!Détailsfacture[#Headers])), ROW(17:17)), MATCH($C$14, [1]!Détailsfacture[#Headers], 0)),"")</f>
        <v/>
      </c>
      <c r="D30" s="125"/>
      <c r="E30" s="125"/>
      <c r="F30" s="125"/>
      <c r="G30" s="126"/>
      <c r="H30" s="98" t="str">
        <f t="array" ref="H30">IFERROR(INDEX([1]!Détailsfacture[#Data],SMALL(IF([1]!Détailsfacture[N° de commande]=rngFacture,ROW([1]!Détailsfacture[#Data])-ROW([1]!Détailsfacture[#Headers])), ROW(17:17)), MATCH($H$14, [1]!Détailsfacture[#Headers], 0)),"")</f>
        <v/>
      </c>
      <c r="I30" s="127" t="str">
        <f t="array" ref="I30">IFERROR(INDEX([1]!Détailsfacture[#Data],SMALL(IF([1]!Détailsfacture[N° de commande]=rngFacture,ROW([1]!Détailsfacture[#Data])-ROW([1]!Détailsfacture[#Headers])), ROW(17:17)), MATCH($I$14, [1]!Détailsfacture[#Headers], 0)),"")</f>
        <v/>
      </c>
      <c r="J30" s="127"/>
      <c r="K30" s="99">
        <v>0</v>
      </c>
      <c r="L30" s="100" t="str">
        <f t="shared" si="0"/>
        <v/>
      </c>
    </row>
    <row r="31" spans="2:12" s="93" customFormat="1" ht="20.100000000000001" customHeight="1" x14ac:dyDescent="0.25">
      <c r="B31" s="97" t="str">
        <f>IFERROR(INDEX(Détailsfacture[],SMALL(IF(Détailsfacture[N° commande]=rngFacture,ROW(Détailsfacture[])-ROW(Détailsfacture[#Headers])), ROW(17:17)), MATCH($B$14, Détailsfacture[#Headers], 0)),"")</f>
        <v/>
      </c>
      <c r="C31" s="124" t="str">
        <f t="array" ref="C31">IFERROR(INDEX([1]!Détailsfacture[#Data],SMALL(IF([1]!Détailsfacture[N° de commande]=rngFacture,ROW([1]!Détailsfacture[#Data])-ROW([1]!Détailsfacture[#Headers])), ROW(18:18)), MATCH($C$14, [1]!Détailsfacture[#Headers], 0)),"")</f>
        <v/>
      </c>
      <c r="D31" s="125"/>
      <c r="E31" s="125"/>
      <c r="F31" s="125"/>
      <c r="G31" s="126"/>
      <c r="H31" s="98" t="str">
        <f t="array" ref="H31">IFERROR(INDEX([1]!Détailsfacture[#Data],SMALL(IF([1]!Détailsfacture[N° de commande]=rngFacture,ROW([1]!Détailsfacture[#Data])-ROW([1]!Détailsfacture[#Headers])), ROW(18:18)), MATCH($H$14, [1]!Détailsfacture[#Headers], 0)),"")</f>
        <v/>
      </c>
      <c r="I31" s="127" t="str">
        <f t="array" ref="I31">IFERROR(INDEX([1]!Détailsfacture[#Data],SMALL(IF([1]!Détailsfacture[N° de commande]=rngFacture,ROW([1]!Détailsfacture[#Data])-ROW([1]!Détailsfacture[#Headers])), ROW(18:18)), MATCH($I$14, [1]!Détailsfacture[#Headers], 0)),"")</f>
        <v/>
      </c>
      <c r="J31" s="127"/>
      <c r="K31" s="99">
        <v>0</v>
      </c>
      <c r="L31" s="100" t="str">
        <f t="shared" si="0"/>
        <v/>
      </c>
    </row>
    <row r="32" spans="2:12" s="93" customFormat="1" ht="20.100000000000001" customHeight="1" x14ac:dyDescent="0.25">
      <c r="B32" s="97" t="str">
        <f>IFERROR(INDEX(Détailsfacture[],SMALL(IF(Détailsfacture[N° commande]=rngFacture,ROW(Détailsfacture[])-ROW(Détailsfacture[#Headers])), ROW(18:18)), MATCH($B$14, Détailsfacture[#Headers], 0)),"")</f>
        <v/>
      </c>
      <c r="C32" s="124" t="str">
        <f t="array" ref="C32">IFERROR(INDEX([1]!Détailsfacture[#Data],SMALL(IF([1]!Détailsfacture[N° de commande]=rngFacture,ROW([1]!Détailsfacture[#Data])-ROW([1]!Détailsfacture[#Headers])), ROW(19:19)), MATCH($C$14, [1]!Détailsfacture[#Headers], 0)),"")</f>
        <v/>
      </c>
      <c r="D32" s="125"/>
      <c r="E32" s="125"/>
      <c r="F32" s="125"/>
      <c r="G32" s="126"/>
      <c r="H32" s="98" t="str">
        <f t="array" ref="H32">IFERROR(INDEX([1]!Détailsfacture[#Data],SMALL(IF([1]!Détailsfacture[N° de commande]=rngFacture,ROW([1]!Détailsfacture[#Data])-ROW([1]!Détailsfacture[#Headers])), ROW(19:19)), MATCH($H$14, [1]!Détailsfacture[#Headers], 0)),"")</f>
        <v/>
      </c>
      <c r="I32" s="127" t="str">
        <f t="array" ref="I32">IFERROR(INDEX([1]!Détailsfacture[#Data],SMALL(IF([1]!Détailsfacture[N° de commande]=rngFacture,ROW([1]!Détailsfacture[#Data])-ROW([1]!Détailsfacture[#Headers])), ROW(19:19)), MATCH($I$14, [1]!Détailsfacture[#Headers], 0)),"")</f>
        <v/>
      </c>
      <c r="J32" s="127"/>
      <c r="K32" s="99">
        <v>0</v>
      </c>
      <c r="L32" s="100" t="str">
        <f t="shared" si="0"/>
        <v/>
      </c>
    </row>
    <row r="33" spans="2:15" s="93" customFormat="1" ht="20.100000000000001" customHeight="1" x14ac:dyDescent="0.25">
      <c r="B33" s="97" t="str">
        <f>IFERROR(INDEX(Détailsfacture[],SMALL(IF(Détailsfacture[N° commande]=rngFacture,ROW(Détailsfacture[])-ROW(Détailsfacture[#Headers])), ROW(19:19)), MATCH($B$14, Détailsfacture[#Headers], 0)),"")</f>
        <v/>
      </c>
      <c r="C33" s="124" t="str">
        <f t="array" ref="C33">IFERROR(INDEX([1]!Détailsfacture[#Data],SMALL(IF([1]!Détailsfacture[N° de commande]=rngFacture,ROW([1]!Détailsfacture[#Data])-ROW([1]!Détailsfacture[#Headers])), ROW(20:20)), MATCH($C$14, [1]!Détailsfacture[#Headers], 0)),"")</f>
        <v/>
      </c>
      <c r="D33" s="125"/>
      <c r="E33" s="125"/>
      <c r="F33" s="125"/>
      <c r="G33" s="126"/>
      <c r="H33" s="98" t="str">
        <f t="array" ref="H33">IFERROR(INDEX([1]!Détailsfacture[#Data],SMALL(IF([1]!Détailsfacture[N° de commande]=rngFacture,ROW([1]!Détailsfacture[#Data])-ROW([1]!Détailsfacture[#Headers])), ROW(20:20)), MATCH($H$14, [1]!Détailsfacture[#Headers], 0)),"")</f>
        <v/>
      </c>
      <c r="I33" s="127" t="str">
        <f t="array" ref="I33">IFERROR(INDEX([1]!Détailsfacture[#Data],SMALL(IF([1]!Détailsfacture[N° de commande]=rngFacture,ROW([1]!Détailsfacture[#Data])-ROW([1]!Détailsfacture[#Headers])), ROW(20:20)), MATCH($I$14, [1]!Détailsfacture[#Headers], 0)),"")</f>
        <v/>
      </c>
      <c r="J33" s="127"/>
      <c r="K33" s="99">
        <v>0</v>
      </c>
      <c r="L33" s="100" t="str">
        <f t="shared" si="0"/>
        <v/>
      </c>
    </row>
    <row r="34" spans="2:15" s="93" customFormat="1" ht="20.100000000000001" customHeight="1" x14ac:dyDescent="0.25">
      <c r="B34" s="97" t="str">
        <f>IFERROR(INDEX(Détailsfacture[],SMALL(IF(Détailsfacture[N° commande]=rngFacture,ROW(Détailsfacture[])-ROW(Détailsfacture[#Headers])), ROW(20:20)), MATCH($B$14, Détailsfacture[#Headers], 0)),"")</f>
        <v/>
      </c>
      <c r="C34" s="124" t="str">
        <f t="array" ref="C34">IFERROR(INDEX([1]!Détailsfacture[#Data],SMALL(IF([1]!Détailsfacture[N° de commande]=rngFacture,ROW([1]!Détailsfacture[#Data])-ROW([1]!Détailsfacture[#Headers])), ROW(21:21)), MATCH($C$14, [1]!Détailsfacture[#Headers], 0)),"")</f>
        <v/>
      </c>
      <c r="D34" s="125"/>
      <c r="E34" s="125"/>
      <c r="F34" s="125"/>
      <c r="G34" s="126"/>
      <c r="H34" s="98" t="str">
        <f t="array" ref="H34">IFERROR(INDEX([1]!Détailsfacture[#Data],SMALL(IF([1]!Détailsfacture[N° de commande]=rngFacture,ROW([1]!Détailsfacture[#Data])-ROW([1]!Détailsfacture[#Headers])), ROW(21:21)), MATCH($H$14, [1]!Détailsfacture[#Headers], 0)),"")</f>
        <v/>
      </c>
      <c r="I34" s="127" t="str">
        <f t="array" ref="I34">IFERROR(INDEX([1]!Détailsfacture[#Data],SMALL(IF([1]!Détailsfacture[N° de commande]=rngFacture,ROW([1]!Détailsfacture[#Data])-ROW([1]!Détailsfacture[#Headers])), ROW(21:21)), MATCH($I$14, [1]!Détailsfacture[#Headers], 0)),"")</f>
        <v/>
      </c>
      <c r="J34" s="127"/>
      <c r="K34" s="99">
        <v>0</v>
      </c>
      <c r="L34" s="100" t="str">
        <f t="shared" si="0"/>
        <v/>
      </c>
    </row>
    <row r="35" spans="2:15" s="93" customFormat="1" ht="20.100000000000001" customHeight="1" x14ac:dyDescent="0.25">
      <c r="B35" s="97" t="str">
        <f>IFERROR(INDEX(Détailsfacture[],SMALL(IF(Détailsfacture[N° commande]=rngFacture,ROW(Détailsfacture[])-ROW(Détailsfacture[#Headers])), ROW(21:21)), MATCH($B$14, Détailsfacture[#Headers], 0)),"")</f>
        <v/>
      </c>
      <c r="C35" s="124" t="str">
        <f t="array" ref="C35">IFERROR(INDEX([1]!Détailsfacture[#Data],SMALL(IF([1]!Détailsfacture[N° de commande]=rngFacture,ROW([1]!Détailsfacture[#Data])-ROW([1]!Détailsfacture[#Headers])), ROW(22:22)), MATCH($C$14, [1]!Détailsfacture[#Headers], 0)),"")</f>
        <v/>
      </c>
      <c r="D35" s="125"/>
      <c r="E35" s="125"/>
      <c r="F35" s="125"/>
      <c r="G35" s="126"/>
      <c r="H35" s="98" t="str">
        <f t="array" ref="H35">IFERROR(INDEX([1]!Détailsfacture[#Data],SMALL(IF([1]!Détailsfacture[N° de commande]=rngFacture,ROW([1]!Détailsfacture[#Data])-ROW([1]!Détailsfacture[#Headers])), ROW(22:22)), MATCH($H$14, [1]!Détailsfacture[#Headers], 0)),"")</f>
        <v/>
      </c>
      <c r="I35" s="127" t="str">
        <f t="array" ref="I35">IFERROR(INDEX([1]!Détailsfacture[#Data],SMALL(IF([1]!Détailsfacture[N° de commande]=rngFacture,ROW([1]!Détailsfacture[#Data])-ROW([1]!Détailsfacture[#Headers])), ROW(22:22)), MATCH($I$14, [1]!Détailsfacture[#Headers], 0)),"")</f>
        <v/>
      </c>
      <c r="J35" s="127"/>
      <c r="K35" s="99">
        <v>0</v>
      </c>
      <c r="L35" s="100" t="str">
        <f t="shared" si="0"/>
        <v/>
      </c>
    </row>
    <row r="36" spans="2:15" s="93" customFormat="1" ht="20.100000000000001" customHeight="1" x14ac:dyDescent="0.25">
      <c r="B36" s="97" t="str">
        <f>IFERROR(INDEX(Détailsfacture[],SMALL(IF(Détailsfacture[N° commande]=rngFacture,ROW(Détailsfacture[])-ROW(Détailsfacture[#Headers])), ROW(22:22)), MATCH($B$14, Détailsfacture[#Headers], 0)),"")</f>
        <v/>
      </c>
      <c r="C36" s="124" t="str">
        <f t="array" ref="C36">IFERROR(INDEX([1]!Détailsfacture[#Data],SMALL(IF([1]!Détailsfacture[N° de commande]=rngFacture,ROW([1]!Détailsfacture[#Data])-ROW([1]!Détailsfacture[#Headers])), ROW(23:23)), MATCH($C$14, [1]!Détailsfacture[#Headers], 0)),"")</f>
        <v/>
      </c>
      <c r="D36" s="125"/>
      <c r="E36" s="125"/>
      <c r="F36" s="125"/>
      <c r="G36" s="126"/>
      <c r="H36" s="98" t="str">
        <f t="array" ref="H36">IFERROR(INDEX([1]!Détailsfacture[#Data],SMALL(IF([1]!Détailsfacture[N° de commande]=rngFacture,ROW([1]!Détailsfacture[#Data])-ROW([1]!Détailsfacture[#Headers])), ROW(23:23)), MATCH($H$14, [1]!Détailsfacture[#Headers], 0)),"")</f>
        <v/>
      </c>
      <c r="I36" s="127" t="str">
        <f t="array" ref="I36">IFERROR(INDEX([1]!Détailsfacture[#Data],SMALL(IF([1]!Détailsfacture[N° de commande]=rngFacture,ROW([1]!Détailsfacture[#Data])-ROW([1]!Détailsfacture[#Headers])), ROW(23:23)), MATCH($I$14, [1]!Détailsfacture[#Headers], 0)),"")</f>
        <v/>
      </c>
      <c r="J36" s="127"/>
      <c r="K36" s="99">
        <v>0</v>
      </c>
      <c r="L36" s="100" t="str">
        <f t="shared" si="0"/>
        <v/>
      </c>
    </row>
    <row r="37" spans="2:15" s="93" customFormat="1" ht="20.100000000000001" customHeight="1" x14ac:dyDescent="0.25">
      <c r="B37" s="97" t="str">
        <f>IFERROR(INDEX(Détailsfacture[],SMALL(IF(Détailsfacture[N° commande]=rngFacture,ROW(Détailsfacture[])-ROW(Détailsfacture[#Headers])), ROW(23:23)), MATCH($B$14, Détailsfacture[#Headers], 0)),"")</f>
        <v/>
      </c>
      <c r="C37" s="124" t="str">
        <f t="array" ref="C37">IFERROR(INDEX([1]!Détailsfacture[#Data],SMALL(IF([1]!Détailsfacture[N° de commande]=rngFacture,ROW([1]!Détailsfacture[#Data])-ROW([1]!Détailsfacture[#Headers])), ROW(24:24)), MATCH($C$14, [1]!Détailsfacture[#Headers], 0)),"")</f>
        <v/>
      </c>
      <c r="D37" s="125"/>
      <c r="E37" s="125"/>
      <c r="F37" s="125"/>
      <c r="G37" s="126"/>
      <c r="H37" s="98" t="str">
        <f t="array" ref="H37">IFERROR(INDEX([1]!Détailsfacture[#Data],SMALL(IF([1]!Détailsfacture[N° de commande]=rngFacture,ROW([1]!Détailsfacture[#Data])-ROW([1]!Détailsfacture[#Headers])), ROW(24:24)), MATCH($H$14, [1]!Détailsfacture[#Headers], 0)),"")</f>
        <v/>
      </c>
      <c r="I37" s="127" t="str">
        <f t="array" ref="I37">IFERROR(INDEX([1]!Détailsfacture[#Data],SMALL(IF([1]!Détailsfacture[N° de commande]=rngFacture,ROW([1]!Détailsfacture[#Data])-ROW([1]!Détailsfacture[#Headers])), ROW(24:24)), MATCH($I$14, [1]!Détailsfacture[#Headers], 0)),"")</f>
        <v/>
      </c>
      <c r="J37" s="127"/>
      <c r="K37" s="99">
        <v>0</v>
      </c>
      <c r="L37" s="100" t="str">
        <f t="shared" si="0"/>
        <v/>
      </c>
    </row>
    <row r="38" spans="2:15" s="93" customFormat="1" ht="20.100000000000001" customHeight="1" x14ac:dyDescent="0.25">
      <c r="B38" s="97" t="str">
        <f>IFERROR(INDEX(Détailsfacture[],SMALL(IF(Détailsfacture[N° commande]=rngFacture,ROW(Détailsfacture[])-ROW(Détailsfacture[#Headers])), ROW(24:24)), MATCH($B$14, Détailsfacture[#Headers], 0)),"")</f>
        <v/>
      </c>
      <c r="C38" s="124" t="str">
        <f t="array" ref="C38">IFERROR(INDEX([1]!Détailsfacture[#Data],SMALL(IF([1]!Détailsfacture[N° de commande]=rngFacture,ROW([1]!Détailsfacture[#Data])-ROW([1]!Détailsfacture[#Headers])), ROW(25:25)), MATCH($C$14, [1]!Détailsfacture[#Headers], 0)),"")</f>
        <v/>
      </c>
      <c r="D38" s="125"/>
      <c r="E38" s="125"/>
      <c r="F38" s="125"/>
      <c r="G38" s="126"/>
      <c r="H38" s="98" t="str">
        <f t="array" ref="H38">IFERROR(INDEX([1]!Détailsfacture[#Data],SMALL(IF([1]!Détailsfacture[N° de commande]=rngFacture,ROW([1]!Détailsfacture[#Data])-ROW([1]!Détailsfacture[#Headers])), ROW(25:25)), MATCH($H$14, [1]!Détailsfacture[#Headers], 0)),"")</f>
        <v/>
      </c>
      <c r="I38" s="127" t="str">
        <f t="array" ref="I38">IFERROR(INDEX([1]!Détailsfacture[#Data],SMALL(IF([1]!Détailsfacture[N° de commande]=rngFacture,ROW([1]!Détailsfacture[#Data])-ROW([1]!Détailsfacture[#Headers])), ROW(25:25)), MATCH($I$14, [1]!Détailsfacture[#Headers], 0)),"")</f>
        <v/>
      </c>
      <c r="J38" s="127"/>
      <c r="K38" s="99">
        <v>0</v>
      </c>
      <c r="L38" s="100" t="str">
        <f t="shared" si="0"/>
        <v/>
      </c>
    </row>
    <row r="39" spans="2:15" s="93" customFormat="1" ht="20.100000000000001" customHeight="1" x14ac:dyDescent="0.25">
      <c r="B39" s="97" t="str">
        <f>IFERROR(INDEX(Détailsfacture[],SMALL(IF(Détailsfacture[N° commande]=rngFacture,ROW(Détailsfacture[])-ROW(Détailsfacture[#Headers])), ROW(25:25)), MATCH($B$14, Détailsfacture[#Headers], 0)),"")</f>
        <v/>
      </c>
      <c r="C39" s="124" t="str">
        <f t="array" ref="C39">IFERROR(INDEX([1]!Détailsfacture[#Data],SMALL(IF([1]!Détailsfacture[N° de commande]=rngFacture,ROW([1]!Détailsfacture[#Data])-ROW([1]!Détailsfacture[#Headers])), ROW(26:26)), MATCH($C$14, [1]!Détailsfacture[#Headers], 0)),"")</f>
        <v/>
      </c>
      <c r="D39" s="125"/>
      <c r="E39" s="125"/>
      <c r="F39" s="125"/>
      <c r="G39" s="126"/>
      <c r="H39" s="98" t="str">
        <f t="array" ref="H39">IFERROR(INDEX([1]!Détailsfacture[#Data],SMALL(IF([1]!Détailsfacture[N° de commande]=rngFacture,ROW([1]!Détailsfacture[#Data])-ROW([1]!Détailsfacture[#Headers])), ROW(26:26)), MATCH($H$14, [1]!Détailsfacture[#Headers], 0)),"")</f>
        <v/>
      </c>
      <c r="I39" s="127" t="str">
        <f t="array" ref="I39">IFERROR(INDEX([1]!Détailsfacture[#Data],SMALL(IF([1]!Détailsfacture[N° de commande]=rngFacture,ROW([1]!Détailsfacture[#Data])-ROW([1]!Détailsfacture[#Headers])), ROW(26:26)), MATCH($I$14, [1]!Détailsfacture[#Headers], 0)),"")</f>
        <v/>
      </c>
      <c r="J39" s="127"/>
      <c r="K39" s="99" t="s">
        <v>306</v>
      </c>
      <c r="L39" s="100" t="str">
        <f t="shared" si="0"/>
        <v/>
      </c>
    </row>
    <row r="40" spans="2:15" s="93" customFormat="1" ht="18" customHeight="1" x14ac:dyDescent="0.25">
      <c r="D40" s="101"/>
      <c r="E40" s="101"/>
      <c r="F40" s="101"/>
      <c r="G40" s="101"/>
      <c r="H40" s="101"/>
      <c r="I40" s="101"/>
      <c r="K40" s="66" t="s">
        <v>284</v>
      </c>
      <c r="L40" s="67">
        <f>SUM(L15:L39)</f>
        <v>0</v>
      </c>
    </row>
    <row r="41" spans="2:15" s="93" customFormat="1" ht="18" customHeight="1" x14ac:dyDescent="0.25">
      <c r="D41" s="101"/>
      <c r="E41" s="101"/>
      <c r="F41" s="101"/>
      <c r="G41" s="101"/>
      <c r="H41" s="101"/>
      <c r="I41" s="101"/>
      <c r="K41" s="66" t="s">
        <v>268</v>
      </c>
      <c r="L41" s="68" t="e">
        <f>VLOOKUP(rngFacture,[1]!FacturesPrincipal[#Data],5)</f>
        <v>#REF!</v>
      </c>
    </row>
    <row r="42" spans="2:15" s="93" customFormat="1" ht="18" customHeight="1" x14ac:dyDescent="0.25">
      <c r="D42" s="101"/>
      <c r="E42" s="101"/>
      <c r="F42" s="101"/>
      <c r="G42" s="101"/>
      <c r="H42" s="101"/>
      <c r="I42" s="101"/>
      <c r="K42" s="66" t="s">
        <v>285</v>
      </c>
      <c r="L42" s="69" t="e">
        <f>L40*L41</f>
        <v>#REF!</v>
      </c>
      <c r="O42" s="102"/>
    </row>
    <row r="43" spans="2:15" s="93" customFormat="1" ht="18" customHeight="1" x14ac:dyDescent="0.2">
      <c r="C43" s="103"/>
      <c r="K43" s="66" t="s">
        <v>269</v>
      </c>
      <c r="L43" s="70" t="e">
        <f>VLOOKUP(rngFacture,[1]!FacturesPrincipal[#Data],7)</f>
        <v>#REF!</v>
      </c>
    </row>
    <row r="44" spans="2:15" s="93" customFormat="1" ht="18" customHeight="1" x14ac:dyDescent="0.2">
      <c r="B44" s="139" t="e">
        <f>"Définir tous les chèques à l’ordre de "&amp;Nomdelasociété&amp;"."</f>
        <v>#NAME?</v>
      </c>
      <c r="C44" s="139"/>
      <c r="D44" s="139"/>
      <c r="E44" s="139"/>
      <c r="F44" s="139"/>
      <c r="G44" s="139"/>
      <c r="H44" s="139"/>
      <c r="I44" s="139"/>
      <c r="J44" s="104"/>
      <c r="K44" s="66" t="s">
        <v>286</v>
      </c>
      <c r="L44" s="71" t="e">
        <f>VLOOKUP(rngFacture,[1]!FacturesPrincipal[#Data],6)</f>
        <v>#REF!</v>
      </c>
    </row>
    <row r="45" spans="2:15" ht="18" customHeight="1" x14ac:dyDescent="0.25">
      <c r="B45" s="137" t="s">
        <v>298</v>
      </c>
      <c r="C45" s="138"/>
      <c r="D45" s="138"/>
      <c r="E45" s="138"/>
      <c r="F45" s="138"/>
      <c r="G45" s="138"/>
      <c r="H45" s="138"/>
      <c r="I45" s="138"/>
      <c r="J45" s="104"/>
      <c r="K45" s="72" t="s">
        <v>287</v>
      </c>
      <c r="L45" s="73" t="e">
        <f>(L40+L42+L43)-L44</f>
        <v>#REF!</v>
      </c>
    </row>
    <row r="49" spans="2:12" x14ac:dyDescent="0.2"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</row>
    <row r="52" spans="2:12" s="106" customFormat="1" x14ac:dyDescent="0.2">
      <c r="D52" s="77"/>
      <c r="E52" s="77"/>
      <c r="F52" s="77"/>
      <c r="G52" s="77"/>
      <c r="H52" s="77"/>
      <c r="I52" s="77"/>
      <c r="J52" s="77"/>
      <c r="K52" s="77"/>
      <c r="L52" s="77"/>
    </row>
  </sheetData>
  <mergeCells count="75">
    <mergeCell ref="K4:M4"/>
    <mergeCell ref="K5:M5"/>
    <mergeCell ref="E6:F6"/>
    <mergeCell ref="G4:H4"/>
    <mergeCell ref="G5:H5"/>
    <mergeCell ref="G6:H6"/>
    <mergeCell ref="B45:I45"/>
    <mergeCell ref="C35:G35"/>
    <mergeCell ref="I35:J35"/>
    <mergeCell ref="C36:G36"/>
    <mergeCell ref="I36:J36"/>
    <mergeCell ref="C37:G37"/>
    <mergeCell ref="I37:J37"/>
    <mergeCell ref="C38:G38"/>
    <mergeCell ref="I38:J38"/>
    <mergeCell ref="C39:G39"/>
    <mergeCell ref="I39:J39"/>
    <mergeCell ref="B44:I44"/>
    <mergeCell ref="C32:G32"/>
    <mergeCell ref="I32:J32"/>
    <mergeCell ref="C33:G33"/>
    <mergeCell ref="I33:J33"/>
    <mergeCell ref="C34:G34"/>
    <mergeCell ref="I34:J34"/>
    <mergeCell ref="C29:G29"/>
    <mergeCell ref="I29:J29"/>
    <mergeCell ref="C30:G30"/>
    <mergeCell ref="I30:J30"/>
    <mergeCell ref="C31:G31"/>
    <mergeCell ref="I31:J31"/>
    <mergeCell ref="C26:G26"/>
    <mergeCell ref="I26:J26"/>
    <mergeCell ref="C27:G27"/>
    <mergeCell ref="I27:J27"/>
    <mergeCell ref="C28:G28"/>
    <mergeCell ref="I28:J28"/>
    <mergeCell ref="C23:G23"/>
    <mergeCell ref="I23:J23"/>
    <mergeCell ref="C24:G24"/>
    <mergeCell ref="I24:J24"/>
    <mergeCell ref="C25:G25"/>
    <mergeCell ref="I25:J25"/>
    <mergeCell ref="C20:G20"/>
    <mergeCell ref="I20:J20"/>
    <mergeCell ref="C21:G21"/>
    <mergeCell ref="I21:J21"/>
    <mergeCell ref="C22:G22"/>
    <mergeCell ref="I22:J22"/>
    <mergeCell ref="C17:G17"/>
    <mergeCell ref="I17:J17"/>
    <mergeCell ref="C18:G18"/>
    <mergeCell ref="I18:J18"/>
    <mergeCell ref="C19:G19"/>
    <mergeCell ref="I19:J19"/>
    <mergeCell ref="C16:G16"/>
    <mergeCell ref="I16:J16"/>
    <mergeCell ref="C8:E8"/>
    <mergeCell ref="G8:I8"/>
    <mergeCell ref="C9:E9"/>
    <mergeCell ref="G9:I9"/>
    <mergeCell ref="C10:E10"/>
    <mergeCell ref="G10:I10"/>
    <mergeCell ref="G11:J11"/>
    <mergeCell ref="C14:G14"/>
    <mergeCell ref="B12:K12"/>
    <mergeCell ref="I14:J14"/>
    <mergeCell ref="B1:I1"/>
    <mergeCell ref="E4:F4"/>
    <mergeCell ref="E5:F5"/>
    <mergeCell ref="C11:E11"/>
    <mergeCell ref="C15:G15"/>
    <mergeCell ref="I15:J15"/>
    <mergeCell ref="C4:D4"/>
    <mergeCell ref="C5:D5"/>
    <mergeCell ref="C6:D6"/>
  </mergeCells>
  <conditionalFormatting sqref="K40:K44">
    <cfRule type="expression" dxfId="20" priority="6">
      <formula>MOD(ROW(),2)=0</formula>
    </cfRule>
  </conditionalFormatting>
  <conditionalFormatting sqref="L15:L39">
    <cfRule type="expression" dxfId="19" priority="4">
      <formula>MOD(ROW(),2)=0</formula>
    </cfRule>
    <cfRule type="expression" dxfId="18" priority="5">
      <formula>MOD(ROW(),2)=1</formula>
    </cfRule>
  </conditionalFormatting>
  <conditionalFormatting sqref="B15:K39">
    <cfRule type="expression" dxfId="17" priority="3">
      <formula>MOD(ROW(),2)=0</formula>
    </cfRule>
  </conditionalFormatting>
  <conditionalFormatting sqref="L40:L44">
    <cfRule type="expression" dxfId="16" priority="1">
      <formula>MOD(ROW(),2)=1</formula>
    </cfRule>
    <cfRule type="expression" dxfId="15" priority="2">
      <formula>MOD(ROW(),2)=0</formula>
    </cfRule>
  </conditionalFormatting>
  <dataValidations count="1">
    <dataValidation allowBlank="1" showInputMessage="1" showErrorMessage="1" errorTitle="Invalid Data" error="Please select and Invoice number from this list. If your invoice isn't shown, check the worksheet named Invoices - Main." sqref="L8" xr:uid="{5A426172-5706-4520-B82E-80BBFA52824B}"/>
  </dataValidations>
  <pageMargins left="0.25" right="0.25" top="0.75" bottom="0.75" header="0.3" footer="0.3"/>
  <pageSetup paperSize="9" orientation="portrait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426AD-9B6E-4D56-B2CB-54D004231E4F}">
  <dimension ref="A1:C21"/>
  <sheetViews>
    <sheetView workbookViewId="0">
      <selection activeCell="A4" sqref="A4:C21"/>
    </sheetView>
  </sheetViews>
  <sheetFormatPr baseColWidth="10" defaultRowHeight="15" x14ac:dyDescent="0.25"/>
  <cols>
    <col min="1" max="1" width="13.42578125" bestFit="1" customWidth="1"/>
    <col min="2" max="2" width="15.42578125" bestFit="1" customWidth="1"/>
  </cols>
  <sheetData>
    <row r="1" spans="1:3" s="143" customFormat="1" ht="24.95" customHeight="1" x14ac:dyDescent="0.25">
      <c r="A1" s="142" t="s">
        <v>67</v>
      </c>
    </row>
    <row r="2" spans="1:3" ht="5.0999999999999996" customHeight="1" x14ac:dyDescent="0.25"/>
    <row r="3" spans="1:3" x14ac:dyDescent="0.25">
      <c r="A3" t="s">
        <v>22</v>
      </c>
      <c r="B3" t="s">
        <v>60</v>
      </c>
      <c r="C3" t="s">
        <v>260</v>
      </c>
    </row>
    <row r="4" spans="1:3" x14ac:dyDescent="0.25">
      <c r="A4" t="s">
        <v>10</v>
      </c>
      <c r="B4" t="s">
        <v>49</v>
      </c>
      <c r="C4" s="51" t="s">
        <v>87</v>
      </c>
    </row>
    <row r="5" spans="1:3" x14ac:dyDescent="0.25">
      <c r="A5" t="s">
        <v>16</v>
      </c>
      <c r="B5" t="s">
        <v>61</v>
      </c>
      <c r="C5" s="51" t="s">
        <v>122</v>
      </c>
    </row>
    <row r="6" spans="1:3" x14ac:dyDescent="0.25">
      <c r="A6" t="s">
        <v>23</v>
      </c>
      <c r="B6" t="s">
        <v>62</v>
      </c>
      <c r="C6" s="51" t="s">
        <v>97</v>
      </c>
    </row>
    <row r="7" spans="1:3" x14ac:dyDescent="0.25">
      <c r="A7" t="s">
        <v>24</v>
      </c>
      <c r="B7" t="s">
        <v>63</v>
      </c>
      <c r="C7" s="51" t="s">
        <v>159</v>
      </c>
    </row>
    <row r="8" spans="1:3" x14ac:dyDescent="0.25">
      <c r="A8" t="s">
        <v>25</v>
      </c>
      <c r="B8" t="s">
        <v>64</v>
      </c>
      <c r="C8" s="51" t="s">
        <v>149</v>
      </c>
    </row>
    <row r="9" spans="1:3" x14ac:dyDescent="0.25">
      <c r="A9" t="s">
        <v>26</v>
      </c>
      <c r="B9" t="s">
        <v>65</v>
      </c>
      <c r="C9" s="51" t="s">
        <v>163</v>
      </c>
    </row>
    <row r="10" spans="1:3" x14ac:dyDescent="0.25">
      <c r="A10" t="s">
        <v>77</v>
      </c>
      <c r="C10" s="52" t="s">
        <v>173</v>
      </c>
    </row>
    <row r="11" spans="1:3" x14ac:dyDescent="0.25">
      <c r="A11" t="s">
        <v>27</v>
      </c>
      <c r="B11" t="s">
        <v>66</v>
      </c>
      <c r="C11" s="52" t="s">
        <v>205</v>
      </c>
    </row>
    <row r="12" spans="1:3" x14ac:dyDescent="0.25">
      <c r="B12" t="s">
        <v>68</v>
      </c>
      <c r="C12" s="52" t="s">
        <v>208</v>
      </c>
    </row>
    <row r="13" spans="1:3" x14ac:dyDescent="0.25">
      <c r="C13" s="52" t="s">
        <v>192</v>
      </c>
    </row>
    <row r="14" spans="1:3" x14ac:dyDescent="0.25">
      <c r="C14" s="52" t="s">
        <v>212</v>
      </c>
    </row>
    <row r="15" spans="1:3" x14ac:dyDescent="0.25">
      <c r="C15" s="52" t="s">
        <v>221</v>
      </c>
    </row>
    <row r="16" spans="1:3" x14ac:dyDescent="0.25">
      <c r="C16" s="52" t="s">
        <v>252</v>
      </c>
    </row>
    <row r="17" spans="3:3" x14ac:dyDescent="0.25">
      <c r="C17" s="52" t="s">
        <v>265</v>
      </c>
    </row>
    <row r="18" spans="3:3" x14ac:dyDescent="0.25">
      <c r="C18" s="52" t="s">
        <v>249</v>
      </c>
    </row>
    <row r="19" spans="3:3" x14ac:dyDescent="0.25">
      <c r="C19" s="52" t="s">
        <v>239</v>
      </c>
    </row>
    <row r="20" spans="3:3" x14ac:dyDescent="0.25">
      <c r="C20" s="52" t="s">
        <v>199</v>
      </c>
    </row>
    <row r="21" spans="3:3" x14ac:dyDescent="0.25">
      <c r="C21" s="52" t="s">
        <v>62</v>
      </c>
    </row>
  </sheetData>
  <mergeCells count="1">
    <mergeCell ref="A1:XFD1"/>
  </mergeCells>
  <conditionalFormatting sqref="A3">
    <cfRule type="duplicateValues" dxfId="14" priority="1"/>
  </conditionalFormatting>
  <conditionalFormatting sqref="B3:XFD3">
    <cfRule type="duplicateValues" dxfId="13" priority="3"/>
  </conditionalFormatting>
  <pageMargins left="0.7" right="0.7" top="0.75" bottom="0.75" header="0.3" footer="0.3"/>
  <pageSetup paperSize="9" orientation="portrait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creation de commande</vt:lpstr>
      <vt:lpstr>Site</vt:lpstr>
      <vt:lpstr>fournisseurs</vt:lpstr>
      <vt:lpstr>Catalogues</vt:lpstr>
      <vt:lpstr>Bon de commande</vt:lpstr>
      <vt:lpstr>L.D.</vt:lpstr>
      <vt:lpstr>N°defacture</vt:lpstr>
      <vt:lpstr>rngFacture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Cabit cyril</dc:creator>
  <cp:lastModifiedBy>Cabit cyril</cp:lastModifiedBy>
  <dcterms:created xsi:type="dcterms:W3CDTF">2017-11-25T08:27:29Z</dcterms:created>
  <dcterms:modified xsi:type="dcterms:W3CDTF">2018-04-10T14:40:41Z</dcterms:modified>
</cp:coreProperties>
</file>