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9126"/>
  <workbookPr/>
  <mc:AlternateContent xmlns:mc="http://schemas.openxmlformats.org/markup-compatibility/2006">
    <mc:Choice Requires="x15">
      <x15ac:absPath xmlns:x15ac="http://schemas.microsoft.com/office/spreadsheetml/2010/11/ac" url="C:\Users\pauline95\Desktop\"/>
    </mc:Choice>
  </mc:AlternateContent>
  <xr:revisionPtr revIDLastSave="0" documentId="8_{E573134C-9DFA-4D9E-B30F-6BF88CD7D479}" xr6:coauthVersionLast="31" xr6:coauthVersionMax="31" xr10:uidLastSave="{00000000-0000-0000-0000-000000000000}"/>
  <bookViews>
    <workbookView xWindow="0" yWindow="0" windowWidth="21600" windowHeight="9510" tabRatio="686" firstSheet="1" activeTab="11" xr2:uid="{00000000-000D-0000-FFFF-FFFF00000000}"/>
  </bookViews>
  <sheets>
    <sheet name="Janvier" sheetId="4" r:id="rId1"/>
    <sheet name="Février" sheetId="5" r:id="rId2"/>
    <sheet name="Mars" sheetId="17" r:id="rId3"/>
    <sheet name="Avril" sheetId="18" r:id="rId4"/>
    <sheet name="Mai" sheetId="19" r:id="rId5"/>
    <sheet name="Juin" sheetId="20" r:id="rId6"/>
    <sheet name="Juillet" sheetId="21" r:id="rId7"/>
    <sheet name="Août" sheetId="22" r:id="rId8"/>
    <sheet name="Septembre" sheetId="23" r:id="rId9"/>
    <sheet name="Octobre" sheetId="24" r:id="rId10"/>
    <sheet name="Novembre" sheetId="25" r:id="rId11"/>
    <sheet name="Décembre" sheetId="15" r:id="rId12"/>
    <sheet name="Noms des employés" sheetId="16" r:id="rId13"/>
  </sheets>
  <definedNames>
    <definedName name="AnnéeCalendrier">Janvier!$AH$4</definedName>
    <definedName name="CléCongé">Janvier!$C$2</definedName>
    <definedName name="CléMaladie">Janvier!$J$2</definedName>
    <definedName name="CléPersonnalisée1">Janvier!#REF!</definedName>
    <definedName name="CléPersonnalisée2">Janvier!#REF!</definedName>
    <definedName name="CléPersonnel">Janvier!$F$2</definedName>
    <definedName name="ÉtiquetteCléCongé">Janvier!$D$2</definedName>
    <definedName name="ÉtiquetteCléMaladie">Janvier!$K$2</definedName>
    <definedName name="ÉtiquetteCléPersonnalisée1">Janvier!#REF!</definedName>
    <definedName name="ÉtiquetteCléPersonnalisée2">Janvier!#REF!</definedName>
    <definedName name="ÉtiquetteCléPersonnel">Janvier!$G$2</definedName>
    <definedName name="_xlnm.Print_Titles" localSheetId="7">Août!$4:$6</definedName>
    <definedName name="_xlnm.Print_Titles" localSheetId="3">Avril!$4:$6</definedName>
    <definedName name="_xlnm.Print_Titles" localSheetId="11">Décembre!$4:$6</definedName>
    <definedName name="_xlnm.Print_Titles" localSheetId="1">Février!$4:$6</definedName>
    <definedName name="_xlnm.Print_Titles" localSheetId="0">Janvier!$4:$6</definedName>
    <definedName name="_xlnm.Print_Titles" localSheetId="6">Juillet!$4:$6</definedName>
    <definedName name="_xlnm.Print_Titles" localSheetId="5">Juin!$4:$6</definedName>
    <definedName name="_xlnm.Print_Titles" localSheetId="4">Mai!$4:$6</definedName>
    <definedName name="_xlnm.Print_Titles" localSheetId="2">Mars!$4:$6</definedName>
    <definedName name="_xlnm.Print_Titles" localSheetId="10">Novembre!$4:$6</definedName>
    <definedName name="_xlnm.Print_Titles" localSheetId="9">Octobre!$4:$6</definedName>
    <definedName name="_xlnm.Print_Titles" localSheetId="8">Septembre!$4:$6</definedName>
    <definedName name="Nom_clé">Janvier!$B$2</definedName>
    <definedName name="NomMois" localSheetId="7">Août!$B$4</definedName>
    <definedName name="NomMois" localSheetId="3">Avril!$B$4</definedName>
    <definedName name="NomMois" localSheetId="11">Décembre!$B$4</definedName>
    <definedName name="NomMois" localSheetId="1">Février!$B$4</definedName>
    <definedName name="NomMois" localSheetId="0">Janvier!$B$4</definedName>
    <definedName name="NomMois" localSheetId="6">Juillet!$B$4</definedName>
    <definedName name="NomMois" localSheetId="5">Juin!$B$4</definedName>
    <definedName name="NomMois" localSheetId="4">Mai!$B$4</definedName>
    <definedName name="NomMois" localSheetId="2">Mars!$B$4</definedName>
    <definedName name="NomMois" localSheetId="10">Novembre!$B$4</definedName>
    <definedName name="NomMois" localSheetId="9">Octobre!$B$4</definedName>
    <definedName name="NomMois" localSheetId="8">Septembre!$B$4</definedName>
    <definedName name="Titre_Absence_Employé">Janvier!$B$1</definedName>
    <definedName name="Titre1">Janvier[[#Headers],[Nom de l’employé]]</definedName>
    <definedName name="Titre10">Octobre[[#Headers],[Nom de l’employé]]</definedName>
    <definedName name="Titre11">Novembre[[#Headers],[Nom de l’employé]]</definedName>
    <definedName name="Titre12">Décembre[[#Headers],[Nom de l’employé]]</definedName>
    <definedName name="Titre2">Février[[#Headers],[Nom de l’employé]]</definedName>
    <definedName name="Titre3">Mars[[#Headers],[Nom de l’employé]]</definedName>
    <definedName name="Titre4">Avril[[#Headers],[Nom de l’employé]]</definedName>
    <definedName name="Titre5">Mai[[#Headers],[Nom de l’employé]]</definedName>
    <definedName name="Titre6">Juin[[#Headers],[Nom de l’employé]]</definedName>
    <definedName name="Titre7">Juillet[[#Headers],[Nom de l’employé]]</definedName>
    <definedName name="Titre8">Août[[#Headers],[Nom de l’employé]]</definedName>
    <definedName name="Titre9">Septembre[[#Headers],[Nom de l’employé]]</definedName>
    <definedName name="TitreColonne13">NomEmployé[[#Headers],[Noms des employés]]</definedName>
  </definedNames>
  <calcPr calcId="179017"/>
</workbook>
</file>

<file path=xl/calcChain.xml><?xml version="1.0" encoding="utf-8"?>
<calcChain xmlns="http://schemas.openxmlformats.org/spreadsheetml/2006/main">
  <c r="B12" i="15" l="1"/>
  <c r="B12" i="25"/>
  <c r="B12" i="24"/>
  <c r="B12" i="23"/>
  <c r="B12" i="22"/>
  <c r="B12" i="21"/>
  <c r="B12" i="20"/>
  <c r="B12" i="19"/>
  <c r="B12" i="18"/>
  <c r="B12" i="17"/>
  <c r="B12" i="5"/>
  <c r="B12" i="4"/>
  <c r="B1" i="17"/>
  <c r="B1" i="18"/>
  <c r="B1" i="19"/>
  <c r="B1" i="20"/>
  <c r="B1" i="21"/>
  <c r="B1" i="22"/>
  <c r="B1" i="23"/>
  <c r="B1" i="24"/>
  <c r="B1" i="25"/>
  <c r="B1" i="15"/>
  <c r="B1" i="5"/>
  <c r="AG12" i="4"/>
  <c r="AF12" i="4"/>
  <c r="AE12" i="4"/>
  <c r="AD12" i="4"/>
  <c r="AC12" i="4"/>
  <c r="AB12" i="4"/>
  <c r="AA12" i="4"/>
  <c r="Z12" i="4"/>
  <c r="Y12" i="4"/>
  <c r="X12" i="4"/>
  <c r="W12" i="4"/>
  <c r="V12" i="4"/>
  <c r="U12" i="4"/>
  <c r="T12" i="4"/>
  <c r="S12" i="4"/>
  <c r="R12" i="4"/>
  <c r="Q12" i="4"/>
  <c r="P12" i="4"/>
  <c r="O12" i="4"/>
  <c r="N12" i="4"/>
  <c r="M12" i="4"/>
  <c r="L12" i="4"/>
  <c r="K12" i="4"/>
  <c r="J12" i="4"/>
  <c r="I12" i="4"/>
  <c r="H12" i="4"/>
  <c r="G12" i="4"/>
  <c r="F12" i="4"/>
  <c r="E12" i="4"/>
  <c r="D12" i="4"/>
  <c r="C12" i="4"/>
  <c r="AH7" i="4"/>
  <c r="AH8" i="4"/>
  <c r="AH9" i="4"/>
  <c r="AH10" i="4"/>
  <c r="AH11" i="4"/>
  <c r="AH8" i="15"/>
  <c r="AH9" i="15"/>
  <c r="AH10" i="15"/>
  <c r="AH11" i="15"/>
  <c r="AH7" i="15"/>
  <c r="AH8" i="25"/>
  <c r="AH9" i="25"/>
  <c r="AH10" i="25"/>
  <c r="AH11" i="25"/>
  <c r="AH7" i="25"/>
  <c r="AH8" i="24"/>
  <c r="AH9" i="24"/>
  <c r="AH10" i="24"/>
  <c r="AH11" i="24"/>
  <c r="AH7" i="24"/>
  <c r="AH8" i="23"/>
  <c r="AH9" i="23"/>
  <c r="AH10" i="23"/>
  <c r="AH11" i="23"/>
  <c r="AH7" i="23"/>
  <c r="AH8" i="22"/>
  <c r="AH9" i="22"/>
  <c r="AH10" i="22"/>
  <c r="AH11" i="22"/>
  <c r="AH7" i="22"/>
  <c r="AH8" i="21"/>
  <c r="AH9" i="21"/>
  <c r="AH10" i="21"/>
  <c r="AH11" i="21"/>
  <c r="AH7" i="21"/>
  <c r="AH8" i="20"/>
  <c r="AH9" i="20"/>
  <c r="AH10" i="20"/>
  <c r="AH11" i="20"/>
  <c r="AH7" i="20"/>
  <c r="AH8" i="19"/>
  <c r="AH9" i="19"/>
  <c r="AH10" i="19"/>
  <c r="AH11" i="19"/>
  <c r="AH7" i="19"/>
  <c r="AH8" i="18"/>
  <c r="AH9" i="18"/>
  <c r="AH10" i="18"/>
  <c r="AH11" i="18"/>
  <c r="AH7" i="18"/>
  <c r="AH8" i="17"/>
  <c r="AH9" i="17"/>
  <c r="AH10" i="17"/>
  <c r="AH11" i="17"/>
  <c r="AH7" i="17"/>
  <c r="AH8" i="5"/>
  <c r="AH9" i="5"/>
  <c r="AH10" i="5"/>
  <c r="AH11" i="5"/>
  <c r="AH7" i="5"/>
  <c r="AG5" i="17"/>
  <c r="AF5" i="17"/>
  <c r="AE5" i="17"/>
  <c r="AD5" i="17"/>
  <c r="AC5" i="17"/>
  <c r="AB5" i="17"/>
  <c r="AA5" i="17"/>
  <c r="Z5" i="17"/>
  <c r="Y5" i="17"/>
  <c r="X5" i="17"/>
  <c r="W5" i="17"/>
  <c r="V5" i="17"/>
  <c r="U5" i="17"/>
  <c r="T5" i="17"/>
  <c r="S5" i="17"/>
  <c r="R5" i="17"/>
  <c r="Q5" i="17"/>
  <c r="P5" i="17"/>
  <c r="O5" i="17"/>
  <c r="N5" i="17"/>
  <c r="M5" i="17"/>
  <c r="L5" i="17"/>
  <c r="K5" i="17"/>
  <c r="J5" i="17"/>
  <c r="I5" i="17"/>
  <c r="H5" i="17"/>
  <c r="G5" i="17"/>
  <c r="F5" i="17"/>
  <c r="E5" i="17"/>
  <c r="D5" i="17"/>
  <c r="C5" i="17"/>
  <c r="AH4" i="17"/>
  <c r="AF5" i="18"/>
  <c r="AE5" i="18"/>
  <c r="AD5" i="18"/>
  <c r="AC5" i="18"/>
  <c r="AB5" i="18"/>
  <c r="AA5" i="18"/>
  <c r="Z5" i="18"/>
  <c r="Y5" i="18"/>
  <c r="X5" i="18"/>
  <c r="W5" i="18"/>
  <c r="V5" i="18"/>
  <c r="U5" i="18"/>
  <c r="T5" i="18"/>
  <c r="S5" i="18"/>
  <c r="R5" i="18"/>
  <c r="Q5" i="18"/>
  <c r="P5" i="18"/>
  <c r="O5" i="18"/>
  <c r="N5" i="18"/>
  <c r="M5" i="18"/>
  <c r="L5" i="18"/>
  <c r="K5" i="18"/>
  <c r="J5" i="18"/>
  <c r="I5" i="18"/>
  <c r="H5" i="18"/>
  <c r="G5" i="18"/>
  <c r="F5" i="18"/>
  <c r="E5" i="18"/>
  <c r="D5" i="18"/>
  <c r="C5" i="18"/>
  <c r="AH4" i="18"/>
  <c r="AG5" i="19"/>
  <c r="AF5" i="19"/>
  <c r="AE5" i="19"/>
  <c r="AD5" i="19"/>
  <c r="AC5" i="19"/>
  <c r="AB5" i="19"/>
  <c r="AA5" i="19"/>
  <c r="Z5" i="19"/>
  <c r="Y5" i="19"/>
  <c r="X5" i="19"/>
  <c r="W5" i="19"/>
  <c r="V5" i="19"/>
  <c r="U5" i="19"/>
  <c r="T5" i="19"/>
  <c r="S5" i="19"/>
  <c r="R5" i="19"/>
  <c r="Q5" i="19"/>
  <c r="P5" i="19"/>
  <c r="O5" i="19"/>
  <c r="N5" i="19"/>
  <c r="M5" i="19"/>
  <c r="L5" i="19"/>
  <c r="K5" i="19"/>
  <c r="J5" i="19"/>
  <c r="I5" i="19"/>
  <c r="H5" i="19"/>
  <c r="G5" i="19"/>
  <c r="F5" i="19"/>
  <c r="E5" i="19"/>
  <c r="D5" i="19"/>
  <c r="C5" i="19"/>
  <c r="AH4" i="19"/>
  <c r="AF5" i="20"/>
  <c r="AE5" i="20"/>
  <c r="AD5" i="20"/>
  <c r="AC5" i="20"/>
  <c r="AB5" i="20"/>
  <c r="AA5" i="20"/>
  <c r="Z5" i="20"/>
  <c r="Y5" i="20"/>
  <c r="X5" i="20"/>
  <c r="W5" i="20"/>
  <c r="V5" i="20"/>
  <c r="U5" i="20"/>
  <c r="T5" i="20"/>
  <c r="S5" i="20"/>
  <c r="R5" i="20"/>
  <c r="Q5" i="20"/>
  <c r="P5" i="20"/>
  <c r="O5" i="20"/>
  <c r="N5" i="20"/>
  <c r="M5" i="20"/>
  <c r="L5" i="20"/>
  <c r="K5" i="20"/>
  <c r="J5" i="20"/>
  <c r="I5" i="20"/>
  <c r="H5" i="20"/>
  <c r="G5" i="20"/>
  <c r="F5" i="20"/>
  <c r="E5" i="20"/>
  <c r="D5" i="20"/>
  <c r="C5" i="20"/>
  <c r="AH4" i="20"/>
  <c r="AG5" i="21"/>
  <c r="AF5" i="21"/>
  <c r="AE5" i="21"/>
  <c r="AD5" i="21"/>
  <c r="AC5" i="21"/>
  <c r="AB5" i="21"/>
  <c r="AA5" i="21"/>
  <c r="Z5" i="21"/>
  <c r="Y5" i="21"/>
  <c r="X5" i="21"/>
  <c r="W5" i="21"/>
  <c r="V5" i="21"/>
  <c r="U5" i="21"/>
  <c r="T5" i="21"/>
  <c r="S5" i="21"/>
  <c r="R5" i="21"/>
  <c r="Q5" i="21"/>
  <c r="P5" i="21"/>
  <c r="O5" i="21"/>
  <c r="N5" i="21"/>
  <c r="M5" i="21"/>
  <c r="L5" i="21"/>
  <c r="K5" i="21"/>
  <c r="J5" i="21"/>
  <c r="I5" i="21"/>
  <c r="H5" i="21"/>
  <c r="G5" i="21"/>
  <c r="F5" i="21"/>
  <c r="E5" i="21"/>
  <c r="D5" i="21"/>
  <c r="C5" i="21"/>
  <c r="AH4" i="21"/>
  <c r="AG5" i="22"/>
  <c r="AF5" i="22"/>
  <c r="AE5" i="22"/>
  <c r="AD5" i="22"/>
  <c r="AC5" i="22"/>
  <c r="AB5" i="22"/>
  <c r="AA5" i="22"/>
  <c r="Z5" i="22"/>
  <c r="Y5" i="22"/>
  <c r="X5" i="22"/>
  <c r="W5" i="22"/>
  <c r="V5" i="22"/>
  <c r="U5" i="22"/>
  <c r="T5" i="22"/>
  <c r="S5" i="22"/>
  <c r="R5" i="22"/>
  <c r="Q5" i="22"/>
  <c r="P5" i="22"/>
  <c r="O5" i="22"/>
  <c r="N5" i="22"/>
  <c r="M5" i="22"/>
  <c r="L5" i="22"/>
  <c r="K5" i="22"/>
  <c r="J5" i="22"/>
  <c r="I5" i="22"/>
  <c r="H5" i="22"/>
  <c r="G5" i="22"/>
  <c r="F5" i="22"/>
  <c r="E5" i="22"/>
  <c r="D5" i="22"/>
  <c r="C5" i="22"/>
  <c r="AH4" i="22"/>
  <c r="AF5" i="23"/>
  <c r="AE5" i="23"/>
  <c r="AD5" i="23"/>
  <c r="AC5" i="23"/>
  <c r="AB5" i="23"/>
  <c r="AA5" i="23"/>
  <c r="Z5" i="23"/>
  <c r="Y5" i="23"/>
  <c r="X5" i="23"/>
  <c r="W5" i="23"/>
  <c r="V5" i="23"/>
  <c r="U5" i="23"/>
  <c r="T5" i="23"/>
  <c r="S5" i="23"/>
  <c r="R5" i="23"/>
  <c r="Q5" i="23"/>
  <c r="P5" i="23"/>
  <c r="O5" i="23"/>
  <c r="N5" i="23"/>
  <c r="M5" i="23"/>
  <c r="L5" i="23"/>
  <c r="K5" i="23"/>
  <c r="J5" i="23"/>
  <c r="I5" i="23"/>
  <c r="H5" i="23"/>
  <c r="G5" i="23"/>
  <c r="F5" i="23"/>
  <c r="E5" i="23"/>
  <c r="D5" i="23"/>
  <c r="C5" i="23"/>
  <c r="AH4" i="23"/>
  <c r="AG5" i="24"/>
  <c r="AF5" i="24"/>
  <c r="AE5" i="24"/>
  <c r="AD5" i="24"/>
  <c r="AC5" i="24"/>
  <c r="AB5" i="24"/>
  <c r="AA5" i="24"/>
  <c r="Z5" i="24"/>
  <c r="Y5" i="24"/>
  <c r="X5" i="24"/>
  <c r="W5" i="24"/>
  <c r="V5" i="24"/>
  <c r="U5" i="24"/>
  <c r="T5" i="24"/>
  <c r="S5" i="24"/>
  <c r="R5" i="24"/>
  <c r="Q5" i="24"/>
  <c r="P5" i="24"/>
  <c r="O5" i="24"/>
  <c r="N5" i="24"/>
  <c r="M5" i="24"/>
  <c r="L5" i="24"/>
  <c r="K5" i="24"/>
  <c r="J5" i="24"/>
  <c r="I5" i="24"/>
  <c r="H5" i="24"/>
  <c r="G5" i="24"/>
  <c r="F5" i="24"/>
  <c r="E5" i="24"/>
  <c r="D5" i="24"/>
  <c r="C5" i="24"/>
  <c r="AH4" i="24"/>
  <c r="AF5" i="25"/>
  <c r="AE5" i="25"/>
  <c r="AD5" i="25"/>
  <c r="AC5" i="25"/>
  <c r="AB5" i="25"/>
  <c r="AA5" i="25"/>
  <c r="Z5" i="25"/>
  <c r="Y5" i="25"/>
  <c r="X5" i="25"/>
  <c r="W5" i="25"/>
  <c r="V5" i="25"/>
  <c r="U5" i="25"/>
  <c r="T5" i="25"/>
  <c r="S5" i="25"/>
  <c r="R5" i="25"/>
  <c r="Q5" i="25"/>
  <c r="P5" i="25"/>
  <c r="O5" i="25"/>
  <c r="N5" i="25"/>
  <c r="M5" i="25"/>
  <c r="L5" i="25"/>
  <c r="K5" i="25"/>
  <c r="J5" i="25"/>
  <c r="I5" i="25"/>
  <c r="H5" i="25"/>
  <c r="G5" i="25"/>
  <c r="F5" i="25"/>
  <c r="E5" i="25"/>
  <c r="D5" i="25"/>
  <c r="C5" i="25"/>
  <c r="AH4" i="25"/>
  <c r="AG5" i="15"/>
  <c r="AF5" i="15"/>
  <c r="AE5" i="15"/>
  <c r="AD5" i="15"/>
  <c r="AC5" i="15"/>
  <c r="AB5" i="15"/>
  <c r="AA5" i="15"/>
  <c r="Z5" i="15"/>
  <c r="Y5" i="15"/>
  <c r="X5" i="15"/>
  <c r="W5" i="15"/>
  <c r="V5" i="15"/>
  <c r="U5" i="15"/>
  <c r="T5" i="15"/>
  <c r="S5" i="15"/>
  <c r="R5" i="15"/>
  <c r="Q5" i="15"/>
  <c r="P5" i="15"/>
  <c r="O5" i="15"/>
  <c r="N5" i="15"/>
  <c r="M5" i="15"/>
  <c r="L5" i="15"/>
  <c r="K5" i="15"/>
  <c r="J5" i="15"/>
  <c r="I5" i="15"/>
  <c r="H5" i="15"/>
  <c r="G5" i="15"/>
  <c r="F5" i="15"/>
  <c r="E5" i="15"/>
  <c r="D5" i="15"/>
  <c r="C5" i="15"/>
  <c r="AH4" i="15"/>
  <c r="AE5" i="5"/>
  <c r="AD5" i="5"/>
  <c r="AC5" i="5"/>
  <c r="AB5" i="5"/>
  <c r="AA5" i="5"/>
  <c r="Z5" i="5"/>
  <c r="Y5" i="5"/>
  <c r="X5" i="5"/>
  <c r="W5" i="5"/>
  <c r="V5" i="5"/>
  <c r="U5" i="5"/>
  <c r="T5" i="5"/>
  <c r="S5" i="5"/>
  <c r="R5" i="5"/>
  <c r="Q5" i="5"/>
  <c r="P5" i="5"/>
  <c r="O5" i="5"/>
  <c r="N5" i="5"/>
  <c r="M5" i="5"/>
  <c r="L5" i="5"/>
  <c r="K5" i="5"/>
  <c r="J5" i="5"/>
  <c r="I5" i="5"/>
  <c r="H5" i="5"/>
  <c r="G5" i="5"/>
  <c r="F5" i="5"/>
  <c r="E5" i="5"/>
  <c r="D5" i="5"/>
  <c r="C5" i="5"/>
  <c r="AH4" i="5"/>
  <c r="AG5" i="4"/>
  <c r="AF5" i="4"/>
  <c r="AE5" i="4"/>
  <c r="AD5" i="4"/>
  <c r="AC5" i="4"/>
  <c r="AB5" i="4"/>
  <c r="AA5" i="4"/>
  <c r="Z5" i="4"/>
  <c r="Y5" i="4"/>
  <c r="X5" i="4"/>
  <c r="W5" i="4"/>
  <c r="V5" i="4"/>
  <c r="U5" i="4"/>
  <c r="T5" i="4"/>
  <c r="S5" i="4"/>
  <c r="R5" i="4"/>
  <c r="Q5" i="4"/>
  <c r="P5" i="4"/>
  <c r="O5" i="4"/>
  <c r="N5" i="4"/>
  <c r="M5" i="4"/>
  <c r="L5" i="4"/>
  <c r="K5" i="4"/>
  <c r="J5" i="4"/>
  <c r="I5" i="4"/>
  <c r="H5" i="4"/>
  <c r="G5" i="4"/>
  <c r="F5" i="4"/>
  <c r="E5" i="4"/>
  <c r="D5" i="4"/>
  <c r="C5" i="4"/>
  <c r="AG12" i="25" l="1"/>
  <c r="AF12" i="25"/>
  <c r="AE12" i="25"/>
  <c r="AD12" i="25"/>
  <c r="AC12" i="25"/>
  <c r="AB12" i="25"/>
  <c r="AA12" i="25"/>
  <c r="Z12" i="25"/>
  <c r="Y12" i="25"/>
  <c r="X12" i="25"/>
  <c r="W12" i="25"/>
  <c r="V12" i="25"/>
  <c r="U12" i="25"/>
  <c r="T12" i="25"/>
  <c r="S12" i="25"/>
  <c r="R12" i="25"/>
  <c r="Q12" i="25"/>
  <c r="P12" i="25"/>
  <c r="O12" i="25"/>
  <c r="N12" i="25"/>
  <c r="M12" i="25"/>
  <c r="L12" i="25"/>
  <c r="K12" i="25"/>
  <c r="J12" i="25"/>
  <c r="I12" i="25"/>
  <c r="H12" i="25"/>
  <c r="G12" i="25"/>
  <c r="F12" i="25"/>
  <c r="E12" i="25"/>
  <c r="D12" i="25"/>
  <c r="C12" i="25"/>
  <c r="AG12" i="24"/>
  <c r="AF12" i="24"/>
  <c r="AE12" i="24"/>
  <c r="AD12" i="24"/>
  <c r="AC12" i="24"/>
  <c r="AB12" i="24"/>
  <c r="AA12" i="24"/>
  <c r="Z12" i="24"/>
  <c r="Y12" i="24"/>
  <c r="X12" i="24"/>
  <c r="W12" i="24"/>
  <c r="V12" i="24"/>
  <c r="U12" i="24"/>
  <c r="T12" i="24"/>
  <c r="S12" i="24"/>
  <c r="R12" i="24"/>
  <c r="Q12" i="24"/>
  <c r="P12" i="24"/>
  <c r="O12" i="24"/>
  <c r="N12" i="24"/>
  <c r="M12" i="24"/>
  <c r="L12" i="24"/>
  <c r="K12" i="24"/>
  <c r="J12" i="24"/>
  <c r="I12" i="24"/>
  <c r="H12" i="24"/>
  <c r="G12" i="24"/>
  <c r="F12" i="24"/>
  <c r="E12" i="24"/>
  <c r="D12" i="24"/>
  <c r="C12" i="24"/>
  <c r="AG12" i="23"/>
  <c r="AF12" i="23"/>
  <c r="AE12" i="23"/>
  <c r="AD12" i="23"/>
  <c r="AC12" i="23"/>
  <c r="AB12" i="23"/>
  <c r="AA12" i="23"/>
  <c r="Z12" i="23"/>
  <c r="Y12" i="23"/>
  <c r="X12" i="23"/>
  <c r="W12" i="23"/>
  <c r="V12" i="23"/>
  <c r="U12" i="23"/>
  <c r="T12" i="23"/>
  <c r="S12" i="23"/>
  <c r="R12" i="23"/>
  <c r="Q12" i="23"/>
  <c r="P12" i="23"/>
  <c r="O12" i="23"/>
  <c r="N12" i="23"/>
  <c r="M12" i="23"/>
  <c r="L12" i="23"/>
  <c r="K12" i="23"/>
  <c r="J12" i="23"/>
  <c r="I12" i="23"/>
  <c r="H12" i="23"/>
  <c r="G12" i="23"/>
  <c r="F12" i="23"/>
  <c r="E12" i="23"/>
  <c r="D12" i="23"/>
  <c r="C12" i="23"/>
  <c r="AH12" i="23"/>
  <c r="AG12" i="22"/>
  <c r="AF12" i="22"/>
  <c r="AE12" i="22"/>
  <c r="AD12" i="22"/>
  <c r="AC12" i="22"/>
  <c r="AB12" i="22"/>
  <c r="AA12" i="22"/>
  <c r="Z12" i="22"/>
  <c r="Y12" i="22"/>
  <c r="X12" i="22"/>
  <c r="W12" i="22"/>
  <c r="V12" i="22"/>
  <c r="U12" i="22"/>
  <c r="T12" i="22"/>
  <c r="S12" i="22"/>
  <c r="R12" i="22"/>
  <c r="Q12" i="22"/>
  <c r="P12" i="22"/>
  <c r="O12" i="22"/>
  <c r="N12" i="22"/>
  <c r="M12" i="22"/>
  <c r="L12" i="22"/>
  <c r="K12" i="22"/>
  <c r="J12" i="22"/>
  <c r="I12" i="22"/>
  <c r="H12" i="22"/>
  <c r="G12" i="22"/>
  <c r="F12" i="22"/>
  <c r="E12" i="22"/>
  <c r="D12" i="22"/>
  <c r="C12" i="22"/>
  <c r="AG12" i="21"/>
  <c r="AF12" i="21"/>
  <c r="AE12" i="21"/>
  <c r="AD12" i="21"/>
  <c r="AC12" i="21"/>
  <c r="AB12" i="21"/>
  <c r="AA12" i="21"/>
  <c r="Z12" i="21"/>
  <c r="Y12" i="21"/>
  <c r="X12" i="21"/>
  <c r="W12" i="21"/>
  <c r="V12" i="21"/>
  <c r="U12" i="21"/>
  <c r="T12" i="21"/>
  <c r="S12" i="21"/>
  <c r="R12" i="21"/>
  <c r="Q12" i="21"/>
  <c r="P12" i="21"/>
  <c r="O12" i="21"/>
  <c r="N12" i="21"/>
  <c r="M12" i="21"/>
  <c r="L12" i="21"/>
  <c r="K12" i="21"/>
  <c r="J12" i="21"/>
  <c r="I12" i="21"/>
  <c r="H12" i="21"/>
  <c r="G12" i="21"/>
  <c r="F12" i="21"/>
  <c r="E12" i="21"/>
  <c r="D12" i="21"/>
  <c r="C12" i="21"/>
  <c r="AH12" i="21"/>
  <c r="AG12" i="20"/>
  <c r="AF12" i="20"/>
  <c r="AE12" i="20"/>
  <c r="AD12" i="20"/>
  <c r="AC12" i="20"/>
  <c r="AB12" i="20"/>
  <c r="AA12" i="20"/>
  <c r="Z12" i="20"/>
  <c r="Y12" i="20"/>
  <c r="X12" i="20"/>
  <c r="W12" i="20"/>
  <c r="V12" i="20"/>
  <c r="U12" i="20"/>
  <c r="T12" i="20"/>
  <c r="S12" i="20"/>
  <c r="R12" i="20"/>
  <c r="Q12" i="20"/>
  <c r="P12" i="20"/>
  <c r="O12" i="20"/>
  <c r="N12" i="20"/>
  <c r="M12" i="20"/>
  <c r="L12" i="20"/>
  <c r="K12" i="20"/>
  <c r="J12" i="20"/>
  <c r="I12" i="20"/>
  <c r="H12" i="20"/>
  <c r="G12" i="20"/>
  <c r="F12" i="20"/>
  <c r="E12" i="20"/>
  <c r="D12" i="20"/>
  <c r="C12" i="20"/>
  <c r="AG12" i="19"/>
  <c r="AF12" i="19"/>
  <c r="AE12" i="19"/>
  <c r="AD12" i="19"/>
  <c r="AC12" i="19"/>
  <c r="AB12" i="19"/>
  <c r="AA12" i="19"/>
  <c r="Z12" i="19"/>
  <c r="Y12" i="19"/>
  <c r="X12" i="19"/>
  <c r="W12" i="19"/>
  <c r="V12" i="19"/>
  <c r="U12" i="19"/>
  <c r="T12" i="19"/>
  <c r="S12" i="19"/>
  <c r="R12" i="19"/>
  <c r="Q12" i="19"/>
  <c r="P12" i="19"/>
  <c r="O12" i="19"/>
  <c r="N12" i="19"/>
  <c r="M12" i="19"/>
  <c r="L12" i="19"/>
  <c r="K12" i="19"/>
  <c r="J12" i="19"/>
  <c r="I12" i="19"/>
  <c r="H12" i="19"/>
  <c r="G12" i="19"/>
  <c r="F12" i="19"/>
  <c r="E12" i="19"/>
  <c r="D12" i="19"/>
  <c r="C12" i="19"/>
  <c r="AG12" i="18"/>
  <c r="AF12" i="18"/>
  <c r="AE12" i="18"/>
  <c r="AD12" i="18"/>
  <c r="AC12" i="18"/>
  <c r="AB12" i="18"/>
  <c r="AA12" i="18"/>
  <c r="Z12" i="18"/>
  <c r="Y12" i="18"/>
  <c r="X12" i="18"/>
  <c r="W12" i="18"/>
  <c r="V12" i="18"/>
  <c r="U12" i="18"/>
  <c r="T12" i="18"/>
  <c r="S12" i="18"/>
  <c r="R12" i="18"/>
  <c r="Q12" i="18"/>
  <c r="P12" i="18"/>
  <c r="O12" i="18"/>
  <c r="N12" i="18"/>
  <c r="M12" i="18"/>
  <c r="L12" i="18"/>
  <c r="K12" i="18"/>
  <c r="J12" i="18"/>
  <c r="I12" i="18"/>
  <c r="H12" i="18"/>
  <c r="G12" i="18"/>
  <c r="F12" i="18"/>
  <c r="E12" i="18"/>
  <c r="D12" i="18"/>
  <c r="C12" i="18"/>
  <c r="AH12" i="18"/>
  <c r="AG12" i="17"/>
  <c r="AF12" i="17"/>
  <c r="AE12" i="17"/>
  <c r="AD12" i="17"/>
  <c r="AC12" i="17"/>
  <c r="AB12" i="17"/>
  <c r="AA12" i="17"/>
  <c r="Z12" i="17"/>
  <c r="Y12" i="17"/>
  <c r="X12" i="17"/>
  <c r="W12" i="17"/>
  <c r="V12" i="17"/>
  <c r="U12" i="17"/>
  <c r="T12" i="17"/>
  <c r="S12" i="17"/>
  <c r="R12" i="17"/>
  <c r="Q12" i="17"/>
  <c r="P12" i="17"/>
  <c r="O12" i="17"/>
  <c r="N12" i="17"/>
  <c r="M12" i="17"/>
  <c r="L12" i="17"/>
  <c r="K12" i="17"/>
  <c r="J12" i="17"/>
  <c r="I12" i="17"/>
  <c r="H12" i="17"/>
  <c r="G12" i="17"/>
  <c r="F12" i="17"/>
  <c r="E12" i="17"/>
  <c r="D12" i="17"/>
  <c r="C12" i="17"/>
  <c r="AH12" i="17"/>
  <c r="AH12" i="22" l="1"/>
  <c r="AH12" i="25"/>
  <c r="AH12" i="20"/>
  <c r="AH12" i="19"/>
  <c r="AH12" i="24"/>
  <c r="AG12" i="15" l="1"/>
  <c r="AF12" i="15"/>
  <c r="AH12" i="15" l="1"/>
  <c r="C12" i="15"/>
  <c r="D12" i="15"/>
  <c r="E12" i="15"/>
  <c r="F12" i="15"/>
  <c r="G12" i="15"/>
  <c r="H12" i="15"/>
  <c r="I12" i="15"/>
  <c r="J12" i="15"/>
  <c r="K12" i="15"/>
  <c r="L12" i="15"/>
  <c r="M12" i="15"/>
  <c r="N12" i="15"/>
  <c r="O12" i="15"/>
  <c r="P12" i="15"/>
  <c r="Q12" i="15"/>
  <c r="R12" i="15"/>
  <c r="S12" i="15"/>
  <c r="T12" i="15"/>
  <c r="U12" i="15"/>
  <c r="V12" i="15"/>
  <c r="W12" i="15"/>
  <c r="X12" i="15"/>
  <c r="Y12" i="15"/>
  <c r="Z12" i="15"/>
  <c r="AA12" i="15"/>
  <c r="AB12" i="15"/>
  <c r="AC12" i="15"/>
  <c r="AD12" i="15"/>
  <c r="AE12" i="15"/>
  <c r="AE12" i="5" l="1"/>
  <c r="AD12" i="5"/>
  <c r="AC12" i="5"/>
  <c r="AB12" i="5"/>
  <c r="AA12" i="5"/>
  <c r="Z12" i="5"/>
  <c r="Y12" i="5"/>
  <c r="X12" i="5"/>
  <c r="W12" i="5"/>
  <c r="V12" i="5"/>
  <c r="U12" i="5"/>
  <c r="T12" i="5"/>
  <c r="S12" i="5"/>
  <c r="R12" i="5"/>
  <c r="Q12" i="5"/>
  <c r="P12" i="5"/>
  <c r="O12" i="5"/>
  <c r="N12" i="5"/>
  <c r="M12" i="5"/>
  <c r="L12" i="5"/>
  <c r="K12" i="5"/>
  <c r="J12" i="5"/>
  <c r="I12" i="5"/>
  <c r="H12" i="5"/>
  <c r="G12" i="5"/>
  <c r="F12" i="5"/>
  <c r="E12" i="5"/>
  <c r="D12" i="5"/>
  <c r="C12" i="5"/>
  <c r="AH12" i="5" l="1"/>
  <c r="AH12" i="4" l="1"/>
</calcChain>
</file>

<file path=xl/sharedStrings.xml><?xml version="1.0" encoding="utf-8"?>
<sst xmlns="http://schemas.openxmlformats.org/spreadsheetml/2006/main" count="573" uniqueCount="64">
  <si>
    <t>Clé de motif d’absence</t>
  </si>
  <si>
    <t>Janvier</t>
  </si>
  <si>
    <t>Nom de l’employé</t>
  </si>
  <si>
    <t>Employé 1</t>
  </si>
  <si>
    <t>Employé 2</t>
  </si>
  <si>
    <t>Employé 3</t>
  </si>
  <si>
    <t>Employé 4</t>
  </si>
  <si>
    <t>Employé 5</t>
  </si>
  <si>
    <t>C</t>
  </si>
  <si>
    <t>1</t>
  </si>
  <si>
    <t>Congé</t>
  </si>
  <si>
    <t>2</t>
  </si>
  <si>
    <t>3</t>
  </si>
  <si>
    <t>4</t>
  </si>
  <si>
    <t>M</t>
  </si>
  <si>
    <t>5</t>
  </si>
  <si>
    <t>6</t>
  </si>
  <si>
    <t>7</t>
  </si>
  <si>
    <t>8</t>
  </si>
  <si>
    <t>9</t>
  </si>
  <si>
    <t>Maladie</t>
  </si>
  <si>
    <t>10</t>
  </si>
  <si>
    <t>11</t>
  </si>
  <si>
    <t>12</t>
  </si>
  <si>
    <t>13</t>
  </si>
  <si>
    <t>14</t>
  </si>
  <si>
    <t>15</t>
  </si>
  <si>
    <t>16</t>
  </si>
  <si>
    <t>17</t>
  </si>
  <si>
    <t>18</t>
  </si>
  <si>
    <t>19</t>
  </si>
  <si>
    <t>20</t>
  </si>
  <si>
    <t>21</t>
  </si>
  <si>
    <t>22</t>
  </si>
  <si>
    <t>23</t>
  </si>
  <si>
    <t>24</t>
  </si>
  <si>
    <t>25</t>
  </si>
  <si>
    <t>26</t>
  </si>
  <si>
    <t>27</t>
  </si>
  <si>
    <t>28</t>
  </si>
  <si>
    <t>29</t>
  </si>
  <si>
    <t>30</t>
  </si>
  <si>
    <t>31</t>
  </si>
  <si>
    <t>Entrez l’année :</t>
  </si>
  <si>
    <t>Total des jours</t>
  </si>
  <si>
    <t>Février</t>
  </si>
  <si>
    <t xml:space="preserve"> </t>
  </si>
  <si>
    <t xml:space="preserve">  </t>
  </si>
  <si>
    <t>Mars</t>
  </si>
  <si>
    <t>Avril</t>
  </si>
  <si>
    <t>Mai</t>
  </si>
  <si>
    <t>Juin</t>
  </si>
  <si>
    <t>Juillet</t>
  </si>
  <si>
    <t>Août</t>
  </si>
  <si>
    <t>Septembre</t>
  </si>
  <si>
    <t>Octobre</t>
  </si>
  <si>
    <t>Novembre</t>
  </si>
  <si>
    <t>Décembre</t>
  </si>
  <si>
    <t>Noms des employés</t>
  </si>
  <si>
    <t>Calendrier Mensuel</t>
  </si>
  <si>
    <t>T</t>
  </si>
  <si>
    <t>Travail</t>
  </si>
  <si>
    <t>travail</t>
  </si>
  <si>
    <t>Présences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</si>
</sst>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1">
    <numFmt numFmtId="164" formatCode="0;0;"/>
  </numFmts>
  <fonts count="9" x14ac:knownFonts="1">
    <font>
      <sz val="11"/>
      <color theme="1"/>
      <name val="Calibri"/>
      <family val="2"/>
      <scheme val="minor"/>
    </font>
    <font>
      <sz val="11"/>
      <color theme="1"/>
      <name val="Calibri"/>
      <family val="2"/>
      <scheme val="minor"/>
    </font>
    <font>
      <b/>
      <sz val="11"/>
      <color theme="1"/>
      <name val="Calibri"/>
      <family val="2"/>
      <scheme val="minor"/>
    </font>
    <font>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s>
  <fills count="23">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theme="0"/>
        <bgColor indexed="64"/>
      </patternFill>
    </fill>
    <fill>
      <patternFill patternType="solid">
        <fgColor theme="0" tint="-4.9989318521683403E-2"/>
        <bgColor indexed="64"/>
      </patternFill>
    </fill>
  </fills>
  <borders count="1">
    <border>
      <left/>
      <right/>
      <top/>
      <bottom/>
      <diagonal/>
    </border>
  </borders>
  <cellStyleXfs count="28">
    <xf numFmtId="0" fontId="0" fillId="0" borderId="0">
      <alignment horizontal="left" vertical="center"/>
    </xf>
    <xf numFmtId="0" fontId="7" fillId="0" borderId="0" applyNumberFormat="0" applyFill="0" applyBorder="0" applyProtection="0">
      <alignment vertical="top"/>
    </xf>
    <xf numFmtId="0" fontId="5" fillId="0" borderId="0" applyNumberFormat="0" applyFill="0" applyBorder="0" applyProtection="0">
      <alignment vertical="top"/>
    </xf>
    <xf numFmtId="0" fontId="6" fillId="2" borderId="0" applyNumberFormat="0" applyBorder="0" applyProtection="0">
      <alignment horizontal="center" vertical="center"/>
    </xf>
    <xf numFmtId="0" fontId="2" fillId="20" borderId="0" applyNumberFormat="0" applyProtection="0">
      <alignment horizontal="right" vertical="center" indent="1"/>
    </xf>
    <xf numFmtId="0" fontId="3" fillId="0" borderId="0" applyNumberFormat="0" applyFill="0" applyBorder="0" applyProtection="0">
      <alignment horizontal="left" vertical="center" indent="2"/>
    </xf>
    <xf numFmtId="0" fontId="4"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4"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4"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4" fillId="16" borderId="0" applyNumberFormat="0" applyBorder="0" applyAlignment="0" applyProtection="0"/>
    <xf numFmtId="0" fontId="4" fillId="19" borderId="0" applyNumberFormat="0" applyBorder="0" applyAlignment="0" applyProtection="0"/>
    <xf numFmtId="0" fontId="2" fillId="10" borderId="0" applyNumberFormat="0" applyBorder="0" applyAlignment="0" applyProtection="0"/>
    <xf numFmtId="0" fontId="4"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8" fillId="0" borderId="0">
      <alignment horizontal="center"/>
    </xf>
  </cellStyleXfs>
  <cellXfs count="26">
    <xf numFmtId="0" fontId="0" fillId="0" borderId="0" xfId="0">
      <alignment horizontal="left" vertical="center"/>
    </xf>
    <xf numFmtId="0" fontId="1" fillId="0" borderId="0" xfId="26">
      <alignment horizontal="left" vertical="center" wrapText="1" indent="2"/>
    </xf>
    <xf numFmtId="0" fontId="0" fillId="0" borderId="0" xfId="0" applyAlignment="1" applyProtection="1">
      <alignment horizontal="center" vertical="center"/>
    </xf>
    <xf numFmtId="0" fontId="0" fillId="0" borderId="0" xfId="0" applyFont="1" applyFill="1" applyBorder="1" applyAlignment="1" applyProtection="1">
      <alignment horizontal="center" vertical="center"/>
    </xf>
    <xf numFmtId="0" fontId="2" fillId="15" borderId="0" xfId="12" applyAlignment="1" applyProtection="1">
      <alignment horizontal="center" vertical="center"/>
    </xf>
    <xf numFmtId="0" fontId="2" fillId="10" borderId="0" xfId="19" applyAlignment="1" applyProtection="1">
      <alignment horizontal="center" vertical="center"/>
    </xf>
    <xf numFmtId="0" fontId="2" fillId="13" borderId="0" xfId="23" applyFont="1" applyAlignment="1" applyProtection="1">
      <alignment horizontal="center" vertical="center"/>
    </xf>
    <xf numFmtId="0" fontId="1" fillId="0" borderId="0" xfId="26" applyFill="1" applyBorder="1">
      <alignment horizontal="left" vertical="center" wrapText="1" indent="2"/>
    </xf>
    <xf numFmtId="1" fontId="1" fillId="0" borderId="0" xfId="25" applyFill="1" applyBorder="1" applyProtection="1">
      <alignment horizontal="center" vertical="center"/>
    </xf>
    <xf numFmtId="0" fontId="0" fillId="0" borderId="0" xfId="0" applyProtection="1">
      <alignment horizontal="left" vertical="center"/>
    </xf>
    <xf numFmtId="0" fontId="6" fillId="2" borderId="0" xfId="3" applyProtection="1">
      <alignment horizontal="center" vertical="center"/>
    </xf>
    <xf numFmtId="164" fontId="0" fillId="0" borderId="0" xfId="0" applyNumberFormat="1" applyFont="1" applyFill="1" applyBorder="1" applyAlignment="1" applyProtection="1">
      <alignment horizontal="center" vertical="center"/>
    </xf>
    <xf numFmtId="0" fontId="7" fillId="0" borderId="0" xfId="1" applyAlignment="1" applyProtection="1">
      <alignment vertical="top"/>
    </xf>
    <xf numFmtId="0" fontId="1" fillId="2" borderId="0" xfId="21" applyBorder="1" applyAlignment="1" applyProtection="1">
      <alignment horizontal="left" vertical="center" indent="1"/>
    </xf>
    <xf numFmtId="0" fontId="0" fillId="0" borderId="0" xfId="21" applyFont="1" applyFill="1" applyBorder="1" applyAlignment="1" applyProtection="1">
      <alignment horizontal="center" vertical="center"/>
    </xf>
    <xf numFmtId="0" fontId="1" fillId="0" borderId="0" xfId="26" applyFill="1" applyBorder="1" applyProtection="1">
      <alignment horizontal="left" vertical="center" wrapText="1" indent="2"/>
    </xf>
    <xf numFmtId="0" fontId="0" fillId="0" borderId="0" xfId="0" applyAlignment="1" applyProtection="1">
      <alignment horizontal="left" vertical="center" wrapText="1"/>
    </xf>
    <xf numFmtId="0" fontId="8" fillId="0" borderId="0" xfId="27" applyProtection="1">
      <alignment horizontal="center"/>
    </xf>
    <xf numFmtId="0" fontId="0" fillId="0" borderId="0" xfId="0" applyFont="1" applyFill="1" applyBorder="1" applyAlignment="1" applyProtection="1">
      <alignment horizontal="left" vertical="center" indent="1"/>
    </xf>
    <xf numFmtId="0" fontId="7" fillId="0" borderId="0" xfId="1">
      <alignment vertical="top"/>
    </xf>
    <xf numFmtId="0" fontId="0" fillId="0" borderId="0" xfId="26" applyFont="1" applyFill="1" applyBorder="1">
      <alignment horizontal="left" vertical="center" wrapText="1" indent="2"/>
    </xf>
    <xf numFmtId="0" fontId="6" fillId="2" borderId="0" xfId="3" applyProtection="1">
      <alignment horizontal="center" vertical="center"/>
    </xf>
    <xf numFmtId="0" fontId="1" fillId="2" borderId="0" xfId="21" applyAlignment="1" applyProtection="1">
      <alignment horizontal="left" vertical="center"/>
    </xf>
    <xf numFmtId="0" fontId="0" fillId="2" borderId="0" xfId="21" applyFont="1" applyAlignment="1" applyProtection="1">
      <alignment horizontal="left" vertical="center"/>
    </xf>
    <xf numFmtId="0" fontId="2" fillId="21" borderId="0" xfId="4" applyFill="1" applyProtection="1">
      <alignment horizontal="right" vertical="center" indent="1"/>
    </xf>
    <xf numFmtId="0" fontId="2" fillId="22" borderId="0" xfId="4" applyFill="1" applyProtection="1">
      <alignment horizontal="right" vertical="center" indent="1"/>
    </xf>
  </cellXfs>
  <cellStyles count="28">
    <cellStyle name="20 % - Accent1" xfId="15" builtinId="30" customBuiltin="1"/>
    <cellStyle name="20 % - Accent3" xfId="21" builtinId="38" customBuiltin="1"/>
    <cellStyle name="20 % - Accent4" xfId="7" builtinId="42"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3" xfId="23" builtinId="40" customBuiltin="1"/>
    <cellStyle name="60 % - Accent4" xfId="9" builtinId="44"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6" xfId="10" builtinId="49" customBuiltin="1"/>
    <cellStyle name="Employé" xfId="26" xr:uid="{00000000-0005-0000-0000-000013000000}"/>
    <cellStyle name="Étiquette" xfId="27" xr:uid="{00000000-0005-0000-0000-000014000000}"/>
    <cellStyle name="Normal" xfId="0" builtinId="0"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s>
  <dxfs count="902">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0"/>
      </font>
      <border>
        <vertical/>
        <horizontal/>
      </border>
    </dxf>
    <dxf>
      <font>
        <b val="0"/>
        <i val="0"/>
        <color theme="3"/>
      </font>
      <border>
        <vertical/>
        <horizontal/>
      </border>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1" formatCode="0"/>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ill>
        <patternFill patternType="none">
          <fgColor indexed="64"/>
          <bgColor indexed="65"/>
        </patternFill>
      </fill>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4"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ill>
        <patternFill patternType="none">
          <fgColor indexed="64"/>
          <bgColor indexed="65"/>
        </patternFill>
      </fill>
      <protection locked="1" hidden="0"/>
    </dxf>
    <dxf>
      <protection locked="1" hidden="0"/>
    </dxf>
    <dxf>
      <protection locked="1" hidden="0"/>
    </dxf>
    <dxf>
      <protection locked="1" hidden="0"/>
    </dxf>
    <dxf>
      <protection locked="1" hidden="0"/>
    </dxf>
    <dxf>
      <protection locked="1" hidden="0"/>
    </dxf>
    <dxf>
      <protection locked="1" hidden="0"/>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TableStyle="Tableau des absences des employés" defaultPivotStyle="PivotStyleLight16">
    <tableStyle name="Tableau des absences des employés" pivot="0" count="13" xr9:uid="{00000000-0011-0000-FFFF-FFFF00000000}">
      <tableStyleElement type="wholeTable" dxfId="901"/>
      <tableStyleElement type="headerRow" dxfId="900"/>
      <tableStyleElement type="totalRow" dxfId="899"/>
      <tableStyleElement type="firstColumn" dxfId="898"/>
      <tableStyleElement type="lastColumn" dxfId="897"/>
      <tableStyleElement type="firstRowStripe" dxfId="896"/>
      <tableStyleElement type="secondRowStripe" dxfId="895"/>
      <tableStyleElement type="firstColumnStripe" dxfId="894"/>
      <tableStyleElement type="secondColumnStripe" dxfId="893"/>
      <tableStyleElement type="firstHeaderCell" dxfId="892"/>
      <tableStyleElement type="lastHeaderCell" dxfId="891"/>
      <tableStyleElement type="firstTotalCell" dxfId="890"/>
      <tableStyleElement type="lastTotalCell" dxfId="889"/>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Janvier" displayName="Janvier" ref="B6:AH12" totalsRowCount="1" headerRowDxfId="888" dataDxfId="887" totalsRowDxfId="886">
  <autoFilter ref="B6:AH11"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xr3:uid="{00000000-0010-0000-0000-000001000000}" name="Nom de l’employé" totalsRowFunction="custom" dataDxfId="159" totalsRowDxfId="127">
      <totalsRowFormula>NomMois&amp;" Total"</totalsRowFormula>
    </tableColumn>
    <tableColumn id="2" xr3:uid="{00000000-0010-0000-0000-000002000000}" name="1" totalsRowFunction="custom" dataDxfId="158" totalsRowDxfId="126" dataCellStyle="Total">
      <totalsRowFormula>SUBTOTAL(103,Janvier!$C$7:$C$11)</totalsRowFormula>
    </tableColumn>
    <tableColumn id="3" xr3:uid="{00000000-0010-0000-0000-000003000000}" name="2" totalsRowFunction="custom" dataDxfId="157" totalsRowDxfId="125" dataCellStyle="Total">
      <totalsRowFormula>SUBTOTAL(103,Janvier!$D$7:$D$11)</totalsRowFormula>
    </tableColumn>
    <tableColumn id="4" xr3:uid="{00000000-0010-0000-0000-000004000000}" name="3" totalsRowFunction="custom" dataDxfId="156" totalsRowDxfId="124" dataCellStyle="Total">
      <totalsRowFormula>SUBTOTAL(103,Janvier!$E$7:$E$11)</totalsRowFormula>
    </tableColumn>
    <tableColumn id="5" xr3:uid="{00000000-0010-0000-0000-000005000000}" name="4" totalsRowFunction="custom" dataDxfId="155" totalsRowDxfId="123" dataCellStyle="Total">
      <totalsRowFormula>SUBTOTAL(103,Janvier!$F$7:$F$11)</totalsRowFormula>
    </tableColumn>
    <tableColumn id="6" xr3:uid="{00000000-0010-0000-0000-000006000000}" name="5" totalsRowFunction="custom" totalsRowDxfId="122" dataCellStyle="Total">
      <totalsRowFormula>SUBTOTAL(103,Janvier!$G$7:$G$11)</totalsRowFormula>
    </tableColumn>
    <tableColumn id="7" xr3:uid="{00000000-0010-0000-0000-000007000000}" name="6" totalsRowFunction="custom" dataDxfId="154" totalsRowDxfId="121" dataCellStyle="Total">
      <totalsRowFormula>SUBTOTAL(103,Janvier!$H$7:$H$11)</totalsRowFormula>
    </tableColumn>
    <tableColumn id="8" xr3:uid="{00000000-0010-0000-0000-000008000000}" name="7" totalsRowFunction="custom" dataDxfId="153" totalsRowDxfId="120" dataCellStyle="Total">
      <totalsRowFormula>SUBTOTAL(103,Janvier!$I$7:$I$11)</totalsRowFormula>
    </tableColumn>
    <tableColumn id="9" xr3:uid="{00000000-0010-0000-0000-000009000000}" name="8" totalsRowFunction="custom" dataDxfId="152" totalsRowDxfId="119" dataCellStyle="Total">
      <totalsRowFormula>SUBTOTAL(103,Janvier!$J$7:$J$11)</totalsRowFormula>
    </tableColumn>
    <tableColumn id="10" xr3:uid="{00000000-0010-0000-0000-00000A000000}" name="9" totalsRowFunction="custom" dataDxfId="151" totalsRowDxfId="118" dataCellStyle="Total">
      <totalsRowFormula>SUBTOTAL(103,Janvier!$K$7:$K$11)</totalsRowFormula>
    </tableColumn>
    <tableColumn id="11" xr3:uid="{00000000-0010-0000-0000-00000B000000}" name="10" totalsRowFunction="custom" dataDxfId="150" totalsRowDxfId="117" dataCellStyle="Total">
      <totalsRowFormula>SUBTOTAL(103,Janvier!$L$7:$L$11)</totalsRowFormula>
    </tableColumn>
    <tableColumn id="12" xr3:uid="{00000000-0010-0000-0000-00000C000000}" name="11" totalsRowFunction="custom" dataDxfId="149" totalsRowDxfId="116" dataCellStyle="Total">
      <totalsRowFormula>SUBTOTAL(103,Janvier!$M$7:$M$11)</totalsRowFormula>
    </tableColumn>
    <tableColumn id="13" xr3:uid="{00000000-0010-0000-0000-00000D000000}" name="12" totalsRowFunction="custom" dataDxfId="148" totalsRowDxfId="115" dataCellStyle="Total">
      <totalsRowFormula>SUBTOTAL(103,Janvier!$N$7:$N$11)</totalsRowFormula>
    </tableColumn>
    <tableColumn id="14" xr3:uid="{00000000-0010-0000-0000-00000E000000}" name="13" totalsRowFunction="custom" dataDxfId="147" totalsRowDxfId="114" dataCellStyle="Total">
      <totalsRowFormula>SUBTOTAL(103,Janvier!$O$7:$O$11)</totalsRowFormula>
    </tableColumn>
    <tableColumn id="15" xr3:uid="{00000000-0010-0000-0000-00000F000000}" name="14" totalsRowFunction="custom" dataDxfId="146" totalsRowDxfId="113" dataCellStyle="Total">
      <totalsRowFormula>SUBTOTAL(103,Janvier!$P$7:$P$11)</totalsRowFormula>
    </tableColumn>
    <tableColumn id="16" xr3:uid="{00000000-0010-0000-0000-000010000000}" name="15" totalsRowFunction="custom" dataDxfId="145" totalsRowDxfId="112" dataCellStyle="Total">
      <totalsRowFormula>SUBTOTAL(103,Janvier!$Q$7:$Q$11)</totalsRowFormula>
    </tableColumn>
    <tableColumn id="17" xr3:uid="{00000000-0010-0000-0000-000011000000}" name="16" totalsRowFunction="custom" dataDxfId="144" totalsRowDxfId="111" dataCellStyle="Total">
      <totalsRowFormula>SUBTOTAL(103,Janvier!$R$7:$R$11)</totalsRowFormula>
    </tableColumn>
    <tableColumn id="18" xr3:uid="{00000000-0010-0000-0000-000012000000}" name="17" totalsRowFunction="custom" dataDxfId="143" totalsRowDxfId="110" dataCellStyle="Total">
      <totalsRowFormula>SUBTOTAL(103,Janvier!$S$7:$S$11)</totalsRowFormula>
    </tableColumn>
    <tableColumn id="19" xr3:uid="{00000000-0010-0000-0000-000013000000}" name="18" totalsRowFunction="custom" dataDxfId="142" totalsRowDxfId="109" dataCellStyle="Total">
      <totalsRowFormula>SUBTOTAL(103,Janvier!$T$7:$T$11)</totalsRowFormula>
    </tableColumn>
    <tableColumn id="20" xr3:uid="{00000000-0010-0000-0000-000014000000}" name="19" totalsRowFunction="custom" dataDxfId="141" totalsRowDxfId="108" dataCellStyle="Total">
      <totalsRowFormula>SUBTOTAL(103,Janvier!$U$7:$U$11)</totalsRowFormula>
    </tableColumn>
    <tableColumn id="21" xr3:uid="{00000000-0010-0000-0000-000015000000}" name="20" totalsRowFunction="custom" dataDxfId="140" totalsRowDxfId="107" dataCellStyle="Total">
      <totalsRowFormula>SUBTOTAL(103,Janvier!$V$7:$V$11)</totalsRowFormula>
    </tableColumn>
    <tableColumn id="22" xr3:uid="{00000000-0010-0000-0000-000016000000}" name="21" totalsRowFunction="custom" dataDxfId="139" totalsRowDxfId="106" dataCellStyle="Total">
      <totalsRowFormula>SUBTOTAL(103,Janvier!$W$7:$W$11)</totalsRowFormula>
    </tableColumn>
    <tableColumn id="23" xr3:uid="{00000000-0010-0000-0000-000017000000}" name="22" totalsRowFunction="custom" dataDxfId="138" totalsRowDxfId="105" dataCellStyle="Total">
      <totalsRowFormula>SUBTOTAL(103,Janvier!$X$7:$X$11)</totalsRowFormula>
    </tableColumn>
    <tableColumn id="24" xr3:uid="{00000000-0010-0000-0000-000018000000}" name="23" totalsRowFunction="custom" dataDxfId="137" totalsRowDxfId="104" dataCellStyle="Total">
      <totalsRowFormula>SUBTOTAL(103,Janvier!$Y$7:$Y$11)</totalsRowFormula>
    </tableColumn>
    <tableColumn id="25" xr3:uid="{00000000-0010-0000-0000-000019000000}" name="24" totalsRowFunction="custom" dataDxfId="136" totalsRowDxfId="103" dataCellStyle="Total">
      <totalsRowFormula>SUBTOTAL(103,Janvier!$Z$7:$Z$11)</totalsRowFormula>
    </tableColumn>
    <tableColumn id="26" xr3:uid="{00000000-0010-0000-0000-00001A000000}" name="25" totalsRowFunction="custom" dataDxfId="135" totalsRowDxfId="102" dataCellStyle="Total">
      <totalsRowFormula>SUBTOTAL(103,Janvier!$AA$7:$AA$11)</totalsRowFormula>
    </tableColumn>
    <tableColumn id="27" xr3:uid="{00000000-0010-0000-0000-00001B000000}" name="26" totalsRowFunction="custom" dataDxfId="134" totalsRowDxfId="101" dataCellStyle="Total">
      <totalsRowFormula>SUBTOTAL(103,Janvier!$AB$7:$AB$11)</totalsRowFormula>
    </tableColumn>
    <tableColumn id="28" xr3:uid="{00000000-0010-0000-0000-00001C000000}" name="27" totalsRowFunction="custom" dataDxfId="133" totalsRowDxfId="100" dataCellStyle="Total">
      <totalsRowFormula>SUBTOTAL(103,Janvier!$AC$7:$AC$11)</totalsRowFormula>
    </tableColumn>
    <tableColumn id="29" xr3:uid="{00000000-0010-0000-0000-00001D000000}" name="28" totalsRowFunction="custom" dataDxfId="132" totalsRowDxfId="99" dataCellStyle="Total">
      <totalsRowFormula>SUBTOTAL(103,Janvier!$AD$7:$AD$11)</totalsRowFormula>
    </tableColumn>
    <tableColumn id="30" xr3:uid="{00000000-0010-0000-0000-00001E000000}" name="29" totalsRowFunction="custom" dataDxfId="131" totalsRowDxfId="98" dataCellStyle="Total">
      <totalsRowFormula>SUBTOTAL(103,Janvier!$AE$7:$AE$11)</totalsRowFormula>
    </tableColumn>
    <tableColumn id="31" xr3:uid="{00000000-0010-0000-0000-00001F000000}" name="30" totalsRowFunction="custom" dataDxfId="130" totalsRowDxfId="97" dataCellStyle="Total">
      <totalsRowFormula>SUBTOTAL(103,Janvier!$AF$7:$AF$11)</totalsRowFormula>
    </tableColumn>
    <tableColumn id="32" xr3:uid="{00000000-0010-0000-0000-000020000000}" name="31" totalsRowFunction="custom" dataDxfId="129" totalsRowDxfId="96" dataCellStyle="Total">
      <totalsRowFormula>SUBTOTAL(103,Janvier!$AG$7:$AG$11)</totalsRowFormula>
    </tableColumn>
    <tableColumn id="33" xr3:uid="{00000000-0010-0000-0000-000021000000}" name="Total des jours" totalsRowFunction="sum" dataDxfId="128" totalsRowDxfId="95" dataCellStyle="Total">
      <calculatedColumnFormula>COUNTA(Janvier!$C7:$AG7)</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Février" displayName="Février" ref="B6:AH12" totalsRowCount="1" headerRowDxfId="885" dataDxfId="884" totalsRowDxfId="883">
  <tableColumns count="33">
    <tableColumn id="1" xr3:uid="{00000000-0010-0000-0100-000001000000}" name="Nom de l’employé" totalsRowFunction="custom" dataDxfId="882" totalsRowDxfId="94">
      <totalsRowFormula>NomMois&amp;" Total"</totalsRowFormula>
    </tableColumn>
    <tableColumn id="2" xr3:uid="{00000000-0010-0000-0100-000002000000}" name="1" totalsRowFunction="count" dataDxfId="881" totalsRowDxfId="93" dataCellStyle="Total"/>
    <tableColumn id="3" xr3:uid="{00000000-0010-0000-0100-000003000000}" name="2" totalsRowFunction="count" dataDxfId="880" totalsRowDxfId="92" dataCellStyle="Total"/>
    <tableColumn id="4" xr3:uid="{00000000-0010-0000-0100-000004000000}" name="3" totalsRowFunction="count" dataDxfId="879" totalsRowDxfId="91" dataCellStyle="Total"/>
    <tableColumn id="5" xr3:uid="{00000000-0010-0000-0100-000005000000}" name="4" totalsRowFunction="count" dataDxfId="878" totalsRowDxfId="90" dataCellStyle="Total"/>
    <tableColumn id="6" xr3:uid="{00000000-0010-0000-0100-000006000000}" name="5" totalsRowFunction="count" dataDxfId="877" totalsRowDxfId="89" dataCellStyle="Total"/>
    <tableColumn id="7" xr3:uid="{00000000-0010-0000-0100-000007000000}" name="6" totalsRowFunction="count" dataDxfId="876" totalsRowDxfId="88" dataCellStyle="Total"/>
    <tableColumn id="8" xr3:uid="{00000000-0010-0000-0100-000008000000}" name="7" totalsRowFunction="count" dataDxfId="875" totalsRowDxfId="87" dataCellStyle="Total"/>
    <tableColumn id="9" xr3:uid="{00000000-0010-0000-0100-000009000000}" name="8" totalsRowFunction="count" dataDxfId="874" totalsRowDxfId="86" dataCellStyle="Total"/>
    <tableColumn id="10" xr3:uid="{00000000-0010-0000-0100-00000A000000}" name="9" totalsRowFunction="count" dataDxfId="873" totalsRowDxfId="85" dataCellStyle="Total"/>
    <tableColumn id="11" xr3:uid="{00000000-0010-0000-0100-00000B000000}" name="10" totalsRowFunction="count" dataDxfId="872" totalsRowDxfId="84" dataCellStyle="Total"/>
    <tableColumn id="12" xr3:uid="{00000000-0010-0000-0100-00000C000000}" name="11" totalsRowFunction="count" dataDxfId="871" totalsRowDxfId="83" dataCellStyle="Total"/>
    <tableColumn id="13" xr3:uid="{00000000-0010-0000-0100-00000D000000}" name="12" totalsRowFunction="count" dataDxfId="870" totalsRowDxfId="82" dataCellStyle="Total"/>
    <tableColumn id="14" xr3:uid="{00000000-0010-0000-0100-00000E000000}" name="13" totalsRowFunction="count" dataDxfId="869" totalsRowDxfId="81" dataCellStyle="Total"/>
    <tableColumn id="15" xr3:uid="{00000000-0010-0000-0100-00000F000000}" name="14" totalsRowFunction="count" dataDxfId="868" totalsRowDxfId="80" dataCellStyle="Total"/>
    <tableColumn id="16" xr3:uid="{00000000-0010-0000-0100-000010000000}" name="15" totalsRowFunction="count" dataDxfId="867" totalsRowDxfId="79" dataCellStyle="Total"/>
    <tableColumn id="17" xr3:uid="{00000000-0010-0000-0100-000011000000}" name="16" totalsRowFunction="count" dataDxfId="866" totalsRowDxfId="78" dataCellStyle="Total"/>
    <tableColumn id="18" xr3:uid="{00000000-0010-0000-0100-000012000000}" name="17" totalsRowFunction="count" dataDxfId="865" totalsRowDxfId="77" dataCellStyle="Total"/>
    <tableColumn id="19" xr3:uid="{00000000-0010-0000-0100-000013000000}" name="18" totalsRowFunction="count" dataDxfId="864" totalsRowDxfId="76" dataCellStyle="Total"/>
    <tableColumn id="20" xr3:uid="{00000000-0010-0000-0100-000014000000}" name="19" totalsRowFunction="count" dataDxfId="863" totalsRowDxfId="75" dataCellStyle="Total"/>
    <tableColumn id="21" xr3:uid="{00000000-0010-0000-0100-000015000000}" name="20" totalsRowFunction="count" dataDxfId="862" totalsRowDxfId="74" dataCellStyle="Total"/>
    <tableColumn id="22" xr3:uid="{00000000-0010-0000-0100-000016000000}" name="21" totalsRowFunction="count" dataDxfId="861" totalsRowDxfId="73" dataCellStyle="Total"/>
    <tableColumn id="23" xr3:uid="{00000000-0010-0000-0100-000017000000}" name="22" totalsRowFunction="count" dataDxfId="860" totalsRowDxfId="72" dataCellStyle="Total"/>
    <tableColumn id="24" xr3:uid="{00000000-0010-0000-0100-000018000000}" name="23" totalsRowFunction="count" dataDxfId="859" totalsRowDxfId="71" dataCellStyle="Total"/>
    <tableColumn id="25" xr3:uid="{00000000-0010-0000-0100-000019000000}" name="24" totalsRowFunction="count" dataDxfId="858" totalsRowDxfId="70" dataCellStyle="Total"/>
    <tableColumn id="26" xr3:uid="{00000000-0010-0000-0100-00001A000000}" name="25" totalsRowFunction="count" dataDxfId="857" totalsRowDxfId="69" dataCellStyle="Total"/>
    <tableColumn id="27" xr3:uid="{00000000-0010-0000-0100-00001B000000}" name="26" totalsRowFunction="count" dataDxfId="856" totalsRowDxfId="68" dataCellStyle="Total"/>
    <tableColumn id="28" xr3:uid="{00000000-0010-0000-0100-00001C000000}" name="27" totalsRowFunction="count" dataDxfId="855" totalsRowDxfId="67" dataCellStyle="Total"/>
    <tableColumn id="29" xr3:uid="{00000000-0010-0000-0100-00001D000000}" name="28" totalsRowFunction="count" dataDxfId="854" totalsRowDxfId="66" dataCellStyle="Total"/>
    <tableColumn id="30" xr3:uid="{00000000-0010-0000-0100-00001E000000}" name="29" totalsRowFunction="count" dataDxfId="853" totalsRowDxfId="65" dataCellStyle="Total"/>
    <tableColumn id="31" xr3:uid="{00000000-0010-0000-0100-00001F000000}" name=" " dataDxfId="852" totalsRowDxfId="64" dataCellStyle="Total"/>
    <tableColumn id="32" xr3:uid="{00000000-0010-0000-0100-000020000000}" name="  " dataDxfId="851" totalsRowDxfId="63" dataCellStyle="Total"/>
    <tableColumn id="33" xr3:uid="{00000000-0010-0000-0100-000021000000}" name="Total des jours" totalsRowFunction="sum" dataDxfId="850" totalsRowDxfId="62" dataCellStyle="Total">
      <calculatedColumnFormula>COUNTA(Février[[#This Row],[1]:[29]])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02000000}" name="Mars" displayName="Mars" ref="B6:AH12" totalsRowCount="1" headerRowDxfId="849" dataDxfId="848" totalsRowDxfId="847">
  <tableColumns count="33">
    <tableColumn id="1" xr3:uid="{00000000-0010-0000-0200-000001000000}" name="Nom de l’employé" totalsRowFunction="custom" dataDxfId="846" totalsRowDxfId="845">
      <totalsRowFormula>NomMois&amp;" Total"</totalsRowFormula>
    </tableColumn>
    <tableColumn id="2" xr3:uid="{00000000-0010-0000-0200-000002000000}" name="1" totalsRowFunction="count" dataDxfId="844" totalsRowDxfId="843"/>
    <tableColumn id="3" xr3:uid="{00000000-0010-0000-0200-000003000000}" name="2" totalsRowFunction="count" dataDxfId="842" totalsRowDxfId="841"/>
    <tableColumn id="4" xr3:uid="{00000000-0010-0000-0200-000004000000}" name="3" totalsRowFunction="count" dataDxfId="840" totalsRowDxfId="839"/>
    <tableColumn id="5" xr3:uid="{00000000-0010-0000-0200-000005000000}" name="4" totalsRowFunction="count" dataDxfId="838" totalsRowDxfId="837"/>
    <tableColumn id="6" xr3:uid="{00000000-0010-0000-0200-000006000000}" name="5" totalsRowFunction="count" dataDxfId="836" totalsRowDxfId="835"/>
    <tableColumn id="7" xr3:uid="{00000000-0010-0000-0200-000007000000}" name="6" totalsRowFunction="count" dataDxfId="834" totalsRowDxfId="833"/>
    <tableColumn id="8" xr3:uid="{00000000-0010-0000-0200-000008000000}" name="7" totalsRowFunction="count" dataDxfId="832" totalsRowDxfId="831"/>
    <tableColumn id="9" xr3:uid="{00000000-0010-0000-0200-000009000000}" name="8" totalsRowFunction="count" dataDxfId="830" totalsRowDxfId="829"/>
    <tableColumn id="10" xr3:uid="{00000000-0010-0000-0200-00000A000000}" name="9" totalsRowFunction="count" dataDxfId="828" totalsRowDxfId="827"/>
    <tableColumn id="11" xr3:uid="{00000000-0010-0000-0200-00000B000000}" name="10" totalsRowFunction="count" dataDxfId="826" totalsRowDxfId="825"/>
    <tableColumn id="12" xr3:uid="{00000000-0010-0000-0200-00000C000000}" name="11" totalsRowFunction="count" dataDxfId="824" totalsRowDxfId="823"/>
    <tableColumn id="13" xr3:uid="{00000000-0010-0000-0200-00000D000000}" name="12" totalsRowFunction="count" dataDxfId="822" totalsRowDxfId="821"/>
    <tableColumn id="14" xr3:uid="{00000000-0010-0000-0200-00000E000000}" name="13" totalsRowFunction="count" dataDxfId="820" totalsRowDxfId="819"/>
    <tableColumn id="15" xr3:uid="{00000000-0010-0000-0200-00000F000000}" name="14" totalsRowFunction="count" dataDxfId="818" totalsRowDxfId="817"/>
    <tableColumn id="16" xr3:uid="{00000000-0010-0000-0200-000010000000}" name="15" totalsRowFunction="count" dataDxfId="816" totalsRowDxfId="815"/>
    <tableColumn id="17" xr3:uid="{00000000-0010-0000-0200-000011000000}" name="16" totalsRowFunction="count" dataDxfId="814" totalsRowDxfId="813"/>
    <tableColumn id="18" xr3:uid="{00000000-0010-0000-0200-000012000000}" name="17" totalsRowFunction="count" dataDxfId="812" totalsRowDxfId="811"/>
    <tableColumn id="19" xr3:uid="{00000000-0010-0000-0200-000013000000}" name="18" totalsRowFunction="count" dataDxfId="810" totalsRowDxfId="809"/>
    <tableColumn id="20" xr3:uid="{00000000-0010-0000-0200-000014000000}" name="19" totalsRowFunction="count" dataDxfId="808" totalsRowDxfId="807"/>
    <tableColumn id="21" xr3:uid="{00000000-0010-0000-0200-000015000000}" name="20" totalsRowFunction="count" dataDxfId="806" totalsRowDxfId="805"/>
    <tableColumn id="22" xr3:uid="{00000000-0010-0000-0200-000016000000}" name="21" totalsRowFunction="count" dataDxfId="804" totalsRowDxfId="803"/>
    <tableColumn id="23" xr3:uid="{00000000-0010-0000-0200-000017000000}" name="22" totalsRowFunction="count" dataDxfId="802" totalsRowDxfId="801"/>
    <tableColumn id="24" xr3:uid="{00000000-0010-0000-0200-000018000000}" name="23" totalsRowFunction="count" dataDxfId="800" totalsRowDxfId="799"/>
    <tableColumn id="25" xr3:uid="{00000000-0010-0000-0200-000019000000}" name="24" totalsRowFunction="count" dataDxfId="798" totalsRowDxfId="797"/>
    <tableColumn id="26" xr3:uid="{00000000-0010-0000-0200-00001A000000}" name="25" totalsRowFunction="count" dataDxfId="796" totalsRowDxfId="795"/>
    <tableColumn id="27" xr3:uid="{00000000-0010-0000-0200-00001B000000}" name="26" totalsRowFunction="count" dataDxfId="794" totalsRowDxfId="793"/>
    <tableColumn id="28" xr3:uid="{00000000-0010-0000-0200-00001C000000}" name="27" totalsRowFunction="count" dataDxfId="792" totalsRowDxfId="791"/>
    <tableColumn id="29" xr3:uid="{00000000-0010-0000-0200-00001D000000}" name="28" totalsRowFunction="count" dataDxfId="790" totalsRowDxfId="789"/>
    <tableColumn id="30" xr3:uid="{00000000-0010-0000-0200-00001E000000}" name="29" totalsRowFunction="count" dataDxfId="788" totalsRowDxfId="787"/>
    <tableColumn id="31" xr3:uid="{00000000-0010-0000-0200-00001F000000}" name="30" totalsRowFunction="sum" dataDxfId="786" totalsRowDxfId="785"/>
    <tableColumn id="32" xr3:uid="{00000000-0010-0000-0200-000020000000}" name="31" totalsRowFunction="sum" dataDxfId="784" totalsRowDxfId="783" dataCellStyle="Total"/>
    <tableColumn id="33" xr3:uid="{00000000-0010-0000-0200-000021000000}" name="Total des jours" totalsRowFunction="sum" dataDxfId="782" totalsRowDxfId="781" dataCellStyle="Total">
      <calculatedColumnFormula>COUNTA(Mars[[#This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03000000}" name="Avril" displayName="Avril" ref="B6:AH12" totalsRowCount="1" headerRowDxfId="780" dataDxfId="779" totalsRowDxfId="778">
  <tableColumns count="33">
    <tableColumn id="1" xr3:uid="{00000000-0010-0000-0300-000001000000}" name="Nom de l’employé" totalsRowFunction="custom" dataDxfId="777" totalsRowDxfId="776">
      <totalsRowFormula>NomMois&amp;" Total"</totalsRowFormula>
    </tableColumn>
    <tableColumn id="2" xr3:uid="{00000000-0010-0000-0300-000002000000}" name="1" totalsRowFunction="count" dataDxfId="775" totalsRowDxfId="774"/>
    <tableColumn id="3" xr3:uid="{00000000-0010-0000-0300-000003000000}" name="2" totalsRowFunction="count" dataDxfId="773" totalsRowDxfId="772"/>
    <tableColumn id="4" xr3:uid="{00000000-0010-0000-0300-000004000000}" name="3" totalsRowFunction="count" dataDxfId="771" totalsRowDxfId="770"/>
    <tableColumn id="5" xr3:uid="{00000000-0010-0000-0300-000005000000}" name="4" totalsRowFunction="count" dataDxfId="769" totalsRowDxfId="768"/>
    <tableColumn id="6" xr3:uid="{00000000-0010-0000-0300-000006000000}" name="5" totalsRowFunction="count" dataDxfId="767" totalsRowDxfId="766"/>
    <tableColumn id="7" xr3:uid="{00000000-0010-0000-0300-000007000000}" name="6" totalsRowFunction="count" dataDxfId="765" totalsRowDxfId="764"/>
    <tableColumn id="8" xr3:uid="{00000000-0010-0000-0300-000008000000}" name="7" totalsRowFunction="count" dataDxfId="763" totalsRowDxfId="762"/>
    <tableColumn id="9" xr3:uid="{00000000-0010-0000-0300-000009000000}" name="8" totalsRowFunction="count" dataDxfId="761" totalsRowDxfId="760"/>
    <tableColumn id="10" xr3:uid="{00000000-0010-0000-0300-00000A000000}" name="9" totalsRowFunction="count" dataDxfId="759" totalsRowDxfId="758"/>
    <tableColumn id="11" xr3:uid="{00000000-0010-0000-0300-00000B000000}" name="10" totalsRowFunction="count" dataDxfId="757" totalsRowDxfId="756"/>
    <tableColumn id="12" xr3:uid="{00000000-0010-0000-0300-00000C000000}" name="11" totalsRowFunction="count" dataDxfId="755" totalsRowDxfId="754"/>
    <tableColumn id="13" xr3:uid="{00000000-0010-0000-0300-00000D000000}" name="12" totalsRowFunction="count" dataDxfId="753" totalsRowDxfId="752"/>
    <tableColumn id="14" xr3:uid="{00000000-0010-0000-0300-00000E000000}" name="13" totalsRowFunction="count" dataDxfId="751" totalsRowDxfId="750"/>
    <tableColumn id="15" xr3:uid="{00000000-0010-0000-0300-00000F000000}" name="14" totalsRowFunction="count" dataDxfId="749" totalsRowDxfId="748"/>
    <tableColumn id="16" xr3:uid="{00000000-0010-0000-0300-000010000000}" name="15" totalsRowFunction="count" dataDxfId="747" totalsRowDxfId="746"/>
    <tableColumn id="17" xr3:uid="{00000000-0010-0000-0300-000011000000}" name="16" totalsRowFunction="count" dataDxfId="745" totalsRowDxfId="744"/>
    <tableColumn id="18" xr3:uid="{00000000-0010-0000-0300-000012000000}" name="17" totalsRowFunction="count" dataDxfId="743" totalsRowDxfId="742"/>
    <tableColumn id="19" xr3:uid="{00000000-0010-0000-0300-000013000000}" name="18" totalsRowFunction="count" dataDxfId="741" totalsRowDxfId="740"/>
    <tableColumn id="20" xr3:uid="{00000000-0010-0000-0300-000014000000}" name="19" totalsRowFunction="count" dataDxfId="739" totalsRowDxfId="738"/>
    <tableColumn id="21" xr3:uid="{00000000-0010-0000-0300-000015000000}" name="20" totalsRowFunction="count" dataDxfId="737" totalsRowDxfId="736"/>
    <tableColumn id="22" xr3:uid="{00000000-0010-0000-0300-000016000000}" name="21" totalsRowFunction="count" dataDxfId="735" totalsRowDxfId="734"/>
    <tableColumn id="23" xr3:uid="{00000000-0010-0000-0300-000017000000}" name="22" totalsRowFunction="count" dataDxfId="733" totalsRowDxfId="732"/>
    <tableColumn id="24" xr3:uid="{00000000-0010-0000-0300-000018000000}" name="23" totalsRowFunction="count" dataDxfId="731" totalsRowDxfId="730"/>
    <tableColumn id="25" xr3:uid="{00000000-0010-0000-0300-000019000000}" name="24" totalsRowFunction="count" dataDxfId="729" totalsRowDxfId="728"/>
    <tableColumn id="26" xr3:uid="{00000000-0010-0000-0300-00001A000000}" name="25" totalsRowFunction="count" dataDxfId="727" totalsRowDxfId="726"/>
    <tableColumn id="27" xr3:uid="{00000000-0010-0000-0300-00001B000000}" name="26" totalsRowFunction="count" dataDxfId="725" totalsRowDxfId="724"/>
    <tableColumn id="28" xr3:uid="{00000000-0010-0000-0300-00001C000000}" name="27" totalsRowFunction="count" dataDxfId="723" totalsRowDxfId="722"/>
    <tableColumn id="29" xr3:uid="{00000000-0010-0000-0300-00001D000000}" name="28" totalsRowFunction="count" dataDxfId="721" totalsRowDxfId="720"/>
    <tableColumn id="30" xr3:uid="{00000000-0010-0000-0300-00001E000000}" name="29" totalsRowFunction="count" dataDxfId="719" totalsRowDxfId="718"/>
    <tableColumn id="31" xr3:uid="{00000000-0010-0000-0300-00001F000000}" name="30" totalsRowFunction="sum" dataDxfId="717" totalsRowDxfId="716"/>
    <tableColumn id="32" xr3:uid="{00000000-0010-0000-0300-000020000000}" name="31" totalsRowFunction="sum" dataDxfId="715" totalsRowDxfId="714" dataCellStyle="Total"/>
    <tableColumn id="33" xr3:uid="{00000000-0010-0000-0300-000021000000}" name="Total des jours" totalsRowFunction="sum" dataDxfId="713" totalsRowDxfId="712" dataCellStyle="Total">
      <calculatedColumnFormula>COUNTA(Avril[[#This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04000000}" name="Mai" displayName="Mai" ref="B6:AH12" totalsRowCount="1" headerRowDxfId="711" dataDxfId="710" totalsRowDxfId="709">
  <tableColumns count="33">
    <tableColumn id="1" xr3:uid="{00000000-0010-0000-0400-000001000000}" name="Nom de l’employé" totalsRowFunction="custom" dataDxfId="708" totalsRowDxfId="707">
      <totalsRowFormula>NomMois&amp;" Total"</totalsRowFormula>
    </tableColumn>
    <tableColumn id="2" xr3:uid="{00000000-0010-0000-0400-000002000000}" name="1" totalsRowFunction="count" dataDxfId="706" totalsRowDxfId="705"/>
    <tableColumn id="3" xr3:uid="{00000000-0010-0000-0400-000003000000}" name="2" totalsRowFunction="count" dataDxfId="704" totalsRowDxfId="703"/>
    <tableColumn id="4" xr3:uid="{00000000-0010-0000-0400-000004000000}" name="3" totalsRowFunction="count" dataDxfId="702" totalsRowDxfId="701"/>
    <tableColumn id="5" xr3:uid="{00000000-0010-0000-0400-000005000000}" name="4" totalsRowFunction="count" dataDxfId="700" totalsRowDxfId="699"/>
    <tableColumn id="6" xr3:uid="{00000000-0010-0000-0400-000006000000}" name="5" totalsRowFunction="count" dataDxfId="698" totalsRowDxfId="697"/>
    <tableColumn id="7" xr3:uid="{00000000-0010-0000-0400-000007000000}" name="6" totalsRowFunction="count" dataDxfId="696" totalsRowDxfId="695"/>
    <tableColumn id="8" xr3:uid="{00000000-0010-0000-0400-000008000000}" name="7" totalsRowFunction="count" dataDxfId="694" totalsRowDxfId="693"/>
    <tableColumn id="9" xr3:uid="{00000000-0010-0000-0400-000009000000}" name="8" totalsRowFunction="count" dataDxfId="692" totalsRowDxfId="691"/>
    <tableColumn id="10" xr3:uid="{00000000-0010-0000-0400-00000A000000}" name="9" totalsRowFunction="count" dataDxfId="690" totalsRowDxfId="689"/>
    <tableColumn id="11" xr3:uid="{00000000-0010-0000-0400-00000B000000}" name="10" totalsRowFunction="count" dataDxfId="688" totalsRowDxfId="687"/>
    <tableColumn id="12" xr3:uid="{00000000-0010-0000-0400-00000C000000}" name="11" totalsRowFunction="count" dataDxfId="686" totalsRowDxfId="685"/>
    <tableColumn id="13" xr3:uid="{00000000-0010-0000-0400-00000D000000}" name="12" totalsRowFunction="count" dataDxfId="684" totalsRowDxfId="683"/>
    <tableColumn id="14" xr3:uid="{00000000-0010-0000-0400-00000E000000}" name="13" totalsRowFunction="count" dataDxfId="682" totalsRowDxfId="681"/>
    <tableColumn id="15" xr3:uid="{00000000-0010-0000-0400-00000F000000}" name="14" totalsRowFunction="count" dataDxfId="680" totalsRowDxfId="679"/>
    <tableColumn id="16" xr3:uid="{00000000-0010-0000-0400-000010000000}" name="15" totalsRowFunction="count" dataDxfId="678" totalsRowDxfId="677"/>
    <tableColumn id="17" xr3:uid="{00000000-0010-0000-0400-000011000000}" name="16" totalsRowFunction="count" dataDxfId="676" totalsRowDxfId="675"/>
    <tableColumn id="18" xr3:uid="{00000000-0010-0000-0400-000012000000}" name="17" totalsRowFunction="count" dataDxfId="674" totalsRowDxfId="673"/>
    <tableColumn id="19" xr3:uid="{00000000-0010-0000-0400-000013000000}" name="18" totalsRowFunction="count" dataDxfId="672" totalsRowDxfId="671"/>
    <tableColumn id="20" xr3:uid="{00000000-0010-0000-0400-000014000000}" name="19" totalsRowFunction="count" dataDxfId="670" totalsRowDxfId="669"/>
    <tableColumn id="21" xr3:uid="{00000000-0010-0000-0400-000015000000}" name="20" totalsRowFunction="count" dataDxfId="668" totalsRowDxfId="667"/>
    <tableColumn id="22" xr3:uid="{00000000-0010-0000-0400-000016000000}" name="21" totalsRowFunction="count" dataDxfId="666" totalsRowDxfId="665"/>
    <tableColumn id="23" xr3:uid="{00000000-0010-0000-0400-000017000000}" name="22" totalsRowFunction="count" dataDxfId="664" totalsRowDxfId="663"/>
    <tableColumn id="24" xr3:uid="{00000000-0010-0000-0400-000018000000}" name="23" totalsRowFunction="count" dataDxfId="662" totalsRowDxfId="661"/>
    <tableColumn id="25" xr3:uid="{00000000-0010-0000-0400-000019000000}" name="24" totalsRowFunction="count" dataDxfId="660" totalsRowDxfId="659"/>
    <tableColumn id="26" xr3:uid="{00000000-0010-0000-0400-00001A000000}" name="25" totalsRowFunction="count" dataDxfId="658" totalsRowDxfId="657"/>
    <tableColumn id="27" xr3:uid="{00000000-0010-0000-0400-00001B000000}" name="26" totalsRowFunction="count" dataDxfId="656" totalsRowDxfId="655"/>
    <tableColumn id="28" xr3:uid="{00000000-0010-0000-0400-00001C000000}" name="27" totalsRowFunction="count" dataDxfId="654" totalsRowDxfId="653"/>
    <tableColumn id="29" xr3:uid="{00000000-0010-0000-0400-00001D000000}" name="28" totalsRowFunction="count" dataDxfId="652" totalsRowDxfId="651"/>
    <tableColumn id="30" xr3:uid="{00000000-0010-0000-0400-00001E000000}" name="29" totalsRowFunction="count" dataDxfId="650" totalsRowDxfId="649"/>
    <tableColumn id="31" xr3:uid="{00000000-0010-0000-0400-00001F000000}" name="30" totalsRowFunction="sum" dataDxfId="648" totalsRowDxfId="647"/>
    <tableColumn id="32" xr3:uid="{00000000-0010-0000-0400-000020000000}" name="31" totalsRowFunction="sum" dataDxfId="646" totalsRowDxfId="645" dataCellStyle="Total"/>
    <tableColumn id="33" xr3:uid="{00000000-0010-0000-0400-000021000000}" name="Total des jours" totalsRowFunction="sum" dataDxfId="644" totalsRowDxfId="643" dataCellStyle="Total">
      <calculatedColumnFormula>COUNTA(Mai[[#This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05000000}" name="Juin" displayName="Juin" ref="B6:AH12" totalsRowCount="1" headerRowDxfId="642" dataDxfId="641" totalsRowDxfId="640">
  <tableColumns count="33">
    <tableColumn id="1" xr3:uid="{00000000-0010-0000-0500-000001000000}" name="Nom de l’employé" totalsRowFunction="custom" dataDxfId="639" totalsRowDxfId="638">
      <totalsRowFormula>NomMois&amp;" Total"</totalsRowFormula>
    </tableColumn>
    <tableColumn id="2" xr3:uid="{00000000-0010-0000-0500-000002000000}" name="1" totalsRowFunction="count" dataDxfId="637" totalsRowDxfId="636"/>
    <tableColumn id="3" xr3:uid="{00000000-0010-0000-0500-000003000000}" name="2" totalsRowFunction="count" dataDxfId="635" totalsRowDxfId="634"/>
    <tableColumn id="4" xr3:uid="{00000000-0010-0000-0500-000004000000}" name="3" totalsRowFunction="count" dataDxfId="633" totalsRowDxfId="632"/>
    <tableColumn id="5" xr3:uid="{00000000-0010-0000-0500-000005000000}" name="4" totalsRowFunction="count" dataDxfId="631" totalsRowDxfId="630"/>
    <tableColumn id="6" xr3:uid="{00000000-0010-0000-0500-000006000000}" name="5" totalsRowFunction="count" dataDxfId="629" totalsRowDxfId="628"/>
    <tableColumn id="7" xr3:uid="{00000000-0010-0000-0500-000007000000}" name="6" totalsRowFunction="count" dataDxfId="627" totalsRowDxfId="626"/>
    <tableColumn id="8" xr3:uid="{00000000-0010-0000-0500-000008000000}" name="7" totalsRowFunction="count" dataDxfId="625" totalsRowDxfId="624"/>
    <tableColumn id="9" xr3:uid="{00000000-0010-0000-0500-000009000000}" name="8" totalsRowFunction="count" dataDxfId="623" totalsRowDxfId="622"/>
    <tableColumn id="10" xr3:uid="{00000000-0010-0000-0500-00000A000000}" name="9" totalsRowFunction="count" dataDxfId="621" totalsRowDxfId="620"/>
    <tableColumn id="11" xr3:uid="{00000000-0010-0000-0500-00000B000000}" name="10" totalsRowFunction="count" dataDxfId="619" totalsRowDxfId="618"/>
    <tableColumn id="12" xr3:uid="{00000000-0010-0000-0500-00000C000000}" name="11" totalsRowFunction="count" dataDxfId="617" totalsRowDxfId="616"/>
    <tableColumn id="13" xr3:uid="{00000000-0010-0000-0500-00000D000000}" name="12" totalsRowFunction="count" dataDxfId="615" totalsRowDxfId="614"/>
    <tableColumn id="14" xr3:uid="{00000000-0010-0000-0500-00000E000000}" name="13" totalsRowFunction="count" dataDxfId="613" totalsRowDxfId="612"/>
    <tableColumn id="15" xr3:uid="{00000000-0010-0000-0500-00000F000000}" name="14" totalsRowFunction="count" dataDxfId="611" totalsRowDxfId="610"/>
    <tableColumn id="16" xr3:uid="{00000000-0010-0000-0500-000010000000}" name="15" totalsRowFunction="count" dataDxfId="609" totalsRowDxfId="608"/>
    <tableColumn id="17" xr3:uid="{00000000-0010-0000-0500-000011000000}" name="16" totalsRowFunction="count" dataDxfId="607" totalsRowDxfId="606"/>
    <tableColumn id="18" xr3:uid="{00000000-0010-0000-0500-000012000000}" name="17" totalsRowFunction="count" dataDxfId="605" totalsRowDxfId="604"/>
    <tableColumn id="19" xr3:uid="{00000000-0010-0000-0500-000013000000}" name="18" totalsRowFunction="count" dataDxfId="603" totalsRowDxfId="602"/>
    <tableColumn id="20" xr3:uid="{00000000-0010-0000-0500-000014000000}" name="19" totalsRowFunction="count" dataDxfId="601" totalsRowDxfId="600"/>
    <tableColumn id="21" xr3:uid="{00000000-0010-0000-0500-000015000000}" name="20" totalsRowFunction="count" dataDxfId="599" totalsRowDxfId="598"/>
    <tableColumn id="22" xr3:uid="{00000000-0010-0000-0500-000016000000}" name="21" totalsRowFunction="count" dataDxfId="597" totalsRowDxfId="596"/>
    <tableColumn id="23" xr3:uid="{00000000-0010-0000-0500-000017000000}" name="22" totalsRowFunction="count" dataDxfId="595" totalsRowDxfId="594"/>
    <tableColumn id="24" xr3:uid="{00000000-0010-0000-0500-000018000000}" name="23" totalsRowFunction="count" dataDxfId="593" totalsRowDxfId="592"/>
    <tableColumn id="25" xr3:uid="{00000000-0010-0000-0500-000019000000}" name="24" totalsRowFunction="count" dataDxfId="591" totalsRowDxfId="590"/>
    <tableColumn id="26" xr3:uid="{00000000-0010-0000-0500-00001A000000}" name="25" totalsRowFunction="count" dataDxfId="589" totalsRowDxfId="588"/>
    <tableColumn id="27" xr3:uid="{00000000-0010-0000-0500-00001B000000}" name="26" totalsRowFunction="count" dataDxfId="587" totalsRowDxfId="586"/>
    <tableColumn id="28" xr3:uid="{00000000-0010-0000-0500-00001C000000}" name="27" totalsRowFunction="count" dataDxfId="585" totalsRowDxfId="584"/>
    <tableColumn id="29" xr3:uid="{00000000-0010-0000-0500-00001D000000}" name="28" totalsRowFunction="count" dataDxfId="583" totalsRowDxfId="582"/>
    <tableColumn id="30" xr3:uid="{00000000-0010-0000-0500-00001E000000}" name="29" totalsRowFunction="count" dataDxfId="581" totalsRowDxfId="580"/>
    <tableColumn id="31" xr3:uid="{00000000-0010-0000-0500-00001F000000}" name="30" totalsRowFunction="sum" dataDxfId="579" totalsRowDxfId="578"/>
    <tableColumn id="32" xr3:uid="{00000000-0010-0000-0500-000020000000}" name="31" totalsRowFunction="sum" dataDxfId="577" totalsRowDxfId="576" dataCellStyle="Total"/>
    <tableColumn id="33" xr3:uid="{00000000-0010-0000-0500-000021000000}" name="Total des jours" totalsRowFunction="sum" dataDxfId="575" totalsRowDxfId="574" dataCellStyle="Total">
      <calculatedColumnFormula>COUNTA(Juin[[#This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06000000}" name="Juillet" displayName="Juillet" ref="B6:AH12" totalsRowCount="1" headerRowDxfId="573" dataDxfId="572" totalsRowDxfId="571">
  <tableColumns count="33">
    <tableColumn id="1" xr3:uid="{00000000-0010-0000-0600-000001000000}" name="Nom de l’employé" totalsRowFunction="custom" dataDxfId="570" totalsRowDxfId="569">
      <totalsRowFormula>NomMois&amp;" Total"</totalsRowFormula>
    </tableColumn>
    <tableColumn id="2" xr3:uid="{00000000-0010-0000-0600-000002000000}" name="1" totalsRowFunction="count" dataDxfId="568" totalsRowDxfId="567"/>
    <tableColumn id="3" xr3:uid="{00000000-0010-0000-0600-000003000000}" name="2" totalsRowFunction="count" dataDxfId="566" totalsRowDxfId="565"/>
    <tableColumn id="4" xr3:uid="{00000000-0010-0000-0600-000004000000}" name="3" totalsRowFunction="count" dataDxfId="564" totalsRowDxfId="563"/>
    <tableColumn id="5" xr3:uid="{00000000-0010-0000-0600-000005000000}" name="4" totalsRowFunction="count" dataDxfId="562" totalsRowDxfId="561"/>
    <tableColumn id="6" xr3:uid="{00000000-0010-0000-0600-000006000000}" name="5" totalsRowFunction="count" dataDxfId="560" totalsRowDxfId="559"/>
    <tableColumn id="7" xr3:uid="{00000000-0010-0000-0600-000007000000}" name="6" totalsRowFunction="count" dataDxfId="558" totalsRowDxfId="557"/>
    <tableColumn id="8" xr3:uid="{00000000-0010-0000-0600-000008000000}" name="7" totalsRowFunction="count" dataDxfId="556" totalsRowDxfId="555"/>
    <tableColumn id="9" xr3:uid="{00000000-0010-0000-0600-000009000000}" name="8" totalsRowFunction="count" dataDxfId="554" totalsRowDxfId="553"/>
    <tableColumn id="10" xr3:uid="{00000000-0010-0000-0600-00000A000000}" name="9" totalsRowFunction="count" dataDxfId="552" totalsRowDxfId="551"/>
    <tableColumn id="11" xr3:uid="{00000000-0010-0000-0600-00000B000000}" name="10" totalsRowFunction="count" dataDxfId="550" totalsRowDxfId="549"/>
    <tableColumn id="12" xr3:uid="{00000000-0010-0000-0600-00000C000000}" name="11" totalsRowFunction="count" dataDxfId="548" totalsRowDxfId="547"/>
    <tableColumn id="13" xr3:uid="{00000000-0010-0000-0600-00000D000000}" name="12" totalsRowFunction="count" dataDxfId="546" totalsRowDxfId="545"/>
    <tableColumn id="14" xr3:uid="{00000000-0010-0000-0600-00000E000000}" name="13" totalsRowFunction="count" dataDxfId="544" totalsRowDxfId="543"/>
    <tableColumn id="15" xr3:uid="{00000000-0010-0000-0600-00000F000000}" name="14" totalsRowFunction="count" dataDxfId="542" totalsRowDxfId="541"/>
    <tableColumn id="16" xr3:uid="{00000000-0010-0000-0600-000010000000}" name="15" totalsRowFunction="count" dataDxfId="540" totalsRowDxfId="539"/>
    <tableColumn id="17" xr3:uid="{00000000-0010-0000-0600-000011000000}" name="16" totalsRowFunction="count" dataDxfId="538" totalsRowDxfId="537"/>
    <tableColumn id="18" xr3:uid="{00000000-0010-0000-0600-000012000000}" name="17" totalsRowFunction="count" dataDxfId="536" totalsRowDxfId="535"/>
    <tableColumn id="19" xr3:uid="{00000000-0010-0000-0600-000013000000}" name="18" totalsRowFunction="count" dataDxfId="534" totalsRowDxfId="533"/>
    <tableColumn id="20" xr3:uid="{00000000-0010-0000-0600-000014000000}" name="19" totalsRowFunction="count" dataDxfId="532" totalsRowDxfId="531"/>
    <tableColumn id="21" xr3:uid="{00000000-0010-0000-0600-000015000000}" name="20" totalsRowFunction="count" dataDxfId="530" totalsRowDxfId="529"/>
    <tableColumn id="22" xr3:uid="{00000000-0010-0000-0600-000016000000}" name="21" totalsRowFunction="count" dataDxfId="528" totalsRowDxfId="527"/>
    <tableColumn id="23" xr3:uid="{00000000-0010-0000-0600-000017000000}" name="22" totalsRowFunction="count" dataDxfId="526" totalsRowDxfId="525"/>
    <tableColumn id="24" xr3:uid="{00000000-0010-0000-0600-000018000000}" name="23" totalsRowFunction="count" dataDxfId="524" totalsRowDxfId="523"/>
    <tableColumn id="25" xr3:uid="{00000000-0010-0000-0600-000019000000}" name="24" totalsRowFunction="count" dataDxfId="522" totalsRowDxfId="521"/>
    <tableColumn id="26" xr3:uid="{00000000-0010-0000-0600-00001A000000}" name="25" totalsRowFunction="count" dataDxfId="520" totalsRowDxfId="519"/>
    <tableColumn id="27" xr3:uid="{00000000-0010-0000-0600-00001B000000}" name="26" totalsRowFunction="count" dataDxfId="518" totalsRowDxfId="517"/>
    <tableColumn id="28" xr3:uid="{00000000-0010-0000-0600-00001C000000}" name="27" totalsRowFunction="count" dataDxfId="516" totalsRowDxfId="515"/>
    <tableColumn id="29" xr3:uid="{00000000-0010-0000-0600-00001D000000}" name="28" totalsRowFunction="count" dataDxfId="514" totalsRowDxfId="513"/>
    <tableColumn id="30" xr3:uid="{00000000-0010-0000-0600-00001E000000}" name="29" totalsRowFunction="count" dataDxfId="512" totalsRowDxfId="511"/>
    <tableColumn id="31" xr3:uid="{00000000-0010-0000-0600-00001F000000}" name="30" totalsRowFunction="sum" dataDxfId="510" totalsRowDxfId="509"/>
    <tableColumn id="32" xr3:uid="{00000000-0010-0000-0600-000020000000}" name="31" totalsRowFunction="sum" dataDxfId="508" totalsRowDxfId="507" dataCellStyle="Total"/>
    <tableColumn id="33" xr3:uid="{00000000-0010-0000-0600-000021000000}" name="Total des jours" totalsRowFunction="sum" dataDxfId="506" totalsRowDxfId="505" dataCellStyle="Total">
      <calculatedColumnFormula>COUNTA(Juillet[[#This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07000000}" name="Août" displayName="Août" ref="B6:AH12" totalsRowCount="1" headerRowDxfId="504" dataDxfId="503" totalsRowDxfId="502">
  <tableColumns count="33">
    <tableColumn id="1" xr3:uid="{00000000-0010-0000-0700-000001000000}" name="Nom de l’employé" totalsRowFunction="custom" dataDxfId="501" totalsRowDxfId="500">
      <totalsRowFormula>NomMois&amp;" Total"</totalsRowFormula>
    </tableColumn>
    <tableColumn id="2" xr3:uid="{00000000-0010-0000-0700-000002000000}" name="1" totalsRowFunction="count" dataDxfId="499" totalsRowDxfId="498"/>
    <tableColumn id="3" xr3:uid="{00000000-0010-0000-0700-000003000000}" name="2" totalsRowFunction="count" dataDxfId="497" totalsRowDxfId="496"/>
    <tableColumn id="4" xr3:uid="{00000000-0010-0000-0700-000004000000}" name="3" totalsRowFunction="count" dataDxfId="495" totalsRowDxfId="494"/>
    <tableColumn id="5" xr3:uid="{00000000-0010-0000-0700-000005000000}" name="4" totalsRowFunction="count" dataDxfId="493" totalsRowDxfId="492"/>
    <tableColumn id="6" xr3:uid="{00000000-0010-0000-0700-000006000000}" name="5" totalsRowFunction="count" dataDxfId="491" totalsRowDxfId="490"/>
    <tableColumn id="7" xr3:uid="{00000000-0010-0000-0700-000007000000}" name="6" totalsRowFunction="count" dataDxfId="489" totalsRowDxfId="488"/>
    <tableColumn id="8" xr3:uid="{00000000-0010-0000-0700-000008000000}" name="7" totalsRowFunction="count" dataDxfId="487" totalsRowDxfId="486"/>
    <tableColumn id="9" xr3:uid="{00000000-0010-0000-0700-000009000000}" name="8" totalsRowFunction="count" dataDxfId="485" totalsRowDxfId="484"/>
    <tableColumn id="10" xr3:uid="{00000000-0010-0000-0700-00000A000000}" name="9" totalsRowFunction="count" dataDxfId="483" totalsRowDxfId="482"/>
    <tableColumn id="11" xr3:uid="{00000000-0010-0000-0700-00000B000000}" name="10" totalsRowFunction="count" dataDxfId="481" totalsRowDxfId="480"/>
    <tableColumn id="12" xr3:uid="{00000000-0010-0000-0700-00000C000000}" name="11" totalsRowFunction="count" dataDxfId="479" totalsRowDxfId="478"/>
    <tableColumn id="13" xr3:uid="{00000000-0010-0000-0700-00000D000000}" name="12" totalsRowFunction="count" dataDxfId="477" totalsRowDxfId="476"/>
    <tableColumn id="14" xr3:uid="{00000000-0010-0000-0700-00000E000000}" name="13" totalsRowFunction="count" dataDxfId="475" totalsRowDxfId="474"/>
    <tableColumn id="15" xr3:uid="{00000000-0010-0000-0700-00000F000000}" name="14" totalsRowFunction="count" dataDxfId="473" totalsRowDxfId="472"/>
    <tableColumn id="16" xr3:uid="{00000000-0010-0000-0700-000010000000}" name="15" totalsRowFunction="count" dataDxfId="471" totalsRowDxfId="470"/>
    <tableColumn id="17" xr3:uid="{00000000-0010-0000-0700-000011000000}" name="16" totalsRowFunction="count" dataDxfId="469" totalsRowDxfId="468"/>
    <tableColumn id="18" xr3:uid="{00000000-0010-0000-0700-000012000000}" name="17" totalsRowFunction="count" dataDxfId="467" totalsRowDxfId="466"/>
    <tableColumn id="19" xr3:uid="{00000000-0010-0000-0700-000013000000}" name="18" totalsRowFunction="count" dataDxfId="465" totalsRowDxfId="464"/>
    <tableColumn id="20" xr3:uid="{00000000-0010-0000-0700-000014000000}" name="19" totalsRowFunction="count" dataDxfId="463" totalsRowDxfId="462"/>
    <tableColumn id="21" xr3:uid="{00000000-0010-0000-0700-000015000000}" name="20" totalsRowFunction="count" dataDxfId="461" totalsRowDxfId="460"/>
    <tableColumn id="22" xr3:uid="{00000000-0010-0000-0700-000016000000}" name="21" totalsRowFunction="count" dataDxfId="459" totalsRowDxfId="458"/>
    <tableColumn id="23" xr3:uid="{00000000-0010-0000-0700-000017000000}" name="22" totalsRowFunction="count" dataDxfId="457" totalsRowDxfId="456"/>
    <tableColumn id="24" xr3:uid="{00000000-0010-0000-0700-000018000000}" name="23" totalsRowFunction="count" dataDxfId="455" totalsRowDxfId="454"/>
    <tableColumn id="25" xr3:uid="{00000000-0010-0000-0700-000019000000}" name="24" totalsRowFunction="count" dataDxfId="453" totalsRowDxfId="452"/>
    <tableColumn id="26" xr3:uid="{00000000-0010-0000-0700-00001A000000}" name="25" totalsRowFunction="count" dataDxfId="451" totalsRowDxfId="450"/>
    <tableColumn id="27" xr3:uid="{00000000-0010-0000-0700-00001B000000}" name="26" totalsRowFunction="count" dataDxfId="449" totalsRowDxfId="448"/>
    <tableColumn id="28" xr3:uid="{00000000-0010-0000-0700-00001C000000}" name="27" totalsRowFunction="count" dataDxfId="447" totalsRowDxfId="446"/>
    <tableColumn id="29" xr3:uid="{00000000-0010-0000-0700-00001D000000}" name="28" totalsRowFunction="count" dataDxfId="445" totalsRowDxfId="444"/>
    <tableColumn id="30" xr3:uid="{00000000-0010-0000-0700-00001E000000}" name="29" totalsRowFunction="count" dataDxfId="443" totalsRowDxfId="442"/>
    <tableColumn id="31" xr3:uid="{00000000-0010-0000-0700-00001F000000}" name="30" totalsRowFunction="sum" dataDxfId="441" totalsRowDxfId="440"/>
    <tableColumn id="32" xr3:uid="{00000000-0010-0000-0700-000020000000}" name="31" totalsRowFunction="sum" dataDxfId="439" totalsRowDxfId="438" dataCellStyle="Total"/>
    <tableColumn id="33" xr3:uid="{00000000-0010-0000-0700-000021000000}" name="Total des jours" totalsRowFunction="sum" dataDxfId="437" totalsRowDxfId="436" dataCellStyle="Total">
      <calculatedColumnFormula>COUNTA(Août[[#This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00000000-000C-0000-FFFF-FFFF08000000}" name="Septembre" displayName="Septembre" ref="B6:AH12" totalsRowCount="1" headerRowDxfId="435" dataDxfId="434" totalsRowDxfId="433">
  <tableColumns count="33">
    <tableColumn id="1" xr3:uid="{00000000-0010-0000-0800-000001000000}" name="Nom de l’employé" totalsRowFunction="custom" dataDxfId="432" totalsRowDxfId="431">
      <totalsRowFormula>NomMois&amp;" Total"</totalsRowFormula>
    </tableColumn>
    <tableColumn id="2" xr3:uid="{00000000-0010-0000-0800-000002000000}" name="1" totalsRowFunction="count" dataDxfId="430" totalsRowDxfId="429"/>
    <tableColumn id="3" xr3:uid="{00000000-0010-0000-0800-000003000000}" name="2" totalsRowFunction="count" dataDxfId="428" totalsRowDxfId="427"/>
    <tableColumn id="4" xr3:uid="{00000000-0010-0000-0800-000004000000}" name="3" totalsRowFunction="count" dataDxfId="426" totalsRowDxfId="425"/>
    <tableColumn id="5" xr3:uid="{00000000-0010-0000-0800-000005000000}" name="4" totalsRowFunction="count" dataDxfId="424" totalsRowDxfId="423"/>
    <tableColumn id="6" xr3:uid="{00000000-0010-0000-0800-000006000000}" name="5" totalsRowFunction="count" dataDxfId="422" totalsRowDxfId="421"/>
    <tableColumn id="7" xr3:uid="{00000000-0010-0000-0800-000007000000}" name="6" totalsRowFunction="count" dataDxfId="420" totalsRowDxfId="419"/>
    <tableColumn id="8" xr3:uid="{00000000-0010-0000-0800-000008000000}" name="7" totalsRowFunction="count" dataDxfId="418" totalsRowDxfId="417"/>
    <tableColumn id="9" xr3:uid="{00000000-0010-0000-0800-000009000000}" name="8" totalsRowFunction="count" dataDxfId="416" totalsRowDxfId="415"/>
    <tableColumn id="10" xr3:uid="{00000000-0010-0000-0800-00000A000000}" name="9" totalsRowFunction="count" dataDxfId="414" totalsRowDxfId="413"/>
    <tableColumn id="11" xr3:uid="{00000000-0010-0000-0800-00000B000000}" name="10" totalsRowFunction="count" dataDxfId="412" totalsRowDxfId="411"/>
    <tableColumn id="12" xr3:uid="{00000000-0010-0000-0800-00000C000000}" name="11" totalsRowFunction="count" dataDxfId="410" totalsRowDxfId="409"/>
    <tableColumn id="13" xr3:uid="{00000000-0010-0000-0800-00000D000000}" name="12" totalsRowFunction="count" dataDxfId="408" totalsRowDxfId="407"/>
    <tableColumn id="14" xr3:uid="{00000000-0010-0000-0800-00000E000000}" name="13" totalsRowFunction="count" dataDxfId="406" totalsRowDxfId="405"/>
    <tableColumn id="15" xr3:uid="{00000000-0010-0000-0800-00000F000000}" name="14" totalsRowFunction="count" dataDxfId="404" totalsRowDxfId="403"/>
    <tableColumn id="16" xr3:uid="{00000000-0010-0000-0800-000010000000}" name="15" totalsRowFunction="count" dataDxfId="402" totalsRowDxfId="401"/>
    <tableColumn id="17" xr3:uid="{00000000-0010-0000-0800-000011000000}" name="16" totalsRowFunction="count" dataDxfId="400" totalsRowDxfId="399"/>
    <tableColumn id="18" xr3:uid="{00000000-0010-0000-0800-000012000000}" name="17" totalsRowFunction="count" dataDxfId="398" totalsRowDxfId="397"/>
    <tableColumn id="19" xr3:uid="{00000000-0010-0000-0800-000013000000}" name="18" totalsRowFunction="count" dataDxfId="396" totalsRowDxfId="395"/>
    <tableColumn id="20" xr3:uid="{00000000-0010-0000-0800-000014000000}" name="19" totalsRowFunction="count" dataDxfId="394" totalsRowDxfId="393"/>
    <tableColumn id="21" xr3:uid="{00000000-0010-0000-0800-000015000000}" name="20" totalsRowFunction="count" dataDxfId="392" totalsRowDxfId="391"/>
    <tableColumn id="22" xr3:uid="{00000000-0010-0000-0800-000016000000}" name="21" totalsRowFunction="count" dataDxfId="390" totalsRowDxfId="389"/>
    <tableColumn id="23" xr3:uid="{00000000-0010-0000-0800-000017000000}" name="22" totalsRowFunction="count" dataDxfId="388" totalsRowDxfId="387"/>
    <tableColumn id="24" xr3:uid="{00000000-0010-0000-0800-000018000000}" name="23" totalsRowFunction="count" dataDxfId="386" totalsRowDxfId="385"/>
    <tableColumn id="25" xr3:uid="{00000000-0010-0000-0800-000019000000}" name="24" totalsRowFunction="count" dataDxfId="384" totalsRowDxfId="383"/>
    <tableColumn id="26" xr3:uid="{00000000-0010-0000-0800-00001A000000}" name="25" totalsRowFunction="count" dataDxfId="382" totalsRowDxfId="381"/>
    <tableColumn id="27" xr3:uid="{00000000-0010-0000-0800-00001B000000}" name="26" totalsRowFunction="count" dataDxfId="380" totalsRowDxfId="379"/>
    <tableColumn id="28" xr3:uid="{00000000-0010-0000-0800-00001C000000}" name="27" totalsRowFunction="count" dataDxfId="378" totalsRowDxfId="377"/>
    <tableColumn id="29" xr3:uid="{00000000-0010-0000-0800-00001D000000}" name="28" totalsRowFunction="count" dataDxfId="376" totalsRowDxfId="375"/>
    <tableColumn id="30" xr3:uid="{00000000-0010-0000-0800-00001E000000}" name="29" totalsRowFunction="count" dataDxfId="374" totalsRowDxfId="373"/>
    <tableColumn id="31" xr3:uid="{00000000-0010-0000-0800-00001F000000}" name="30" totalsRowFunction="sum" dataDxfId="372" totalsRowDxfId="371"/>
    <tableColumn id="32" xr3:uid="{00000000-0010-0000-0800-000020000000}" name="31" totalsRowFunction="sum" dataDxfId="370" totalsRowDxfId="369" dataCellStyle="Total"/>
    <tableColumn id="33" xr3:uid="{00000000-0010-0000-0800-000021000000}" name="Total des jours" totalsRowFunction="sum" dataDxfId="368" totalsRowDxfId="367" dataCellStyle="Total">
      <calculatedColumnFormula>COUNTA(Septembre[[#This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09000000}" name="Octobre" displayName="Octobre" ref="B6:AH12" totalsRowCount="1" headerRowDxfId="366" dataDxfId="365" totalsRowDxfId="364">
  <tableColumns count="33">
    <tableColumn id="1" xr3:uid="{00000000-0010-0000-0900-000001000000}" name="Nom de l’employé" totalsRowFunction="custom" dataDxfId="363" totalsRowDxfId="362">
      <totalsRowFormula>NomMois&amp;" Total"</totalsRowFormula>
    </tableColumn>
    <tableColumn id="2" xr3:uid="{00000000-0010-0000-0900-000002000000}" name="1" totalsRowFunction="count" dataDxfId="361" totalsRowDxfId="360"/>
    <tableColumn id="3" xr3:uid="{00000000-0010-0000-0900-000003000000}" name="2" totalsRowFunction="count" dataDxfId="359" totalsRowDxfId="358"/>
    <tableColumn id="4" xr3:uid="{00000000-0010-0000-0900-000004000000}" name="3" totalsRowFunction="count" dataDxfId="357" totalsRowDxfId="356"/>
    <tableColumn id="5" xr3:uid="{00000000-0010-0000-0900-000005000000}" name="4" totalsRowFunction="count" dataDxfId="355" totalsRowDxfId="354"/>
    <tableColumn id="6" xr3:uid="{00000000-0010-0000-0900-000006000000}" name="5" totalsRowFunction="count" dataDxfId="353" totalsRowDxfId="352"/>
    <tableColumn id="7" xr3:uid="{00000000-0010-0000-0900-000007000000}" name="6" totalsRowFunction="count" dataDxfId="351" totalsRowDxfId="350"/>
    <tableColumn id="8" xr3:uid="{00000000-0010-0000-0900-000008000000}" name="7" totalsRowFunction="count" dataDxfId="349" totalsRowDxfId="348"/>
    <tableColumn id="9" xr3:uid="{00000000-0010-0000-0900-000009000000}" name="8" totalsRowFunction="count" dataDxfId="347" totalsRowDxfId="346"/>
    <tableColumn id="10" xr3:uid="{00000000-0010-0000-0900-00000A000000}" name="9" totalsRowFunction="count" dataDxfId="345" totalsRowDxfId="344"/>
    <tableColumn id="11" xr3:uid="{00000000-0010-0000-0900-00000B000000}" name="10" totalsRowFunction="count" dataDxfId="343" totalsRowDxfId="342"/>
    <tableColumn id="12" xr3:uid="{00000000-0010-0000-0900-00000C000000}" name="11" totalsRowFunction="count" dataDxfId="341" totalsRowDxfId="340"/>
    <tableColumn id="13" xr3:uid="{00000000-0010-0000-0900-00000D000000}" name="12" totalsRowFunction="count" dataDxfId="339" totalsRowDxfId="338"/>
    <tableColumn id="14" xr3:uid="{00000000-0010-0000-0900-00000E000000}" name="13" totalsRowFunction="count" dataDxfId="337" totalsRowDxfId="336"/>
    <tableColumn id="15" xr3:uid="{00000000-0010-0000-0900-00000F000000}" name="14" totalsRowFunction="count" dataDxfId="335" totalsRowDxfId="334"/>
    <tableColumn id="16" xr3:uid="{00000000-0010-0000-0900-000010000000}" name="15" totalsRowFunction="count" dataDxfId="333" totalsRowDxfId="332"/>
    <tableColumn id="17" xr3:uid="{00000000-0010-0000-0900-000011000000}" name="16" totalsRowFunction="count" dataDxfId="331" totalsRowDxfId="330"/>
    <tableColumn id="18" xr3:uid="{00000000-0010-0000-0900-000012000000}" name="17" totalsRowFunction="count" dataDxfId="329" totalsRowDxfId="328"/>
    <tableColumn id="19" xr3:uid="{00000000-0010-0000-0900-000013000000}" name="18" totalsRowFunction="count" dataDxfId="327" totalsRowDxfId="326"/>
    <tableColumn id="20" xr3:uid="{00000000-0010-0000-0900-000014000000}" name="19" totalsRowFunction="count" dataDxfId="325" totalsRowDxfId="324"/>
    <tableColumn id="21" xr3:uid="{00000000-0010-0000-0900-000015000000}" name="20" totalsRowFunction="count" dataDxfId="323" totalsRowDxfId="322"/>
    <tableColumn id="22" xr3:uid="{00000000-0010-0000-0900-000016000000}" name="21" totalsRowFunction="count" dataDxfId="321" totalsRowDxfId="320"/>
    <tableColumn id="23" xr3:uid="{00000000-0010-0000-0900-000017000000}" name="22" totalsRowFunction="count" dataDxfId="319" totalsRowDxfId="318"/>
    <tableColumn id="24" xr3:uid="{00000000-0010-0000-0900-000018000000}" name="23" totalsRowFunction="count" dataDxfId="317" totalsRowDxfId="316"/>
    <tableColumn id="25" xr3:uid="{00000000-0010-0000-0900-000019000000}" name="24" totalsRowFunction="count" dataDxfId="315" totalsRowDxfId="314"/>
    <tableColumn id="26" xr3:uid="{00000000-0010-0000-0900-00001A000000}" name="25" totalsRowFunction="count" dataDxfId="313" totalsRowDxfId="312"/>
    <tableColumn id="27" xr3:uid="{00000000-0010-0000-0900-00001B000000}" name="26" totalsRowFunction="count" dataDxfId="311" totalsRowDxfId="310"/>
    <tableColumn id="28" xr3:uid="{00000000-0010-0000-0900-00001C000000}" name="27" totalsRowFunction="count" dataDxfId="309" totalsRowDxfId="308"/>
    <tableColumn id="29" xr3:uid="{00000000-0010-0000-0900-00001D000000}" name="28" totalsRowFunction="count" dataDxfId="307" totalsRowDxfId="306"/>
    <tableColumn id="30" xr3:uid="{00000000-0010-0000-0900-00001E000000}" name="29" totalsRowFunction="count" dataDxfId="305" totalsRowDxfId="304"/>
    <tableColumn id="31" xr3:uid="{00000000-0010-0000-0900-00001F000000}" name="30" totalsRowFunction="sum" dataDxfId="303" totalsRowDxfId="302"/>
    <tableColumn id="32" xr3:uid="{00000000-0010-0000-0900-000020000000}" name="31" totalsRowFunction="sum" dataDxfId="301" totalsRowDxfId="300" dataCellStyle="Total"/>
    <tableColumn id="33" xr3:uid="{00000000-0010-0000-0900-000021000000}" name="Total des jours" totalsRowFunction="sum" dataDxfId="299" totalsRowDxfId="298" dataCellStyle="Total">
      <calculatedColumnFormula>COUNTA(Octobre[[#This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0A000000}" name="Novembre" displayName="Novembre" ref="B6:AH12" totalsRowCount="1" headerRowDxfId="297" dataDxfId="296" totalsRowDxfId="295">
  <tableColumns count="33">
    <tableColumn id="1" xr3:uid="{00000000-0010-0000-0A00-000001000000}" name="Nom de l’employé" totalsRowFunction="custom" dataDxfId="294" totalsRowDxfId="293">
      <totalsRowFormula>NomMois&amp;" Total"</totalsRowFormula>
    </tableColumn>
    <tableColumn id="2" xr3:uid="{00000000-0010-0000-0A00-000002000000}" name="1" totalsRowFunction="count" dataDxfId="292" totalsRowDxfId="291"/>
    <tableColumn id="3" xr3:uid="{00000000-0010-0000-0A00-000003000000}" name="2" totalsRowFunction="count" dataDxfId="290" totalsRowDxfId="289"/>
    <tableColumn id="4" xr3:uid="{00000000-0010-0000-0A00-000004000000}" name="3" totalsRowFunction="count" dataDxfId="288" totalsRowDxfId="287"/>
    <tableColumn id="5" xr3:uid="{00000000-0010-0000-0A00-000005000000}" name="4" totalsRowFunction="count" dataDxfId="286" totalsRowDxfId="285"/>
    <tableColumn id="6" xr3:uid="{00000000-0010-0000-0A00-000006000000}" name="5" totalsRowFunction="count" dataDxfId="284" totalsRowDxfId="283"/>
    <tableColumn id="7" xr3:uid="{00000000-0010-0000-0A00-000007000000}" name="6" totalsRowFunction="count" dataDxfId="282" totalsRowDxfId="281"/>
    <tableColumn id="8" xr3:uid="{00000000-0010-0000-0A00-000008000000}" name="7" totalsRowFunction="count" dataDxfId="280" totalsRowDxfId="279"/>
    <tableColumn id="9" xr3:uid="{00000000-0010-0000-0A00-000009000000}" name="8" totalsRowFunction="count" dataDxfId="278" totalsRowDxfId="277"/>
    <tableColumn id="10" xr3:uid="{00000000-0010-0000-0A00-00000A000000}" name="9" totalsRowFunction="count" dataDxfId="276" totalsRowDxfId="275"/>
    <tableColumn id="11" xr3:uid="{00000000-0010-0000-0A00-00000B000000}" name="10" totalsRowFunction="count" dataDxfId="274" totalsRowDxfId="273"/>
    <tableColumn id="12" xr3:uid="{00000000-0010-0000-0A00-00000C000000}" name="11" totalsRowFunction="count" dataDxfId="272" totalsRowDxfId="271"/>
    <tableColumn id="13" xr3:uid="{00000000-0010-0000-0A00-00000D000000}" name="12" totalsRowFunction="count" dataDxfId="270" totalsRowDxfId="269"/>
    <tableColumn id="14" xr3:uid="{00000000-0010-0000-0A00-00000E000000}" name="13" totalsRowFunction="count" dataDxfId="268" totalsRowDxfId="267"/>
    <tableColumn id="15" xr3:uid="{00000000-0010-0000-0A00-00000F000000}" name="14" totalsRowFunction="count" dataDxfId="266" totalsRowDxfId="265"/>
    <tableColumn id="16" xr3:uid="{00000000-0010-0000-0A00-000010000000}" name="15" totalsRowFunction="count" dataDxfId="264" totalsRowDxfId="263"/>
    <tableColumn id="17" xr3:uid="{00000000-0010-0000-0A00-000011000000}" name="16" totalsRowFunction="count" dataDxfId="262" totalsRowDxfId="261"/>
    <tableColumn id="18" xr3:uid="{00000000-0010-0000-0A00-000012000000}" name="17" totalsRowFunction="count" dataDxfId="260" totalsRowDxfId="259"/>
    <tableColumn id="19" xr3:uid="{00000000-0010-0000-0A00-000013000000}" name="18" totalsRowFunction="count" dataDxfId="258" totalsRowDxfId="257"/>
    <tableColumn id="20" xr3:uid="{00000000-0010-0000-0A00-000014000000}" name="19" totalsRowFunction="count" dataDxfId="256" totalsRowDxfId="255"/>
    <tableColumn id="21" xr3:uid="{00000000-0010-0000-0A00-000015000000}" name="20" totalsRowFunction="count" dataDxfId="254" totalsRowDxfId="253"/>
    <tableColumn id="22" xr3:uid="{00000000-0010-0000-0A00-000016000000}" name="21" totalsRowFunction="count" dataDxfId="252" totalsRowDxfId="251"/>
    <tableColumn id="23" xr3:uid="{00000000-0010-0000-0A00-000017000000}" name="22" totalsRowFunction="count" dataDxfId="250" totalsRowDxfId="249"/>
    <tableColumn id="24" xr3:uid="{00000000-0010-0000-0A00-000018000000}" name="23" totalsRowFunction="count" dataDxfId="248" totalsRowDxfId="247"/>
    <tableColumn id="25" xr3:uid="{00000000-0010-0000-0A00-000019000000}" name="24" totalsRowFunction="count" dataDxfId="246" totalsRowDxfId="245"/>
    <tableColumn id="26" xr3:uid="{00000000-0010-0000-0A00-00001A000000}" name="25" totalsRowFunction="count" dataDxfId="244" totalsRowDxfId="243"/>
    <tableColumn id="27" xr3:uid="{00000000-0010-0000-0A00-00001B000000}" name="26" totalsRowFunction="count" dataDxfId="242" totalsRowDxfId="241"/>
    <tableColumn id="28" xr3:uid="{00000000-0010-0000-0A00-00001C000000}" name="27" totalsRowFunction="count" dataDxfId="240" totalsRowDxfId="239"/>
    <tableColumn id="29" xr3:uid="{00000000-0010-0000-0A00-00001D000000}" name="28" totalsRowFunction="count" dataDxfId="238" totalsRowDxfId="237"/>
    <tableColumn id="30" xr3:uid="{00000000-0010-0000-0A00-00001E000000}" name="29" totalsRowFunction="count" dataDxfId="236" totalsRowDxfId="235"/>
    <tableColumn id="31" xr3:uid="{00000000-0010-0000-0A00-00001F000000}" name="30" totalsRowFunction="sum" dataDxfId="234" totalsRowDxfId="233"/>
    <tableColumn id="32" xr3:uid="{00000000-0010-0000-0A00-000020000000}" name="31" totalsRowFunction="sum" dataDxfId="232" totalsRowDxfId="231" dataCellStyle="Total"/>
    <tableColumn id="33" xr3:uid="{00000000-0010-0000-0A00-000021000000}" name="Total des jours" totalsRowFunction="sum" dataDxfId="230" totalsRowDxfId="229" dataCellStyle="Total">
      <calculatedColumnFormula>COUNTA(Novembre[[#This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B000000}" name="Décembre" displayName="Décembre" ref="B6:AH12" totalsRowCount="1" headerRowDxfId="228" dataDxfId="227" totalsRowDxfId="226">
  <tableColumns count="33">
    <tableColumn id="1" xr3:uid="{00000000-0010-0000-0B00-000001000000}" name="Nom de l’employé" totalsRowFunction="custom" dataDxfId="225" totalsRowDxfId="224">
      <totalsRowFormula>NomMois&amp;" Total"</totalsRowFormula>
    </tableColumn>
    <tableColumn id="2" xr3:uid="{00000000-0010-0000-0B00-000002000000}" name="1" totalsRowFunction="count" dataDxfId="223" totalsRowDxfId="222"/>
    <tableColumn id="3" xr3:uid="{00000000-0010-0000-0B00-000003000000}" name="2" totalsRowFunction="count" dataDxfId="221" totalsRowDxfId="220"/>
    <tableColumn id="4" xr3:uid="{00000000-0010-0000-0B00-000004000000}" name="3" totalsRowFunction="count" dataDxfId="219" totalsRowDxfId="218"/>
    <tableColumn id="5" xr3:uid="{00000000-0010-0000-0B00-000005000000}" name="4" totalsRowFunction="count" dataDxfId="217" totalsRowDxfId="216"/>
    <tableColumn id="6" xr3:uid="{00000000-0010-0000-0B00-000006000000}" name="5" totalsRowFunction="count" dataDxfId="215" totalsRowDxfId="214"/>
    <tableColumn id="7" xr3:uid="{00000000-0010-0000-0B00-000007000000}" name="6" totalsRowFunction="count" dataDxfId="213" totalsRowDxfId="212"/>
    <tableColumn id="8" xr3:uid="{00000000-0010-0000-0B00-000008000000}" name="7" totalsRowFunction="count" dataDxfId="211" totalsRowDxfId="210"/>
    <tableColumn id="9" xr3:uid="{00000000-0010-0000-0B00-000009000000}" name="8" totalsRowFunction="count" dataDxfId="209" totalsRowDxfId="208"/>
    <tableColumn id="10" xr3:uid="{00000000-0010-0000-0B00-00000A000000}" name="9" totalsRowFunction="count" dataDxfId="207" totalsRowDxfId="206"/>
    <tableColumn id="11" xr3:uid="{00000000-0010-0000-0B00-00000B000000}" name="10" totalsRowFunction="count" dataDxfId="205" totalsRowDxfId="204"/>
    <tableColumn id="12" xr3:uid="{00000000-0010-0000-0B00-00000C000000}" name="11" totalsRowFunction="count" dataDxfId="203" totalsRowDxfId="202"/>
    <tableColumn id="13" xr3:uid="{00000000-0010-0000-0B00-00000D000000}" name="12" totalsRowFunction="count" dataDxfId="201" totalsRowDxfId="200"/>
    <tableColumn id="14" xr3:uid="{00000000-0010-0000-0B00-00000E000000}" name="13" totalsRowFunction="count" dataDxfId="199" totalsRowDxfId="198"/>
    <tableColumn id="15" xr3:uid="{00000000-0010-0000-0B00-00000F000000}" name="14" totalsRowFunction="count" dataDxfId="197" totalsRowDxfId="196"/>
    <tableColumn id="16" xr3:uid="{00000000-0010-0000-0B00-000010000000}" name="15" totalsRowFunction="count" dataDxfId="195" totalsRowDxfId="194"/>
    <tableColumn id="17" xr3:uid="{00000000-0010-0000-0B00-000011000000}" name="16" totalsRowFunction="count" dataDxfId="193" totalsRowDxfId="192"/>
    <tableColumn id="18" xr3:uid="{00000000-0010-0000-0B00-000012000000}" name="17" totalsRowFunction="count" dataDxfId="191" totalsRowDxfId="190"/>
    <tableColumn id="19" xr3:uid="{00000000-0010-0000-0B00-000013000000}" name="18" totalsRowFunction="count" dataDxfId="189" totalsRowDxfId="188"/>
    <tableColumn id="20" xr3:uid="{00000000-0010-0000-0B00-000014000000}" name="19" totalsRowFunction="count" dataDxfId="187" totalsRowDxfId="186"/>
    <tableColumn id="21" xr3:uid="{00000000-0010-0000-0B00-000015000000}" name="20" totalsRowFunction="count" dataDxfId="185" totalsRowDxfId="184"/>
    <tableColumn id="22" xr3:uid="{00000000-0010-0000-0B00-000016000000}" name="21" totalsRowFunction="count" dataDxfId="183" totalsRowDxfId="182"/>
    <tableColumn id="23" xr3:uid="{00000000-0010-0000-0B00-000017000000}" name="22" totalsRowFunction="count" dataDxfId="181" totalsRowDxfId="180"/>
    <tableColumn id="24" xr3:uid="{00000000-0010-0000-0B00-000018000000}" name="23" totalsRowFunction="count" dataDxfId="179" totalsRowDxfId="178"/>
    <tableColumn id="25" xr3:uid="{00000000-0010-0000-0B00-000019000000}" name="24" totalsRowFunction="count" dataDxfId="177" totalsRowDxfId="176"/>
    <tableColumn id="26" xr3:uid="{00000000-0010-0000-0B00-00001A000000}" name="25" totalsRowFunction="count" dataDxfId="175" totalsRowDxfId="174"/>
    <tableColumn id="27" xr3:uid="{00000000-0010-0000-0B00-00001B000000}" name="26" totalsRowFunction="count" dataDxfId="173" totalsRowDxfId="172"/>
    <tableColumn id="28" xr3:uid="{00000000-0010-0000-0B00-00001C000000}" name="27" totalsRowFunction="count" dataDxfId="171" totalsRowDxfId="170"/>
    <tableColumn id="29" xr3:uid="{00000000-0010-0000-0B00-00001D000000}" name="28" totalsRowFunction="count" dataDxfId="169" totalsRowDxfId="168"/>
    <tableColumn id="30" xr3:uid="{00000000-0010-0000-0B00-00001E000000}" name="29" totalsRowFunction="count" dataDxfId="167" totalsRowDxfId="166"/>
    <tableColumn id="31" xr3:uid="{00000000-0010-0000-0B00-00001F000000}" name="30" totalsRowFunction="sum" dataDxfId="165" totalsRowDxfId="164"/>
    <tableColumn id="32" xr3:uid="{00000000-0010-0000-0B00-000020000000}" name="31" totalsRowFunction="sum" dataDxfId="163" totalsRowDxfId="162" dataCellStyle="Total"/>
    <tableColumn id="33" xr3:uid="{00000000-0010-0000-0B00-000021000000}" name="Total des jours" totalsRowFunction="sum" dataDxfId="161" totalsRowDxfId="160" dataCellStyle="Total">
      <calculatedColumnFormula>COUNTA(Décembre[[#This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Fournit une liste de noms et des dates de calendrier pour enregistrer les absences et motifs d’absence des employés (C= Congé, M=Maladie, P=Personnel, et deux espaces réservés pour des entrées personnalisées)"/>
    </ext>
  </extLst>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C000000}" name="NomEmployé" displayName="NomEmployé" ref="B3:B8" totalsRowShown="0" dataCellStyle="Employé">
  <autoFilter ref="B3:B8" xr:uid="{00000000-0009-0000-0100-00000D000000}"/>
  <tableColumns count="1">
    <tableColumn id="1" xr3:uid="{00000000-0010-0000-0C00-000001000000}" name="Noms des employés"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heme/theme1.xml><?xml version="1.0" encoding="utf-8"?>
<a:theme xmlns:a="http://schemas.openxmlformats.org/drawingml/2006/main" name="Office Theme">
  <a:themeElements>
    <a:clrScheme name="Personnalisé 5">
      <a:dk1>
        <a:sysClr val="windowText" lastClr="000000"/>
      </a:dk1>
      <a:lt1>
        <a:sysClr val="window" lastClr="FFFFFF"/>
      </a:lt1>
      <a:dk2>
        <a:srgbClr val="4B180E"/>
      </a:dk2>
      <a:lt2>
        <a:srgbClr val="F1F2E8"/>
      </a:lt2>
      <a:accent1>
        <a:srgbClr val="FF0000"/>
      </a:accent1>
      <a:accent2>
        <a:srgbClr val="005EA4"/>
      </a:accent2>
      <a:accent3>
        <a:srgbClr val="00B050"/>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theme="2" tint="-0.89999084444715716"/>
    <pageSetUpPr fitToPage="1"/>
  </sheetPr>
  <dimension ref="A1:AH12"/>
  <sheetViews>
    <sheetView showGridLines="0" zoomScaleNormal="100" workbookViewId="0">
      <selection activeCell="C4" sqref="C4:AG4"/>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13.5703125" style="9" customWidth="1"/>
    <col min="35" max="35" width="2.7109375" customWidth="1"/>
  </cols>
  <sheetData>
    <row r="1" spans="1:34" ht="50.1" customHeight="1" x14ac:dyDescent="0.25">
      <c r="A1" s="16"/>
      <c r="B1" s="12" t="s">
        <v>59</v>
      </c>
    </row>
    <row r="2" spans="1:34" ht="15" customHeight="1" x14ac:dyDescent="0.25">
      <c r="B2" s="25" t="s">
        <v>0</v>
      </c>
      <c r="C2" s="4" t="s">
        <v>8</v>
      </c>
      <c r="D2" s="22" t="s">
        <v>10</v>
      </c>
      <c r="E2" s="22"/>
      <c r="F2" s="5" t="s">
        <v>60</v>
      </c>
      <c r="G2" s="23" t="s">
        <v>61</v>
      </c>
      <c r="H2" s="22"/>
      <c r="I2" s="22"/>
      <c r="J2" s="6" t="s">
        <v>14</v>
      </c>
      <c r="K2" s="22" t="s">
        <v>20</v>
      </c>
      <c r="L2" s="22"/>
      <c r="Y2"/>
      <c r="Z2"/>
      <c r="AA2"/>
      <c r="AB2"/>
      <c r="AC2"/>
      <c r="AD2"/>
      <c r="AE2"/>
      <c r="AF2"/>
      <c r="AG2"/>
      <c r="AH2"/>
    </row>
    <row r="3" spans="1:34" ht="15" customHeight="1" x14ac:dyDescent="0.25">
      <c r="AH3" s="17" t="s">
        <v>43</v>
      </c>
    </row>
    <row r="4" spans="1:34" ht="30" customHeight="1" x14ac:dyDescent="0.25">
      <c r="B4" s="10" t="s">
        <v>1</v>
      </c>
      <c r="C4" s="21" t="s">
        <v>63</v>
      </c>
      <c r="D4" s="21"/>
      <c r="E4" s="21"/>
      <c r="F4" s="21"/>
      <c r="G4" s="21"/>
      <c r="H4" s="21"/>
      <c r="I4" s="21"/>
      <c r="J4" s="21"/>
      <c r="K4" s="21"/>
      <c r="L4" s="21"/>
      <c r="M4" s="21"/>
      <c r="N4" s="21"/>
      <c r="O4" s="21"/>
      <c r="P4" s="21"/>
      <c r="Q4" s="21"/>
      <c r="R4" s="21"/>
      <c r="S4" s="21"/>
      <c r="T4" s="21"/>
      <c r="U4" s="21"/>
      <c r="V4" s="21"/>
      <c r="W4" s="21"/>
      <c r="X4" s="21"/>
      <c r="Y4" s="21"/>
      <c r="Z4" s="21"/>
      <c r="AA4" s="21"/>
      <c r="AB4" s="21"/>
      <c r="AC4" s="21"/>
      <c r="AD4" s="21"/>
      <c r="AE4" s="21"/>
      <c r="AF4" s="21"/>
      <c r="AG4" s="21"/>
      <c r="AH4" s="10">
        <v>2018</v>
      </c>
    </row>
    <row r="5" spans="1:34" ht="15" customHeight="1" x14ac:dyDescent="0.25">
      <c r="B5" s="10"/>
      <c r="C5" s="2" t="str">
        <f>TEXT(WEEKDAY(DATE(AnnéeCalendrier,1,1),1),"jjj")</f>
        <v>lun</v>
      </c>
      <c r="D5" s="2" t="str">
        <f>TEXT(WEEKDAY(DATE(AnnéeCalendrier,1,2),1),"jjj")</f>
        <v>mar</v>
      </c>
      <c r="E5" s="2" t="str">
        <f>TEXT(WEEKDAY(DATE(AnnéeCalendrier,1,3),1),"jjj")</f>
        <v>mer</v>
      </c>
      <c r="F5" s="2" t="str">
        <f>TEXT(WEEKDAY(DATE(AnnéeCalendrier,1,4),1),"jjj")</f>
        <v>jeu</v>
      </c>
      <c r="G5" s="2" t="str">
        <f>TEXT(WEEKDAY(DATE(AnnéeCalendrier,1,5),1),"jjj")</f>
        <v>ven</v>
      </c>
      <c r="H5" s="2" t="str">
        <f>TEXT(WEEKDAY(DATE(AnnéeCalendrier,1,6),1),"jjj")</f>
        <v>sam</v>
      </c>
      <c r="I5" s="2" t="str">
        <f>TEXT(WEEKDAY(DATE(AnnéeCalendrier,1,7),1),"jjj")</f>
        <v>dim</v>
      </c>
      <c r="J5" s="2" t="str">
        <f>TEXT(WEEKDAY(DATE(AnnéeCalendrier,1,8),1),"jjj")</f>
        <v>lun</v>
      </c>
      <c r="K5" s="2" t="str">
        <f>TEXT(WEEKDAY(DATE(AnnéeCalendrier,1,9),1),"jjj")</f>
        <v>mar</v>
      </c>
      <c r="L5" s="2" t="str">
        <f>TEXT(WEEKDAY(DATE(AnnéeCalendrier,1,10),1),"jjj")</f>
        <v>mer</v>
      </c>
      <c r="M5" s="2" t="str">
        <f>TEXT(WEEKDAY(DATE(AnnéeCalendrier,1,11),1),"jjj")</f>
        <v>jeu</v>
      </c>
      <c r="N5" s="2" t="str">
        <f>TEXT(WEEKDAY(DATE(AnnéeCalendrier,1,12),1),"jjj")</f>
        <v>ven</v>
      </c>
      <c r="O5" s="2" t="str">
        <f>TEXT(WEEKDAY(DATE(AnnéeCalendrier,1,13),1),"jjj")</f>
        <v>sam</v>
      </c>
      <c r="P5" s="2" t="str">
        <f>TEXT(WEEKDAY(DATE(AnnéeCalendrier,1,14),1),"jjj")</f>
        <v>dim</v>
      </c>
      <c r="Q5" s="2" t="str">
        <f>TEXT(WEEKDAY(DATE(AnnéeCalendrier,1,15),1),"jjj")</f>
        <v>lun</v>
      </c>
      <c r="R5" s="2" t="str">
        <f>TEXT(WEEKDAY(DATE(AnnéeCalendrier,1,16),1),"jjj")</f>
        <v>mar</v>
      </c>
      <c r="S5" s="2" t="str">
        <f>TEXT(WEEKDAY(DATE(AnnéeCalendrier,1,17),1),"jjj")</f>
        <v>mer</v>
      </c>
      <c r="T5" s="2" t="str">
        <f>TEXT(WEEKDAY(DATE(AnnéeCalendrier,1,18),1),"jjj")</f>
        <v>jeu</v>
      </c>
      <c r="U5" s="2" t="str">
        <f>TEXT(WEEKDAY(DATE(AnnéeCalendrier,1,19),1),"jjj")</f>
        <v>ven</v>
      </c>
      <c r="V5" s="2" t="str">
        <f>TEXT(WEEKDAY(DATE(AnnéeCalendrier,1,20),1),"jjj")</f>
        <v>sam</v>
      </c>
      <c r="W5" s="2" t="str">
        <f>TEXT(WEEKDAY(DATE(AnnéeCalendrier,1,21),1),"jjj")</f>
        <v>dim</v>
      </c>
      <c r="X5" s="2" t="str">
        <f>TEXT(WEEKDAY(DATE(AnnéeCalendrier,1,22),1),"jjj")</f>
        <v>lun</v>
      </c>
      <c r="Y5" s="2" t="str">
        <f>TEXT(WEEKDAY(DATE(AnnéeCalendrier,1,23),1),"jjj")</f>
        <v>mar</v>
      </c>
      <c r="Z5" s="2" t="str">
        <f>TEXT(WEEKDAY(DATE(AnnéeCalendrier,1,24),1),"jjj")</f>
        <v>mer</v>
      </c>
      <c r="AA5" s="2" t="str">
        <f>TEXT(WEEKDAY(DATE(AnnéeCalendrier,1,25),1),"jjj")</f>
        <v>jeu</v>
      </c>
      <c r="AB5" s="2" t="str">
        <f>TEXT(WEEKDAY(DATE(AnnéeCalendrier,1,26),1),"jjj")</f>
        <v>ven</v>
      </c>
      <c r="AC5" s="2" t="str">
        <f>TEXT(WEEKDAY(DATE(AnnéeCalendrier,1,27),1),"jjj")</f>
        <v>sam</v>
      </c>
      <c r="AD5" s="2" t="str">
        <f>TEXT(WEEKDAY(DATE(AnnéeCalendrier,1,28),1),"jjj")</f>
        <v>dim</v>
      </c>
      <c r="AE5" s="2" t="str">
        <f>TEXT(WEEKDAY(DATE(AnnéeCalendrier,1,29),1),"jjj")</f>
        <v>lun</v>
      </c>
      <c r="AF5" s="2" t="str">
        <f>TEXT(WEEKDAY(DATE(AnnéeCalendrier,1,30),1),"jjj")</f>
        <v>mar</v>
      </c>
      <c r="AG5" s="2" t="str">
        <f>TEXT(WEEKDAY(DATE(AnnéeCalendrier,1,31),1),"jjj")</f>
        <v>mer</v>
      </c>
      <c r="AH5" s="10"/>
    </row>
    <row r="6" spans="1:34" ht="15" customHeight="1" x14ac:dyDescent="0.25">
      <c r="B6" s="13" t="s">
        <v>2</v>
      </c>
      <c r="C6" s="3" t="s">
        <v>9</v>
      </c>
      <c r="D6" s="3" t="s">
        <v>11</v>
      </c>
      <c r="E6" s="3" t="s">
        <v>12</v>
      </c>
      <c r="F6" s="3" t="s">
        <v>13</v>
      </c>
      <c r="G6" s="3" t="s">
        <v>15</v>
      </c>
      <c r="H6" s="3" t="s">
        <v>16</v>
      </c>
      <c r="I6" s="3" t="s">
        <v>17</v>
      </c>
      <c r="J6" s="3" t="s">
        <v>18</v>
      </c>
      <c r="K6" s="3" t="s">
        <v>19</v>
      </c>
      <c r="L6" s="3" t="s">
        <v>21</v>
      </c>
      <c r="M6" s="3" t="s">
        <v>22</v>
      </c>
      <c r="N6" s="3" t="s">
        <v>23</v>
      </c>
      <c r="O6" s="3" t="s">
        <v>24</v>
      </c>
      <c r="P6" s="3" t="s">
        <v>25</v>
      </c>
      <c r="Q6" s="3" t="s">
        <v>26</v>
      </c>
      <c r="R6" s="3" t="s">
        <v>27</v>
      </c>
      <c r="S6" s="3" t="s">
        <v>28</v>
      </c>
      <c r="T6" s="3" t="s">
        <v>29</v>
      </c>
      <c r="U6" s="3" t="s">
        <v>30</v>
      </c>
      <c r="V6" s="3" t="s">
        <v>31</v>
      </c>
      <c r="W6" s="3" t="s">
        <v>32</v>
      </c>
      <c r="X6" s="3" t="s">
        <v>33</v>
      </c>
      <c r="Y6" s="3" t="s">
        <v>34</v>
      </c>
      <c r="Z6" s="3" t="s">
        <v>35</v>
      </c>
      <c r="AA6" s="3" t="s">
        <v>36</v>
      </c>
      <c r="AB6" s="3" t="s">
        <v>37</v>
      </c>
      <c r="AC6" s="3" t="s">
        <v>38</v>
      </c>
      <c r="AD6" s="3" t="s">
        <v>39</v>
      </c>
      <c r="AE6" s="3" t="s">
        <v>40</v>
      </c>
      <c r="AF6" s="3" t="s">
        <v>41</v>
      </c>
      <c r="AG6" s="3" t="s">
        <v>42</v>
      </c>
      <c r="AH6" s="14" t="s">
        <v>44</v>
      </c>
    </row>
    <row r="7" spans="1:34" ht="30" customHeight="1" x14ac:dyDescent="0.25">
      <c r="B7" s="20"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8">
        <f>COUNTA(Janvier!$C7:$AG7)</f>
        <v>0</v>
      </c>
    </row>
    <row r="8" spans="1:34" ht="30" customHeight="1" x14ac:dyDescent="0.25">
      <c r="B8" s="7"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8">
        <f>COUNTA(Janvier!$C8:$AG8)</f>
        <v>0</v>
      </c>
    </row>
    <row r="9" spans="1:34" ht="30" customHeight="1" x14ac:dyDescent="0.25">
      <c r="B9" s="7"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8">
        <f>COUNTA(Janvier!$C9:$AG9)</f>
        <v>0</v>
      </c>
    </row>
    <row r="10" spans="1:34" ht="30" customHeight="1" x14ac:dyDescent="0.25">
      <c r="B10" s="7"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8">
        <f>COUNTA(Janvier!$C10:$AG10)</f>
        <v>0</v>
      </c>
    </row>
    <row r="11" spans="1:34" ht="30" customHeight="1" x14ac:dyDescent="0.25">
      <c r="B11" s="7"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8">
        <f>COUNTA(Janvier!$C11:$AG11)</f>
        <v>0</v>
      </c>
    </row>
    <row r="12" spans="1:34" ht="30" customHeight="1" x14ac:dyDescent="0.25">
      <c r="B12" s="18" t="str">
        <f>NomMois&amp;" Total"</f>
        <v>Janvier Total</v>
      </c>
      <c r="C12" s="11">
        <f>SUBTOTAL(103,Janvier!$C$7:$C$11)</f>
        <v>0</v>
      </c>
      <c r="D12" s="11">
        <f>SUBTOTAL(103,Janvier!$D$7:$D$11)</f>
        <v>0</v>
      </c>
      <c r="E12" s="11">
        <f>SUBTOTAL(103,Janvier!$E$7:$E$11)</f>
        <v>0</v>
      </c>
      <c r="F12" s="11">
        <f>SUBTOTAL(103,Janvier!$F$7:$F$11)</f>
        <v>0</v>
      </c>
      <c r="G12" s="11">
        <f>SUBTOTAL(103,Janvier!$G$7:$G$11)</f>
        <v>0</v>
      </c>
      <c r="H12" s="11">
        <f>SUBTOTAL(103,Janvier!$H$7:$H$11)</f>
        <v>0</v>
      </c>
      <c r="I12" s="11">
        <f>SUBTOTAL(103,Janvier!$I$7:$I$11)</f>
        <v>0</v>
      </c>
      <c r="J12" s="11">
        <f>SUBTOTAL(103,Janvier!$J$7:$J$11)</f>
        <v>0</v>
      </c>
      <c r="K12" s="11">
        <f>SUBTOTAL(103,Janvier!$K$7:$K$11)</f>
        <v>0</v>
      </c>
      <c r="L12" s="11">
        <f>SUBTOTAL(103,Janvier!$L$7:$L$11)</f>
        <v>0</v>
      </c>
      <c r="M12" s="11">
        <f>SUBTOTAL(103,Janvier!$M$7:$M$11)</f>
        <v>0</v>
      </c>
      <c r="N12" s="11">
        <f>SUBTOTAL(103,Janvier!$N$7:$N$11)</f>
        <v>0</v>
      </c>
      <c r="O12" s="11">
        <f>SUBTOTAL(103,Janvier!$O$7:$O$11)</f>
        <v>0</v>
      </c>
      <c r="P12" s="11">
        <f>SUBTOTAL(103,Janvier!$P$7:$P$11)</f>
        <v>0</v>
      </c>
      <c r="Q12" s="11">
        <f>SUBTOTAL(103,Janvier!$Q$7:$Q$11)</f>
        <v>0</v>
      </c>
      <c r="R12" s="11">
        <f>SUBTOTAL(103,Janvier!$R$7:$R$11)</f>
        <v>0</v>
      </c>
      <c r="S12" s="11">
        <f>SUBTOTAL(103,Janvier!$S$7:$S$11)</f>
        <v>0</v>
      </c>
      <c r="T12" s="11">
        <f>SUBTOTAL(103,Janvier!$T$7:$T$11)</f>
        <v>0</v>
      </c>
      <c r="U12" s="11">
        <f>SUBTOTAL(103,Janvier!$U$7:$U$11)</f>
        <v>0</v>
      </c>
      <c r="V12" s="11">
        <f>SUBTOTAL(103,Janvier!$V$7:$V$11)</f>
        <v>0</v>
      </c>
      <c r="W12" s="11">
        <f>SUBTOTAL(103,Janvier!$W$7:$W$11)</f>
        <v>0</v>
      </c>
      <c r="X12" s="11">
        <f>SUBTOTAL(103,Janvier!$X$7:$X$11)</f>
        <v>0</v>
      </c>
      <c r="Y12" s="11">
        <f>SUBTOTAL(103,Janvier!$Y$7:$Y$11)</f>
        <v>0</v>
      </c>
      <c r="Z12" s="11">
        <f>SUBTOTAL(103,Janvier!$Z$7:$Z$11)</f>
        <v>0</v>
      </c>
      <c r="AA12" s="11">
        <f>SUBTOTAL(103,Janvier!$AA$7:$AA$11)</f>
        <v>0</v>
      </c>
      <c r="AB12" s="11">
        <f>SUBTOTAL(103,Janvier!$AB$7:$AB$11)</f>
        <v>0</v>
      </c>
      <c r="AC12" s="11">
        <f>SUBTOTAL(103,Janvier!$AC$7:$AC$11)</f>
        <v>0</v>
      </c>
      <c r="AD12" s="11">
        <f>SUBTOTAL(103,Janvier!$AD$7:$AD$11)</f>
        <v>0</v>
      </c>
      <c r="AE12" s="11">
        <f>SUBTOTAL(103,Janvier!$AE$7:$AE$11)</f>
        <v>0</v>
      </c>
      <c r="AF12" s="11">
        <f>SUBTOTAL(103,Janvier!$AF$7:$AF$11)</f>
        <v>0</v>
      </c>
      <c r="AG12" s="11">
        <f>SUBTOTAL(103,Janvier!$AG$7:$AG$11)</f>
        <v>0</v>
      </c>
      <c r="AH12" s="11">
        <f>SUBTOTAL(109,Janvier[Total des jours])</f>
        <v>0</v>
      </c>
    </row>
  </sheetData>
  <mergeCells count="4">
    <mergeCell ref="C4:AG4"/>
    <mergeCell ref="D2:E2"/>
    <mergeCell ref="G2:I2"/>
    <mergeCell ref="K2:L2"/>
  </mergeCells>
  <conditionalFormatting sqref="C7:AG11">
    <cfRule type="expression" priority="1" stopIfTrue="1">
      <formula>C7=""</formula>
    </cfRule>
    <cfRule type="expression" dxfId="61" priority="6" stopIfTrue="1">
      <formula>C7=CléPersonnalisée2</formula>
    </cfRule>
    <cfRule type="expression" dxfId="60" priority="7" stopIfTrue="1">
      <formula>C7=CléPersonnalisée1</formula>
    </cfRule>
    <cfRule type="expression" dxfId="59" priority="8" stopIfTrue="1">
      <formula>C7=CléMaladie</formula>
    </cfRule>
    <cfRule type="expression" dxfId="58" priority="9" stopIfTrue="1">
      <formula>C7=CléPersonnel</formula>
    </cfRule>
    <cfRule type="expression" dxfId="57" priority="10" stopIfTrue="1">
      <formula>C7=CléCongé</formula>
    </cfRule>
  </conditionalFormatting>
  <conditionalFormatting sqref="AH7:AH11">
    <cfRule type="dataBar" priority="168">
      <dataBar>
        <cfvo type="num" val="0"/>
        <cfvo type="num" val="31"/>
        <color theme="2" tint="-0.249977111117893"/>
      </dataBar>
      <extLst>
        <ext xmlns:x14="http://schemas.microsoft.com/office/spreadsheetml/2009/9/main" uri="{B025F937-C7B1-47D3-B67F-A62EFF666E3E}">
          <x14:id>{ECCE2C3C-1B01-4700-B60E-DAAAB19A9C1A}</x14:id>
        </ext>
      </extLst>
    </cfRule>
  </conditionalFormatting>
  <dataValidations count="13">
    <dataValidation allowBlank="1" showInputMessage="1" showErrorMessage="1" prompt="Entrez l’année dans cette cellule" sqref="AH4" xr:uid="{00000000-0002-0000-0000-000000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Noms des employés, puis sélectionnez ces noms dans les listes déroulantes de cette colonne. Appuyez sur ALT+FLÈCHE BAS, puis sur ENTRÉE pour sélectionner un nom" sqref="B6" xr:uid="{00000000-0002-0000-0000-000001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000-000002000000}"/>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xr:uid="{00000000-0002-0000-0000-000003000000}"/>
    <dataValidation allowBlank="1" showInputMessage="1" showErrorMessage="1" prompt="Calcule automatiquement le nombre total de jours d’absence d’un employé durant ce mois" sqref="AH6" xr:uid="{00000000-0002-0000-0000-000004000000}"/>
    <dataValidation allowBlank="1" showInputMessage="1" showErrorMessage="1" prompt="Le titre de la feuille de calcul figure dans cette cellule. Si vous mettez à jour le titre, le changement est automatiquement répercuté sur chaque feuille de calcul" sqref="B1" xr:uid="{00000000-0002-0000-0000-000005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4" xr:uid="{00000000-0002-0000-0000-000006000000}"/>
    <dataValidation allowBlank="1" showInputMessage="1" showErrorMessage="1" prompt="Cette ligne définit les clés utilisées dans le tableau : Congé en C2, Personnel en F2 et Congé maladie en J2. Les cellules M2 et R2 sont personnalisables " sqref="B2" xr:uid="{00000000-0002-0000-0000-000007000000}"/>
    <dataValidation allowBlank="1" showInputMessage="1" showErrorMessage="1" prompt="La lettre « C » indique une absence pour cause de congé" sqref="C2" xr:uid="{00000000-0002-0000-0000-000008000000}"/>
    <dataValidation allowBlank="1" showInputMessage="1" showErrorMessage="1" prompt="La lettre « P » indique une absence pour motifs personnels" sqref="F2" xr:uid="{00000000-0002-0000-0000-000009000000}"/>
    <dataValidation allowBlank="1" showInputMessage="1" showErrorMessage="1" prompt="La lettre « M » indique une absence pour cause de maladie" sqref="J2" xr:uid="{00000000-0002-0000-0000-00000A000000}"/>
    <dataValidation allowBlank="1" showInputMessage="1" showErrorMessage="1" prompt="Utilisez le calendrier des absences des employés pour noter et suivre les absences des employés chaque mois. Il contient 13 feuilles de calcul, 12 par mois et 1 pour les noms des employés. Suivez les absences de janvier dans cette feuille de calcul" sqref="A1" xr:uid="{00000000-0002-0000-0000-00000D000000}"/>
    <dataValidation allowBlank="1" showInputMessage="1" showErrorMessage="1" prompt="Entrez l’année dans la cellule ci-dessous" sqref="AH3" xr:uid="{00000000-0002-0000-0000-00000E000000}"/>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x14:cfvo type="num">
                <xm:f>0</xm:f>
              </x14:cfvo>
              <x14:cfvo type="num">
                <xm:f>31</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F000000}">
          <x14:formula1>
            <xm:f>'Noms des employés'!$B$4:$B$8</xm:f>
          </x14:formula1>
          <xm:sqref>B7:B11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theme="2" tint="-0.749992370372631"/>
    <pageSetUpPr fitToPage="1"/>
  </sheetPr>
  <dimension ref="A1:AH12"/>
  <sheetViews>
    <sheetView showGridLines="0" zoomScaleNormal="100" workbookViewId="0">
      <selection activeCell="C4" sqref="C4:AG4"/>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13.5703125" style="9" customWidth="1"/>
    <col min="35" max="35" width="2.7109375" customWidth="1"/>
  </cols>
  <sheetData>
    <row r="1" spans="2:34" ht="50.1" customHeight="1" x14ac:dyDescent="0.25">
      <c r="B1" s="12" t="str">
        <f>Titre_Absence_Employé</f>
        <v>Calendrier Mensuel</v>
      </c>
    </row>
    <row r="2" spans="2:34" ht="15" customHeight="1" x14ac:dyDescent="0.25">
      <c r="B2" s="25" t="s">
        <v>0</v>
      </c>
      <c r="C2" s="4" t="s">
        <v>8</v>
      </c>
      <c r="D2" s="22" t="s">
        <v>10</v>
      </c>
      <c r="E2" s="22"/>
      <c r="F2" s="5" t="s">
        <v>60</v>
      </c>
      <c r="G2" s="23" t="s">
        <v>61</v>
      </c>
      <c r="H2" s="22"/>
      <c r="I2" s="22"/>
      <c r="J2" s="6" t="s">
        <v>14</v>
      </c>
      <c r="K2" s="22" t="s">
        <v>20</v>
      </c>
      <c r="L2" s="22"/>
      <c r="Y2"/>
      <c r="Z2"/>
      <c r="AA2"/>
      <c r="AB2"/>
      <c r="AC2"/>
      <c r="AD2"/>
      <c r="AE2"/>
      <c r="AF2"/>
      <c r="AG2"/>
      <c r="AH2"/>
    </row>
    <row r="3" spans="2:34" ht="15" customHeight="1" x14ac:dyDescent="0.25">
      <c r="B3"/>
    </row>
    <row r="4" spans="2:34" ht="30" customHeight="1" x14ac:dyDescent="0.25">
      <c r="B4" s="10" t="s">
        <v>45</v>
      </c>
      <c r="C4" s="21" t="s">
        <v>63</v>
      </c>
      <c r="D4" s="21"/>
      <c r="E4" s="21"/>
      <c r="F4" s="21"/>
      <c r="G4" s="21"/>
      <c r="H4" s="21"/>
      <c r="I4" s="21"/>
      <c r="J4" s="21"/>
      <c r="K4" s="21"/>
      <c r="L4" s="21"/>
      <c r="M4" s="21"/>
      <c r="N4" s="21"/>
      <c r="O4" s="21"/>
      <c r="P4" s="21"/>
      <c r="Q4" s="21"/>
      <c r="R4" s="21"/>
      <c r="S4" s="21"/>
      <c r="T4" s="21"/>
      <c r="U4" s="21"/>
      <c r="V4" s="21"/>
      <c r="W4" s="21"/>
      <c r="X4" s="21"/>
      <c r="Y4" s="21"/>
      <c r="Z4" s="21"/>
      <c r="AA4" s="21"/>
      <c r="AB4" s="21"/>
      <c r="AC4" s="21"/>
      <c r="AD4" s="21"/>
      <c r="AE4" s="21"/>
      <c r="AF4" s="21"/>
      <c r="AG4" s="21"/>
      <c r="AH4" s="10">
        <f>AnnéeCalendrier</f>
        <v>2018</v>
      </c>
    </row>
    <row r="5" spans="2:34" ht="15" customHeight="1" x14ac:dyDescent="0.25">
      <c r="B5" s="10"/>
      <c r="C5" s="2" t="str">
        <f>TEXT(WEEKDAY(DATE(AnnéeCalendrier,2,1),1),"jjj")</f>
        <v>jeu</v>
      </c>
      <c r="D5" s="2" t="str">
        <f>TEXT(WEEKDAY(DATE(AnnéeCalendrier,2,2),1),"jjj")</f>
        <v>ven</v>
      </c>
      <c r="E5" s="2" t="str">
        <f>TEXT(WEEKDAY(DATE(AnnéeCalendrier,2,3),1),"jjj")</f>
        <v>sam</v>
      </c>
      <c r="F5" s="2" t="str">
        <f>TEXT(WEEKDAY(DATE(AnnéeCalendrier,2,4),1),"jjj")</f>
        <v>dim</v>
      </c>
      <c r="G5" s="2" t="str">
        <f>TEXT(WEEKDAY(DATE(AnnéeCalendrier,2,5),1),"jjj")</f>
        <v>lun</v>
      </c>
      <c r="H5" s="2" t="str">
        <f>TEXT(WEEKDAY(DATE(AnnéeCalendrier,2,6),1),"jjj")</f>
        <v>mar</v>
      </c>
      <c r="I5" s="2" t="str">
        <f>TEXT(WEEKDAY(DATE(AnnéeCalendrier,2,7),1),"jjj")</f>
        <v>mer</v>
      </c>
      <c r="J5" s="2" t="str">
        <f>TEXT(WEEKDAY(DATE(AnnéeCalendrier,2,8),1),"jjj")</f>
        <v>jeu</v>
      </c>
      <c r="K5" s="2" t="str">
        <f>TEXT(WEEKDAY(DATE(AnnéeCalendrier,2,9),1),"jjj")</f>
        <v>ven</v>
      </c>
      <c r="L5" s="2" t="str">
        <f>TEXT(WEEKDAY(DATE(AnnéeCalendrier,2,10),1),"jjj")</f>
        <v>sam</v>
      </c>
      <c r="M5" s="2" t="str">
        <f>TEXT(WEEKDAY(DATE(AnnéeCalendrier,2,11),1),"jjj")</f>
        <v>dim</v>
      </c>
      <c r="N5" s="2" t="str">
        <f>TEXT(WEEKDAY(DATE(AnnéeCalendrier,2,12),1),"jjj")</f>
        <v>lun</v>
      </c>
      <c r="O5" s="2" t="str">
        <f>TEXT(WEEKDAY(DATE(AnnéeCalendrier,2,13),1),"jjj")</f>
        <v>mar</v>
      </c>
      <c r="P5" s="2" t="str">
        <f>TEXT(WEEKDAY(DATE(AnnéeCalendrier,2,14),1),"jjj")</f>
        <v>mer</v>
      </c>
      <c r="Q5" s="2" t="str">
        <f>TEXT(WEEKDAY(DATE(AnnéeCalendrier,2,15),1),"jjj")</f>
        <v>jeu</v>
      </c>
      <c r="R5" s="2" t="str">
        <f>TEXT(WEEKDAY(DATE(AnnéeCalendrier,2,16),1),"jjj")</f>
        <v>ven</v>
      </c>
      <c r="S5" s="2" t="str">
        <f>TEXT(WEEKDAY(DATE(AnnéeCalendrier,2,17),1),"jjj")</f>
        <v>sam</v>
      </c>
      <c r="T5" s="2" t="str">
        <f>TEXT(WEEKDAY(DATE(AnnéeCalendrier,2,18),1),"jjj")</f>
        <v>dim</v>
      </c>
      <c r="U5" s="2" t="str">
        <f>TEXT(WEEKDAY(DATE(AnnéeCalendrier,2,19),1),"jjj")</f>
        <v>lun</v>
      </c>
      <c r="V5" s="2" t="str">
        <f>TEXT(WEEKDAY(DATE(AnnéeCalendrier,2,20),1),"jjj")</f>
        <v>mar</v>
      </c>
      <c r="W5" s="2" t="str">
        <f>TEXT(WEEKDAY(DATE(AnnéeCalendrier,2,21),1),"jjj")</f>
        <v>mer</v>
      </c>
      <c r="X5" s="2" t="str">
        <f>TEXT(WEEKDAY(DATE(AnnéeCalendrier,2,22),1),"jjj")</f>
        <v>jeu</v>
      </c>
      <c r="Y5" s="2" t="str">
        <f>TEXT(WEEKDAY(DATE(AnnéeCalendrier,2,23),1),"jjj")</f>
        <v>ven</v>
      </c>
      <c r="Z5" s="2" t="str">
        <f>TEXT(WEEKDAY(DATE(AnnéeCalendrier,2,24),1),"jjj")</f>
        <v>sam</v>
      </c>
      <c r="AA5" s="2" t="str">
        <f>TEXT(WEEKDAY(DATE(AnnéeCalendrier,2,25),1),"jjj")</f>
        <v>dim</v>
      </c>
      <c r="AB5" s="2" t="str">
        <f>TEXT(WEEKDAY(DATE(AnnéeCalendrier,2,26),1),"jjj")</f>
        <v>lun</v>
      </c>
      <c r="AC5" s="2" t="str">
        <f>TEXT(WEEKDAY(DATE(AnnéeCalendrier,2,27),1),"jjj")</f>
        <v>mar</v>
      </c>
      <c r="AD5" s="2" t="str">
        <f>TEXT(WEEKDAY(DATE(AnnéeCalendrier,2,28),1),"jjj")</f>
        <v>mer</v>
      </c>
      <c r="AE5" s="2" t="str">
        <f>TEXT(WEEKDAY(DATE(AnnéeCalendrier,2,29),1),"jjj")</f>
        <v>jeu</v>
      </c>
      <c r="AF5" s="2"/>
      <c r="AG5" s="2"/>
      <c r="AH5" s="10"/>
    </row>
    <row r="6" spans="2:34" ht="15" customHeight="1" x14ac:dyDescent="0.25">
      <c r="B6" s="13" t="s">
        <v>2</v>
      </c>
      <c r="C6" s="3" t="s">
        <v>9</v>
      </c>
      <c r="D6" s="3" t="s">
        <v>11</v>
      </c>
      <c r="E6" s="3" t="s">
        <v>12</v>
      </c>
      <c r="F6" s="3" t="s">
        <v>13</v>
      </c>
      <c r="G6" s="3" t="s">
        <v>15</v>
      </c>
      <c r="H6" s="3" t="s">
        <v>16</v>
      </c>
      <c r="I6" s="3" t="s">
        <v>17</v>
      </c>
      <c r="J6" s="3" t="s">
        <v>18</v>
      </c>
      <c r="K6" s="3" t="s">
        <v>19</v>
      </c>
      <c r="L6" s="3" t="s">
        <v>21</v>
      </c>
      <c r="M6" s="3" t="s">
        <v>22</v>
      </c>
      <c r="N6" s="3" t="s">
        <v>23</v>
      </c>
      <c r="O6" s="3" t="s">
        <v>24</v>
      </c>
      <c r="P6" s="3" t="s">
        <v>25</v>
      </c>
      <c r="Q6" s="3" t="s">
        <v>26</v>
      </c>
      <c r="R6" s="3" t="s">
        <v>27</v>
      </c>
      <c r="S6" s="3" t="s">
        <v>28</v>
      </c>
      <c r="T6" s="3" t="s">
        <v>29</v>
      </c>
      <c r="U6" s="3" t="s">
        <v>30</v>
      </c>
      <c r="V6" s="3" t="s">
        <v>31</v>
      </c>
      <c r="W6" s="3" t="s">
        <v>32</v>
      </c>
      <c r="X6" s="3" t="s">
        <v>33</v>
      </c>
      <c r="Y6" s="3" t="s">
        <v>34</v>
      </c>
      <c r="Z6" s="3" t="s">
        <v>35</v>
      </c>
      <c r="AA6" s="3" t="s">
        <v>36</v>
      </c>
      <c r="AB6" s="3" t="s">
        <v>37</v>
      </c>
      <c r="AC6" s="3" t="s">
        <v>38</v>
      </c>
      <c r="AD6" s="3" t="s">
        <v>39</v>
      </c>
      <c r="AE6" s="3" t="s">
        <v>40</v>
      </c>
      <c r="AF6" s="3" t="s">
        <v>46</v>
      </c>
      <c r="AG6" s="3" t="s">
        <v>47</v>
      </c>
      <c r="AH6" s="14" t="s">
        <v>44</v>
      </c>
    </row>
    <row r="7" spans="2:34" ht="30" customHeight="1" x14ac:dyDescent="0.25">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8">
        <f>COUNTA(Février[[#This Row],[1]:[29]])</f>
        <v>0</v>
      </c>
    </row>
    <row r="8" spans="2:34" ht="30" customHeight="1" x14ac:dyDescent="0.25">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8">
        <f>COUNTA(Février[[#This Row],[1]:[29]])</f>
        <v>0</v>
      </c>
    </row>
    <row r="9" spans="2:34" ht="30" customHeight="1" x14ac:dyDescent="0.25">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8">
        <f>COUNTA(Février[[#This Row],[1]:[29]])</f>
        <v>0</v>
      </c>
    </row>
    <row r="10" spans="2:34" ht="30" customHeight="1" x14ac:dyDescent="0.25">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8">
        <f>COUNTA(Février[[#This Row],[1]:[29]])</f>
        <v>0</v>
      </c>
    </row>
    <row r="11" spans="2:34" ht="30" customHeight="1" x14ac:dyDescent="0.25">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8">
        <f>COUNTA(Février[[#This Row],[1]:[29]])</f>
        <v>0</v>
      </c>
    </row>
    <row r="12" spans="2:34" ht="30" customHeight="1" x14ac:dyDescent="0.25">
      <c r="B12" s="18" t="str">
        <f>NomMois&amp;" Total"</f>
        <v>Février Total</v>
      </c>
      <c r="C12" s="11">
        <f>SUBTOTAL(103,Février[1])</f>
        <v>0</v>
      </c>
      <c r="D12" s="11">
        <f>SUBTOTAL(103,Février[2])</f>
        <v>0</v>
      </c>
      <c r="E12" s="11">
        <f>SUBTOTAL(103,Février[3])</f>
        <v>0</v>
      </c>
      <c r="F12" s="11">
        <f>SUBTOTAL(103,Février[4])</f>
        <v>0</v>
      </c>
      <c r="G12" s="11">
        <f>SUBTOTAL(103,Février[5])</f>
        <v>0</v>
      </c>
      <c r="H12" s="11">
        <f>SUBTOTAL(103,Février[6])</f>
        <v>0</v>
      </c>
      <c r="I12" s="11">
        <f>SUBTOTAL(103,Février[7])</f>
        <v>0</v>
      </c>
      <c r="J12" s="11">
        <f>SUBTOTAL(103,Février[8])</f>
        <v>0</v>
      </c>
      <c r="K12" s="11">
        <f>SUBTOTAL(103,Février[9])</f>
        <v>0</v>
      </c>
      <c r="L12" s="11">
        <f>SUBTOTAL(103,Février[10])</f>
        <v>0</v>
      </c>
      <c r="M12" s="11">
        <f>SUBTOTAL(103,Février[11])</f>
        <v>0</v>
      </c>
      <c r="N12" s="11">
        <f>SUBTOTAL(103,Février[12])</f>
        <v>0</v>
      </c>
      <c r="O12" s="11">
        <f>SUBTOTAL(103,Février[13])</f>
        <v>0</v>
      </c>
      <c r="P12" s="11">
        <f>SUBTOTAL(103,Février[14])</f>
        <v>0</v>
      </c>
      <c r="Q12" s="11">
        <f>SUBTOTAL(103,Février[15])</f>
        <v>0</v>
      </c>
      <c r="R12" s="11">
        <f>SUBTOTAL(103,Février[16])</f>
        <v>0</v>
      </c>
      <c r="S12" s="11">
        <f>SUBTOTAL(103,Février[17])</f>
        <v>0</v>
      </c>
      <c r="T12" s="11">
        <f>SUBTOTAL(103,Février[18])</f>
        <v>0</v>
      </c>
      <c r="U12" s="11">
        <f>SUBTOTAL(103,Février[19])</f>
        <v>0</v>
      </c>
      <c r="V12" s="11">
        <f>SUBTOTAL(103,Février[20])</f>
        <v>0</v>
      </c>
      <c r="W12" s="11">
        <f>SUBTOTAL(103,Février[21])</f>
        <v>0</v>
      </c>
      <c r="X12" s="11">
        <f>SUBTOTAL(103,Février[22])</f>
        <v>0</v>
      </c>
      <c r="Y12" s="11">
        <f>SUBTOTAL(103,Février[23])</f>
        <v>0</v>
      </c>
      <c r="Z12" s="11">
        <f>SUBTOTAL(103,Février[24])</f>
        <v>0</v>
      </c>
      <c r="AA12" s="11">
        <f>SUBTOTAL(103,Février[25])</f>
        <v>0</v>
      </c>
      <c r="AB12" s="11">
        <f>SUBTOTAL(103,Février[26])</f>
        <v>0</v>
      </c>
      <c r="AC12" s="11">
        <f>SUBTOTAL(103,Février[27])</f>
        <v>0</v>
      </c>
      <c r="AD12" s="11">
        <f>SUBTOTAL(103,Février[28])</f>
        <v>0</v>
      </c>
      <c r="AE12" s="11">
        <f>SUBTOTAL(103,Février[29])</f>
        <v>0</v>
      </c>
      <c r="AF12" s="11"/>
      <c r="AG12" s="11"/>
      <c r="AH12" s="11">
        <f>SUBTOTAL(109,Février[Total des jours])</f>
        <v>0</v>
      </c>
    </row>
  </sheetData>
  <mergeCells count="4">
    <mergeCell ref="C4:AG4"/>
    <mergeCell ref="D2:E2"/>
    <mergeCell ref="G2:I2"/>
    <mergeCell ref="K2:L2"/>
  </mergeCells>
  <conditionalFormatting sqref="AE6">
    <cfRule type="expression" dxfId="56" priority="16">
      <formula>MONTH(DATE(AnnéeCalendrier,2,29))&lt;&gt;2</formula>
    </cfRule>
  </conditionalFormatting>
  <conditionalFormatting sqref="AE5">
    <cfRule type="expression" dxfId="55" priority="15">
      <formula>MONTH(DATE(AnnéeCalendrier,2,29))&lt;&gt;2</formula>
    </cfRule>
  </conditionalFormatting>
  <conditionalFormatting sqref="C7:AG11">
    <cfRule type="expression" priority="2" stopIfTrue="1">
      <formula>C7=""</formula>
    </cfRule>
    <cfRule type="expression" dxfId="54" priority="3" stopIfTrue="1">
      <formula>C7=CléPersonnalisée2</formula>
    </cfRule>
  </conditionalFormatting>
  <conditionalFormatting sqref="C7:AG11">
    <cfRule type="expression" dxfId="53" priority="5" stopIfTrue="1">
      <formula>C7=CléPersonnalisée1</formula>
    </cfRule>
    <cfRule type="expression" dxfId="52" priority="6" stopIfTrue="1">
      <formula>C7=CléMaladie</formula>
    </cfRule>
    <cfRule type="expression" dxfId="51" priority="7" stopIfTrue="1">
      <formula>C7=CléPersonnel</formula>
    </cfRule>
    <cfRule type="expression" dxfId="50" priority="8" stopIfTrue="1">
      <formula>C7=CléCongé</formula>
    </cfRule>
  </conditionalFormatting>
  <conditionalFormatting sqref="AH7:AH11">
    <cfRule type="dataBar" priority="153">
      <dataBar>
        <cfvo type="min"/>
        <cfvo type="formula" val="DATEDIF(DATE(CalendarYear,2,1),DATE(CalendarYear,3,1),&quot;d&quot;)"/>
        <color theme="2" tint="-0.249977111117893"/>
      </dataBar>
      <extLst>
        <ext xmlns:x14="http://schemas.microsoft.com/office/spreadsheetml/2009/9/main" uri="{B025F937-C7B1-47D3-B67F-A62EFF666E3E}">
          <x14:id>{94738C71-AB78-40C3-A818-D083AE35CC38}</x14:id>
        </ext>
      </extLst>
    </cfRule>
  </conditionalFormatting>
  <dataValidations xWindow="232" yWindow="365" count="12">
    <dataValidation allowBlank="1" showInputMessage="1" showErrorMessage="1" prompt="Année mise à jour automatiquement en fonction de l’année entrée dans la feuille de calcul Janvier" sqref="AH4" xr:uid="{00000000-0002-0000-0100-000000000000}"/>
    <dataValidation allowBlank="1" showInputMessage="1" showErrorMessage="1" prompt="Suivez les absences du mois de février dans cette feuille de calcul" sqref="A1" xr:uid="{00000000-0002-0000-0100-000001000000}"/>
    <dataValidation allowBlank="1" showInputMessage="1" showErrorMessage="1" prompt="Calcule automatiquement le nombre total de jours d’absence d’un employé durant ce mois dans cette colonne" sqref="AH6" xr:uid="{00000000-0002-0000-0100-000002000000}"/>
    <dataValidation allowBlank="1" showInputMessage="1" showErrorMessage="1" prompt="Le titre mis à jour automatiquement figure dans cette cellule. Pour modifier le titre, mettez à jour la cellule B1 de la feuille de calcul Janvier" sqref="B1" xr:uid="{00000000-0002-0000-0100-000003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100-000004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100-000005000000}"/>
    <dataValidation allowBlank="1" showInputMessage="1" showErrorMessage="1" prompt="Cette ligne définit les clés utilisées dans le tableau : Congé en C2, Personnel en F2 et Congé maladie en J2. Les cellules M2 et R2 sont personnalisables " sqref="B2" xr:uid="{00000000-0002-0000-0100-000006000000}"/>
    <dataValidation allowBlank="1" showInputMessage="1" showErrorMessage="1" prompt="La lettre « M » indique une absence pour cause de maladie" sqref="J2" xr:uid="{00000000-0002-0000-0100-000009000000}"/>
    <dataValidation allowBlank="1" showInputMessage="1" showErrorMessage="1" prompt="La lettre « P » indique une absence pour motifs personnels" sqref="F2" xr:uid="{00000000-0002-0000-0100-00000A000000}"/>
    <dataValidation allowBlank="1" showInputMessage="1" showErrorMessage="1" prompt="La lettre « C » indique une absence pour cause de congé" sqref="C2" xr:uid="{00000000-0002-0000-0100-00000B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1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100-00000D000000}"/>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94738C71-AB78-40C3-A818-D083AE35CC38}">
            <x14:dataBar minLength="0" maxLength="100">
              <x14:cfvo type="autoMin"/>
              <x14:cfvo type="formula">
                <xm:f>DATEDIF(DATE(CalendarYear,2,1),DATE(CalendarYear,3,1),"d")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xWindow="232" yWindow="365" count="1">
        <x14:dataValidation type="list" allowBlank="1" showInputMessage="1" showErrorMessage="1" xr:uid="{00000000-0002-0000-0100-00000E000000}">
          <x14:formula1>
            <xm:f>'Noms des employés'!$B$4:$B$8</xm:f>
          </x14:formula1>
          <xm:sqref>B7:B11</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tabColor theme="2" tint="-0.499984740745262"/>
    <pageSetUpPr fitToPage="1"/>
  </sheetPr>
  <dimension ref="A1:AH12"/>
  <sheetViews>
    <sheetView showGridLines="0" zoomScaleNormal="100" workbookViewId="0">
      <selection activeCell="C4" sqref="C4:AG4"/>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13.5703125" style="9" customWidth="1"/>
    <col min="35" max="35" width="2.7109375" customWidth="1"/>
  </cols>
  <sheetData>
    <row r="1" spans="2:34" ht="50.1" customHeight="1" x14ac:dyDescent="0.25">
      <c r="B1" s="12" t="str">
        <f>Titre_Absence_Employé</f>
        <v>Calendrier Mensuel</v>
      </c>
    </row>
    <row r="2" spans="2:34" ht="15" customHeight="1" x14ac:dyDescent="0.25">
      <c r="B2" s="25" t="s">
        <v>0</v>
      </c>
      <c r="C2" s="4" t="s">
        <v>8</v>
      </c>
      <c r="D2" s="22" t="s">
        <v>10</v>
      </c>
      <c r="E2" s="22"/>
      <c r="F2" s="5" t="s">
        <v>60</v>
      </c>
      <c r="G2" s="23" t="s">
        <v>61</v>
      </c>
      <c r="H2" s="22"/>
      <c r="I2" s="22"/>
      <c r="J2" s="6" t="s">
        <v>14</v>
      </c>
      <c r="K2" s="22" t="s">
        <v>20</v>
      </c>
      <c r="L2" s="22"/>
      <c r="Y2"/>
      <c r="Z2"/>
      <c r="AA2"/>
      <c r="AB2"/>
      <c r="AC2"/>
      <c r="AD2"/>
      <c r="AE2"/>
      <c r="AF2"/>
      <c r="AG2"/>
      <c r="AH2"/>
    </row>
    <row r="3" spans="2:34" ht="15" customHeight="1" x14ac:dyDescent="0.25">
      <c r="B3" s="12"/>
    </row>
    <row r="4" spans="2:34" ht="30" customHeight="1" x14ac:dyDescent="0.25">
      <c r="B4" s="10" t="s">
        <v>48</v>
      </c>
      <c r="C4" s="21" t="s">
        <v>63</v>
      </c>
      <c r="D4" s="21"/>
      <c r="E4" s="21"/>
      <c r="F4" s="21"/>
      <c r="G4" s="21"/>
      <c r="H4" s="21"/>
      <c r="I4" s="21"/>
      <c r="J4" s="21"/>
      <c r="K4" s="21"/>
      <c r="L4" s="21"/>
      <c r="M4" s="21"/>
      <c r="N4" s="21"/>
      <c r="O4" s="21"/>
      <c r="P4" s="21"/>
      <c r="Q4" s="21"/>
      <c r="R4" s="21"/>
      <c r="S4" s="21"/>
      <c r="T4" s="21"/>
      <c r="U4" s="21"/>
      <c r="V4" s="21"/>
      <c r="W4" s="21"/>
      <c r="X4" s="21"/>
      <c r="Y4" s="21"/>
      <c r="Z4" s="21"/>
      <c r="AA4" s="21"/>
      <c r="AB4" s="21"/>
      <c r="AC4" s="21"/>
      <c r="AD4" s="21"/>
      <c r="AE4" s="21"/>
      <c r="AF4" s="21"/>
      <c r="AG4" s="21"/>
      <c r="AH4" s="10">
        <f>AnnéeCalendrier</f>
        <v>2018</v>
      </c>
    </row>
    <row r="5" spans="2:34" ht="15" customHeight="1" x14ac:dyDescent="0.25">
      <c r="B5" s="10"/>
      <c r="C5" s="2" t="str">
        <f>TEXT(WEEKDAY(DATE(AnnéeCalendrier,3,1),1),"jjj")</f>
        <v>jeu</v>
      </c>
      <c r="D5" s="2" t="str">
        <f>TEXT(WEEKDAY(DATE(AnnéeCalendrier,3,2),1),"jjj")</f>
        <v>ven</v>
      </c>
      <c r="E5" s="2" t="str">
        <f>TEXT(WEEKDAY(DATE(AnnéeCalendrier,3,3),1),"jjj")</f>
        <v>sam</v>
      </c>
      <c r="F5" s="2" t="str">
        <f>TEXT(WEEKDAY(DATE(AnnéeCalendrier,3,4),1),"jjj")</f>
        <v>dim</v>
      </c>
      <c r="G5" s="2" t="str">
        <f>TEXT(WEEKDAY(DATE(AnnéeCalendrier,3,5),1),"jjj")</f>
        <v>lun</v>
      </c>
      <c r="H5" s="2" t="str">
        <f>TEXT(WEEKDAY(DATE(AnnéeCalendrier,3,6),1),"jjj")</f>
        <v>mar</v>
      </c>
      <c r="I5" s="2" t="str">
        <f>TEXT(WEEKDAY(DATE(AnnéeCalendrier,3,7),1),"jjj")</f>
        <v>mer</v>
      </c>
      <c r="J5" s="2" t="str">
        <f>TEXT(WEEKDAY(DATE(AnnéeCalendrier,3,8),1),"jjj")</f>
        <v>jeu</v>
      </c>
      <c r="K5" s="2" t="str">
        <f>TEXT(WEEKDAY(DATE(AnnéeCalendrier,3,9),1),"jjj")</f>
        <v>ven</v>
      </c>
      <c r="L5" s="2" t="str">
        <f>TEXT(WEEKDAY(DATE(AnnéeCalendrier,3,10),1),"jjj")</f>
        <v>sam</v>
      </c>
      <c r="M5" s="2" t="str">
        <f>TEXT(WEEKDAY(DATE(AnnéeCalendrier,3,11),1),"jjj")</f>
        <v>dim</v>
      </c>
      <c r="N5" s="2" t="str">
        <f>TEXT(WEEKDAY(DATE(AnnéeCalendrier,3,12),1),"jjj")</f>
        <v>lun</v>
      </c>
      <c r="O5" s="2" t="str">
        <f>TEXT(WEEKDAY(DATE(AnnéeCalendrier,3,13),1),"jjj")</f>
        <v>mar</v>
      </c>
      <c r="P5" s="2" t="str">
        <f>TEXT(WEEKDAY(DATE(AnnéeCalendrier,3,14),1),"jjj")</f>
        <v>mer</v>
      </c>
      <c r="Q5" s="2" t="str">
        <f>TEXT(WEEKDAY(DATE(AnnéeCalendrier,3,15),1),"jjj")</f>
        <v>jeu</v>
      </c>
      <c r="R5" s="2" t="str">
        <f>TEXT(WEEKDAY(DATE(AnnéeCalendrier,3,16),1),"jjj")</f>
        <v>ven</v>
      </c>
      <c r="S5" s="2" t="str">
        <f>TEXT(WEEKDAY(DATE(AnnéeCalendrier,3,17),1),"jjj")</f>
        <v>sam</v>
      </c>
      <c r="T5" s="2" t="str">
        <f>TEXT(WEEKDAY(DATE(AnnéeCalendrier,3,18),1),"jjj")</f>
        <v>dim</v>
      </c>
      <c r="U5" s="2" t="str">
        <f>TEXT(WEEKDAY(DATE(AnnéeCalendrier,3,19),1),"jjj")</f>
        <v>lun</v>
      </c>
      <c r="V5" s="2" t="str">
        <f>TEXT(WEEKDAY(DATE(AnnéeCalendrier,3,20),1),"jjj")</f>
        <v>mar</v>
      </c>
      <c r="W5" s="2" t="str">
        <f>TEXT(WEEKDAY(DATE(AnnéeCalendrier,3,21),1),"jjj")</f>
        <v>mer</v>
      </c>
      <c r="X5" s="2" t="str">
        <f>TEXT(WEEKDAY(DATE(AnnéeCalendrier,3,22),1),"jjj")</f>
        <v>jeu</v>
      </c>
      <c r="Y5" s="2" t="str">
        <f>TEXT(WEEKDAY(DATE(AnnéeCalendrier,3,23),1),"jjj")</f>
        <v>ven</v>
      </c>
      <c r="Z5" s="2" t="str">
        <f>TEXT(WEEKDAY(DATE(AnnéeCalendrier,3,24),1),"jjj")</f>
        <v>sam</v>
      </c>
      <c r="AA5" s="2" t="str">
        <f>TEXT(WEEKDAY(DATE(AnnéeCalendrier,3,25),1),"jjj")</f>
        <v>dim</v>
      </c>
      <c r="AB5" s="2" t="str">
        <f>TEXT(WEEKDAY(DATE(AnnéeCalendrier,3,26),1),"jjj")</f>
        <v>lun</v>
      </c>
      <c r="AC5" s="2" t="str">
        <f>TEXT(WEEKDAY(DATE(AnnéeCalendrier,3,27),1),"jjj")</f>
        <v>mar</v>
      </c>
      <c r="AD5" s="2" t="str">
        <f>TEXT(WEEKDAY(DATE(AnnéeCalendrier,3,28),1),"jjj")</f>
        <v>mer</v>
      </c>
      <c r="AE5" s="2" t="str">
        <f>TEXT(WEEKDAY(DATE(AnnéeCalendrier,3,29),1),"jjj")</f>
        <v>jeu</v>
      </c>
      <c r="AF5" s="2" t="str">
        <f>TEXT(WEEKDAY(DATE(AnnéeCalendrier,3,30),1),"jjj")</f>
        <v>ven</v>
      </c>
      <c r="AG5" s="2" t="str">
        <f>TEXT(WEEKDAY(DATE(AnnéeCalendrier,3,31),1),"jjj")</f>
        <v>sam</v>
      </c>
      <c r="AH5" s="10"/>
    </row>
    <row r="6" spans="2:34" ht="15" customHeight="1" x14ac:dyDescent="0.25">
      <c r="B6" s="13" t="s">
        <v>2</v>
      </c>
      <c r="C6" s="3" t="s">
        <v>9</v>
      </c>
      <c r="D6" s="3" t="s">
        <v>11</v>
      </c>
      <c r="E6" s="3" t="s">
        <v>12</v>
      </c>
      <c r="F6" s="3" t="s">
        <v>13</v>
      </c>
      <c r="G6" s="3" t="s">
        <v>15</v>
      </c>
      <c r="H6" s="3" t="s">
        <v>16</v>
      </c>
      <c r="I6" s="3" t="s">
        <v>17</v>
      </c>
      <c r="J6" s="3" t="s">
        <v>18</v>
      </c>
      <c r="K6" s="3" t="s">
        <v>19</v>
      </c>
      <c r="L6" s="3" t="s">
        <v>21</v>
      </c>
      <c r="M6" s="3" t="s">
        <v>22</v>
      </c>
      <c r="N6" s="3" t="s">
        <v>23</v>
      </c>
      <c r="O6" s="3" t="s">
        <v>24</v>
      </c>
      <c r="P6" s="3" t="s">
        <v>25</v>
      </c>
      <c r="Q6" s="3" t="s">
        <v>26</v>
      </c>
      <c r="R6" s="3" t="s">
        <v>27</v>
      </c>
      <c r="S6" s="3" t="s">
        <v>28</v>
      </c>
      <c r="T6" s="3" t="s">
        <v>29</v>
      </c>
      <c r="U6" s="3" t="s">
        <v>30</v>
      </c>
      <c r="V6" s="3" t="s">
        <v>31</v>
      </c>
      <c r="W6" s="3" t="s">
        <v>32</v>
      </c>
      <c r="X6" s="3" t="s">
        <v>33</v>
      </c>
      <c r="Y6" s="3" t="s">
        <v>34</v>
      </c>
      <c r="Z6" s="3" t="s">
        <v>35</v>
      </c>
      <c r="AA6" s="3" t="s">
        <v>36</v>
      </c>
      <c r="AB6" s="3" t="s">
        <v>37</v>
      </c>
      <c r="AC6" s="3" t="s">
        <v>38</v>
      </c>
      <c r="AD6" s="3" t="s">
        <v>39</v>
      </c>
      <c r="AE6" s="3" t="s">
        <v>40</v>
      </c>
      <c r="AF6" s="3" t="s">
        <v>41</v>
      </c>
      <c r="AG6" s="3" t="s">
        <v>42</v>
      </c>
      <c r="AH6" s="14" t="s">
        <v>44</v>
      </c>
    </row>
    <row r="7" spans="2:34" ht="30" customHeight="1" x14ac:dyDescent="0.25">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8">
        <f>COUNTA(Mars[[#This Row],[1]:[31]])</f>
        <v>0</v>
      </c>
    </row>
    <row r="8" spans="2:34" ht="30" customHeight="1" x14ac:dyDescent="0.25">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8">
        <f>COUNTA(Mars[[#This Row],[1]:[31]])</f>
        <v>0</v>
      </c>
    </row>
    <row r="9" spans="2:34" ht="30" customHeight="1" x14ac:dyDescent="0.25">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8">
        <f>COUNTA(Mars[[#This Row],[1]:[31]])</f>
        <v>0</v>
      </c>
    </row>
    <row r="10" spans="2:34" ht="30" customHeight="1" x14ac:dyDescent="0.25">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8">
        <f>COUNTA(Mars[[#This Row],[1]:[31]])</f>
        <v>0</v>
      </c>
    </row>
    <row r="11" spans="2:34" ht="30" customHeight="1" x14ac:dyDescent="0.25">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8">
        <f>COUNTA(Mars[[#This Row],[1]:[31]])</f>
        <v>0</v>
      </c>
    </row>
    <row r="12" spans="2:34" ht="30" customHeight="1" x14ac:dyDescent="0.25">
      <c r="B12" s="18" t="str">
        <f>NomMois&amp;" Total"</f>
        <v>Mars Total</v>
      </c>
      <c r="C12" s="11">
        <f>SUBTOTAL(103,Mars[1])</f>
        <v>0</v>
      </c>
      <c r="D12" s="11">
        <f>SUBTOTAL(103,Mars[2])</f>
        <v>0</v>
      </c>
      <c r="E12" s="11">
        <f>SUBTOTAL(103,Mars[3])</f>
        <v>0</v>
      </c>
      <c r="F12" s="11">
        <f>SUBTOTAL(103,Mars[4])</f>
        <v>0</v>
      </c>
      <c r="G12" s="11">
        <f>SUBTOTAL(103,Mars[5])</f>
        <v>0</v>
      </c>
      <c r="H12" s="11">
        <f>SUBTOTAL(103,Mars[6])</f>
        <v>0</v>
      </c>
      <c r="I12" s="11">
        <f>SUBTOTAL(103,Mars[7])</f>
        <v>0</v>
      </c>
      <c r="J12" s="11">
        <f>SUBTOTAL(103,Mars[8])</f>
        <v>0</v>
      </c>
      <c r="K12" s="11">
        <f>SUBTOTAL(103,Mars[9])</f>
        <v>0</v>
      </c>
      <c r="L12" s="11">
        <f>SUBTOTAL(103,Mars[10])</f>
        <v>0</v>
      </c>
      <c r="M12" s="11">
        <f>SUBTOTAL(103,Mars[11])</f>
        <v>0</v>
      </c>
      <c r="N12" s="11">
        <f>SUBTOTAL(103,Mars[12])</f>
        <v>0</v>
      </c>
      <c r="O12" s="11">
        <f>SUBTOTAL(103,Mars[13])</f>
        <v>0</v>
      </c>
      <c r="P12" s="11">
        <f>SUBTOTAL(103,Mars[14])</f>
        <v>0</v>
      </c>
      <c r="Q12" s="11">
        <f>SUBTOTAL(103,Mars[15])</f>
        <v>0</v>
      </c>
      <c r="R12" s="11">
        <f>SUBTOTAL(103,Mars[16])</f>
        <v>0</v>
      </c>
      <c r="S12" s="11">
        <f>SUBTOTAL(103,Mars[17])</f>
        <v>0</v>
      </c>
      <c r="T12" s="11">
        <f>SUBTOTAL(103,Mars[18])</f>
        <v>0</v>
      </c>
      <c r="U12" s="11">
        <f>SUBTOTAL(103,Mars[19])</f>
        <v>0</v>
      </c>
      <c r="V12" s="11">
        <f>SUBTOTAL(103,Mars[20])</f>
        <v>0</v>
      </c>
      <c r="W12" s="11">
        <f>SUBTOTAL(103,Mars[21])</f>
        <v>0</v>
      </c>
      <c r="X12" s="11">
        <f>SUBTOTAL(103,Mars[22])</f>
        <v>0</v>
      </c>
      <c r="Y12" s="11">
        <f>SUBTOTAL(103,Mars[23])</f>
        <v>0</v>
      </c>
      <c r="Z12" s="11">
        <f>SUBTOTAL(103,Mars[24])</f>
        <v>0</v>
      </c>
      <c r="AA12" s="11">
        <f>SUBTOTAL(103,Mars[25])</f>
        <v>0</v>
      </c>
      <c r="AB12" s="11">
        <f>SUBTOTAL(103,Mars[26])</f>
        <v>0</v>
      </c>
      <c r="AC12" s="11">
        <f>SUBTOTAL(103,Mars[27])</f>
        <v>0</v>
      </c>
      <c r="AD12" s="11">
        <f>SUBTOTAL(103,Mars[28])</f>
        <v>0</v>
      </c>
      <c r="AE12" s="11">
        <f>SUBTOTAL(103,Mars[29])</f>
        <v>0</v>
      </c>
      <c r="AF12" s="11">
        <f>SUBTOTAL(109,Mars[30])</f>
        <v>0</v>
      </c>
      <c r="AG12" s="11">
        <f>SUBTOTAL(109,Mars[31])</f>
        <v>0</v>
      </c>
      <c r="AH12" s="11">
        <f>SUBTOTAL(109,Mars[Total des jours])</f>
        <v>0</v>
      </c>
    </row>
  </sheetData>
  <mergeCells count="4">
    <mergeCell ref="C4:AG4"/>
    <mergeCell ref="D2:E2"/>
    <mergeCell ref="G2:I2"/>
    <mergeCell ref="K2:L2"/>
  </mergeCells>
  <conditionalFormatting sqref="C7:AG11">
    <cfRule type="expression" priority="1" stopIfTrue="1">
      <formula>C7=""</formula>
    </cfRule>
  </conditionalFormatting>
  <conditionalFormatting sqref="C7:AG11">
    <cfRule type="expression" dxfId="49" priority="2" stopIfTrue="1">
      <formula>C7=CléPersonnalisée2</formula>
    </cfRule>
    <cfRule type="expression" dxfId="48" priority="3" stopIfTrue="1">
      <formula>C7=CléPersonnalisée1</formula>
    </cfRule>
    <cfRule type="expression" dxfId="47" priority="4" stopIfTrue="1">
      <formula>C7=CléMaladie</formula>
    </cfRule>
    <cfRule type="expression" dxfId="46" priority="5" stopIfTrue="1">
      <formula>C7=CléPersonnel</formula>
    </cfRule>
    <cfRule type="expression" dxfId="45" priority="6" stopIfTrue="1">
      <formula>C7=CléCongé</formula>
    </cfRule>
  </conditionalFormatting>
  <conditionalFormatting sqref="AH7:AH11">
    <cfRule type="dataBar" priority="7">
      <dataBar>
        <cfvo type="min"/>
        <cfvo type="formula" val="DATEDIF(DATE(CalendarYear,2,1),DATE(CalendarYear,3,1),&quot;d&quot;)"/>
        <color theme="2" tint="-0.249977111117893"/>
      </dataBar>
      <extLst>
        <ext xmlns:x14="http://schemas.microsoft.com/office/spreadsheetml/2009/9/main" uri="{B025F937-C7B1-47D3-B67F-A62EFF666E3E}">
          <x14:id>{7C2B6C3E-666E-4369-8C57-FD32A7D03A3C}</x14:id>
        </ext>
      </extLst>
    </cfRule>
  </conditionalFormatting>
  <dataValidations count="12">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200-000000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200-000001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200-000002000000}"/>
    <dataValidation allowBlank="1" showInputMessage="1" showErrorMessage="1" prompt="Cette ligne définit les clés utilisées dans le tableau : Congé en C2, Personnel en F2 et Congé maladie en J2. Les cellules M2 et R2 sont personnalisables " sqref="B2" xr:uid="{00000000-0002-0000-0200-000003000000}"/>
    <dataValidation allowBlank="1" showInputMessage="1" showErrorMessage="1" prompt="La lettre « M » indique une absence pour cause de maladie" sqref="J2" xr:uid="{00000000-0002-0000-0200-000006000000}"/>
    <dataValidation allowBlank="1" showInputMessage="1" showErrorMessage="1" prompt="La lettre « P » indique une absence pour motifs personnels" sqref="F2" xr:uid="{00000000-0002-0000-0200-000007000000}"/>
    <dataValidation allowBlank="1" showInputMessage="1" showErrorMessage="1" prompt="La lettre « C » indique une absence pour cause de congé" sqref="C2" xr:uid="{00000000-0002-0000-0200-000008000000}"/>
    <dataValidation allowBlank="1" showInputMessage="1" showErrorMessage="1" prompt="Le titre mis à jour automatiquement figure dans cette cellule. Pour modifier le titre, mettez à jour la cellule B1 de la feuille de calcul Janvier" sqref="B1" xr:uid="{00000000-0002-0000-0200-000009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200-00000A000000}"/>
    <dataValidation allowBlank="1" showInputMessage="1" showErrorMessage="1" prompt="Suivez les absences du mois de mars dans cette feuille de calcul" sqref="A1" xr:uid="{00000000-0002-0000-0200-00000B000000}"/>
    <dataValidation allowBlank="1" showInputMessage="1" showErrorMessage="1" prompt="Calcule automatiquement le nombre total de jours d’absence d’un employé durant ce mois dans cette colonne" sqref="AH6" xr:uid="{00000000-0002-0000-0200-00000C000000}"/>
    <dataValidation allowBlank="1" showInputMessage="1" showErrorMessage="1" prompt="Année mise à jour automatiquement en fonction de l’année entrée dans la feuille de calcul Janvier" sqref="AH4" xr:uid="{00000000-0002-0000-0200-00000D000000}"/>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C2B6C3E-666E-4369-8C57-FD32A7D03A3C}">
            <x14:dataBar minLength="0" maxLength="100">
              <x14:cfvo type="autoMin"/>
              <x14:cfvo type="formula">
                <xm:f>DATEDIF(DATE(CalendarYear,2,1),DATE(CalendarYear,3,1),"d")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200-00000E000000}">
          <x14:formula1>
            <xm:f>'Noms des employés'!$B$4:$B$8</xm:f>
          </x14:formula1>
          <xm:sqref>B7:B11</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tabColor theme="2" tint="-0.249977111117893"/>
    <pageSetUpPr fitToPage="1"/>
  </sheetPr>
  <dimension ref="A1:AH12"/>
  <sheetViews>
    <sheetView showGridLines="0" zoomScaleNormal="100" workbookViewId="0">
      <selection activeCell="C4" sqref="C4:AG4"/>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13.5703125" style="9" customWidth="1"/>
    <col min="35" max="35" width="2.7109375" customWidth="1"/>
  </cols>
  <sheetData>
    <row r="1" spans="2:34" ht="50.1" customHeight="1" x14ac:dyDescent="0.25">
      <c r="B1" s="12" t="str">
        <f>Titre_Absence_Employé</f>
        <v>Calendrier Mensuel</v>
      </c>
    </row>
    <row r="2" spans="2:34" ht="15" customHeight="1" x14ac:dyDescent="0.25">
      <c r="B2" s="25" t="s">
        <v>0</v>
      </c>
      <c r="C2" s="4" t="s">
        <v>8</v>
      </c>
      <c r="D2" s="22" t="s">
        <v>10</v>
      </c>
      <c r="E2" s="22"/>
      <c r="F2" s="5" t="s">
        <v>60</v>
      </c>
      <c r="G2" s="23" t="s">
        <v>61</v>
      </c>
      <c r="H2" s="22"/>
      <c r="I2" s="22"/>
      <c r="J2" s="6" t="s">
        <v>14</v>
      </c>
      <c r="K2" s="22" t="s">
        <v>20</v>
      </c>
      <c r="L2" s="22"/>
      <c r="Y2"/>
      <c r="Z2"/>
      <c r="AA2"/>
      <c r="AB2"/>
      <c r="AC2"/>
      <c r="AD2"/>
      <c r="AE2"/>
      <c r="AF2"/>
      <c r="AG2"/>
      <c r="AH2"/>
    </row>
    <row r="3" spans="2:34" ht="15" customHeight="1" x14ac:dyDescent="0.25">
      <c r="B3" s="12"/>
    </row>
    <row r="4" spans="2:34" ht="30" customHeight="1" x14ac:dyDescent="0.25">
      <c r="B4" s="10" t="s">
        <v>49</v>
      </c>
      <c r="C4" s="21" t="s">
        <v>63</v>
      </c>
      <c r="D4" s="21"/>
      <c r="E4" s="21"/>
      <c r="F4" s="21"/>
      <c r="G4" s="21"/>
      <c r="H4" s="21"/>
      <c r="I4" s="21"/>
      <c r="J4" s="21"/>
      <c r="K4" s="21"/>
      <c r="L4" s="21"/>
      <c r="M4" s="21"/>
      <c r="N4" s="21"/>
      <c r="O4" s="21"/>
      <c r="P4" s="21"/>
      <c r="Q4" s="21"/>
      <c r="R4" s="21"/>
      <c r="S4" s="21"/>
      <c r="T4" s="21"/>
      <c r="U4" s="21"/>
      <c r="V4" s="21"/>
      <c r="W4" s="21"/>
      <c r="X4" s="21"/>
      <c r="Y4" s="21"/>
      <c r="Z4" s="21"/>
      <c r="AA4" s="21"/>
      <c r="AB4" s="21"/>
      <c r="AC4" s="21"/>
      <c r="AD4" s="21"/>
      <c r="AE4" s="21"/>
      <c r="AF4" s="21"/>
      <c r="AG4" s="21"/>
      <c r="AH4" s="10">
        <f>AnnéeCalendrier</f>
        <v>2018</v>
      </c>
    </row>
    <row r="5" spans="2:34" ht="15" customHeight="1" x14ac:dyDescent="0.25">
      <c r="B5" s="10"/>
      <c r="C5" s="2" t="str">
        <f>TEXT(WEEKDAY(DATE(AnnéeCalendrier,4,1),1),"jjj")</f>
        <v>dim</v>
      </c>
      <c r="D5" s="2" t="str">
        <f>TEXT(WEEKDAY(DATE(AnnéeCalendrier,4,2),1),"jjj")</f>
        <v>lun</v>
      </c>
      <c r="E5" s="2" t="str">
        <f>TEXT(WEEKDAY(DATE(AnnéeCalendrier,4,3),1),"jjj")</f>
        <v>mar</v>
      </c>
      <c r="F5" s="2" t="str">
        <f>TEXT(WEEKDAY(DATE(AnnéeCalendrier,4,4),1),"jjj")</f>
        <v>mer</v>
      </c>
      <c r="G5" s="2" t="str">
        <f>TEXT(WEEKDAY(DATE(AnnéeCalendrier,4,5),1),"jjj")</f>
        <v>jeu</v>
      </c>
      <c r="H5" s="2" t="str">
        <f>TEXT(WEEKDAY(DATE(AnnéeCalendrier,4,6),1),"jjj")</f>
        <v>ven</v>
      </c>
      <c r="I5" s="2" t="str">
        <f>TEXT(WEEKDAY(DATE(AnnéeCalendrier,4,7),1),"jjj")</f>
        <v>sam</v>
      </c>
      <c r="J5" s="2" t="str">
        <f>TEXT(WEEKDAY(DATE(AnnéeCalendrier,4,8),1),"jjj")</f>
        <v>dim</v>
      </c>
      <c r="K5" s="2" t="str">
        <f>TEXT(WEEKDAY(DATE(AnnéeCalendrier,4,9),1),"jjj")</f>
        <v>lun</v>
      </c>
      <c r="L5" s="2" t="str">
        <f>TEXT(WEEKDAY(DATE(AnnéeCalendrier,4,10),1),"jjj")</f>
        <v>mar</v>
      </c>
      <c r="M5" s="2" t="str">
        <f>TEXT(WEEKDAY(DATE(AnnéeCalendrier,4,11),1),"jjj")</f>
        <v>mer</v>
      </c>
      <c r="N5" s="2" t="str">
        <f>TEXT(WEEKDAY(DATE(AnnéeCalendrier,4,12),1),"jjj")</f>
        <v>jeu</v>
      </c>
      <c r="O5" s="2" t="str">
        <f>TEXT(WEEKDAY(DATE(AnnéeCalendrier,4,13),1),"jjj")</f>
        <v>ven</v>
      </c>
      <c r="P5" s="2" t="str">
        <f>TEXT(WEEKDAY(DATE(AnnéeCalendrier,4,14),1),"jjj")</f>
        <v>sam</v>
      </c>
      <c r="Q5" s="2" t="str">
        <f>TEXT(WEEKDAY(DATE(AnnéeCalendrier,4,15),1),"jjj")</f>
        <v>dim</v>
      </c>
      <c r="R5" s="2" t="str">
        <f>TEXT(WEEKDAY(DATE(AnnéeCalendrier,4,16),1),"jjj")</f>
        <v>lun</v>
      </c>
      <c r="S5" s="2" t="str">
        <f>TEXT(WEEKDAY(DATE(AnnéeCalendrier,4,17),1),"jjj")</f>
        <v>mar</v>
      </c>
      <c r="T5" s="2" t="str">
        <f>TEXT(WEEKDAY(DATE(AnnéeCalendrier,4,18),1),"jjj")</f>
        <v>mer</v>
      </c>
      <c r="U5" s="2" t="str">
        <f>TEXT(WEEKDAY(DATE(AnnéeCalendrier,4,19),1),"jjj")</f>
        <v>jeu</v>
      </c>
      <c r="V5" s="2" t="str">
        <f>TEXT(WEEKDAY(DATE(AnnéeCalendrier,4,20),1),"jjj")</f>
        <v>ven</v>
      </c>
      <c r="W5" s="2" t="str">
        <f>TEXT(WEEKDAY(DATE(AnnéeCalendrier,4,21),1),"jjj")</f>
        <v>sam</v>
      </c>
      <c r="X5" s="2" t="str">
        <f>TEXT(WEEKDAY(DATE(AnnéeCalendrier,4,22),1),"jjj")</f>
        <v>dim</v>
      </c>
      <c r="Y5" s="2" t="str">
        <f>TEXT(WEEKDAY(DATE(AnnéeCalendrier,4,23),1),"jjj")</f>
        <v>lun</v>
      </c>
      <c r="Z5" s="2" t="str">
        <f>TEXT(WEEKDAY(DATE(AnnéeCalendrier,4,24),1),"jjj")</f>
        <v>mar</v>
      </c>
      <c r="AA5" s="2" t="str">
        <f>TEXT(WEEKDAY(DATE(AnnéeCalendrier,4,25),1),"jjj")</f>
        <v>mer</v>
      </c>
      <c r="AB5" s="2" t="str">
        <f>TEXT(WEEKDAY(DATE(AnnéeCalendrier,4,26),1),"jjj")</f>
        <v>jeu</v>
      </c>
      <c r="AC5" s="2" t="str">
        <f>TEXT(WEEKDAY(DATE(AnnéeCalendrier,4,27),1),"jjj")</f>
        <v>ven</v>
      </c>
      <c r="AD5" s="2" t="str">
        <f>TEXT(WEEKDAY(DATE(AnnéeCalendrier,4,28),1),"jjj")</f>
        <v>sam</v>
      </c>
      <c r="AE5" s="2" t="str">
        <f>TEXT(WEEKDAY(DATE(AnnéeCalendrier,4,29),1),"jjj")</f>
        <v>dim</v>
      </c>
      <c r="AF5" s="2" t="str">
        <f>TEXT(WEEKDAY(DATE(AnnéeCalendrier,4,30),1),"jjj")</f>
        <v>lun</v>
      </c>
      <c r="AG5" s="2"/>
      <c r="AH5" s="10"/>
    </row>
    <row r="6" spans="2:34" ht="15" customHeight="1" x14ac:dyDescent="0.25">
      <c r="B6" s="13" t="s">
        <v>2</v>
      </c>
      <c r="C6" s="3" t="s">
        <v>9</v>
      </c>
      <c r="D6" s="3" t="s">
        <v>11</v>
      </c>
      <c r="E6" s="3" t="s">
        <v>12</v>
      </c>
      <c r="F6" s="3" t="s">
        <v>13</v>
      </c>
      <c r="G6" s="3" t="s">
        <v>15</v>
      </c>
      <c r="H6" s="3" t="s">
        <v>16</v>
      </c>
      <c r="I6" s="3" t="s">
        <v>17</v>
      </c>
      <c r="J6" s="3" t="s">
        <v>18</v>
      </c>
      <c r="K6" s="3" t="s">
        <v>19</v>
      </c>
      <c r="L6" s="3" t="s">
        <v>21</v>
      </c>
      <c r="M6" s="3" t="s">
        <v>22</v>
      </c>
      <c r="N6" s="3" t="s">
        <v>23</v>
      </c>
      <c r="O6" s="3" t="s">
        <v>24</v>
      </c>
      <c r="P6" s="3" t="s">
        <v>25</v>
      </c>
      <c r="Q6" s="3" t="s">
        <v>26</v>
      </c>
      <c r="R6" s="3" t="s">
        <v>27</v>
      </c>
      <c r="S6" s="3" t="s">
        <v>28</v>
      </c>
      <c r="T6" s="3" t="s">
        <v>29</v>
      </c>
      <c r="U6" s="3" t="s">
        <v>30</v>
      </c>
      <c r="V6" s="3" t="s">
        <v>31</v>
      </c>
      <c r="W6" s="3" t="s">
        <v>32</v>
      </c>
      <c r="X6" s="3" t="s">
        <v>33</v>
      </c>
      <c r="Y6" s="3" t="s">
        <v>34</v>
      </c>
      <c r="Z6" s="3" t="s">
        <v>35</v>
      </c>
      <c r="AA6" s="3" t="s">
        <v>36</v>
      </c>
      <c r="AB6" s="3" t="s">
        <v>37</v>
      </c>
      <c r="AC6" s="3" t="s">
        <v>38</v>
      </c>
      <c r="AD6" s="3" t="s">
        <v>39</v>
      </c>
      <c r="AE6" s="3" t="s">
        <v>40</v>
      </c>
      <c r="AF6" s="3" t="s">
        <v>41</v>
      </c>
      <c r="AG6" s="3" t="s">
        <v>42</v>
      </c>
      <c r="AH6" s="14" t="s">
        <v>44</v>
      </c>
    </row>
    <row r="7" spans="2:34" ht="30" customHeight="1" x14ac:dyDescent="0.25">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8">
        <f>COUNTA(Avril[[#This Row],[1]:[31]])</f>
        <v>0</v>
      </c>
    </row>
    <row r="8" spans="2:34" ht="30" customHeight="1" x14ac:dyDescent="0.25">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8">
        <f>COUNTA(Avril[[#This Row],[1]:[31]])</f>
        <v>0</v>
      </c>
    </row>
    <row r="9" spans="2:34" ht="30" customHeight="1" x14ac:dyDescent="0.25">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8">
        <f>COUNTA(Avril[[#This Row],[1]:[31]])</f>
        <v>0</v>
      </c>
    </row>
    <row r="10" spans="2:34" ht="30" customHeight="1" x14ac:dyDescent="0.25">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8">
        <f>COUNTA(Avril[[#This Row],[1]:[31]])</f>
        <v>0</v>
      </c>
    </row>
    <row r="11" spans="2:34" ht="30" customHeight="1" x14ac:dyDescent="0.25">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8">
        <f>COUNTA(Avril[[#This Row],[1]:[31]])</f>
        <v>0</v>
      </c>
    </row>
    <row r="12" spans="2:34" ht="30" customHeight="1" x14ac:dyDescent="0.25">
      <c r="B12" s="18" t="str">
        <f>NomMois&amp;" Total"</f>
        <v>Avril Total</v>
      </c>
      <c r="C12" s="11">
        <f>SUBTOTAL(103,Avril[1])</f>
        <v>0</v>
      </c>
      <c r="D12" s="11">
        <f>SUBTOTAL(103,Avril[2])</f>
        <v>0</v>
      </c>
      <c r="E12" s="11">
        <f>SUBTOTAL(103,Avril[3])</f>
        <v>0</v>
      </c>
      <c r="F12" s="11">
        <f>SUBTOTAL(103,Avril[4])</f>
        <v>0</v>
      </c>
      <c r="G12" s="11">
        <f>SUBTOTAL(103,Avril[5])</f>
        <v>0</v>
      </c>
      <c r="H12" s="11">
        <f>SUBTOTAL(103,Avril[6])</f>
        <v>0</v>
      </c>
      <c r="I12" s="11">
        <f>SUBTOTAL(103,Avril[7])</f>
        <v>0</v>
      </c>
      <c r="J12" s="11">
        <f>SUBTOTAL(103,Avril[8])</f>
        <v>0</v>
      </c>
      <c r="K12" s="11">
        <f>SUBTOTAL(103,Avril[9])</f>
        <v>0</v>
      </c>
      <c r="L12" s="11">
        <f>SUBTOTAL(103,Avril[10])</f>
        <v>0</v>
      </c>
      <c r="M12" s="11">
        <f>SUBTOTAL(103,Avril[11])</f>
        <v>0</v>
      </c>
      <c r="N12" s="11">
        <f>SUBTOTAL(103,Avril[12])</f>
        <v>0</v>
      </c>
      <c r="O12" s="11">
        <f>SUBTOTAL(103,Avril[13])</f>
        <v>0</v>
      </c>
      <c r="P12" s="11">
        <f>SUBTOTAL(103,Avril[14])</f>
        <v>0</v>
      </c>
      <c r="Q12" s="11">
        <f>SUBTOTAL(103,Avril[15])</f>
        <v>0</v>
      </c>
      <c r="R12" s="11">
        <f>SUBTOTAL(103,Avril[16])</f>
        <v>0</v>
      </c>
      <c r="S12" s="11">
        <f>SUBTOTAL(103,Avril[17])</f>
        <v>0</v>
      </c>
      <c r="T12" s="11">
        <f>SUBTOTAL(103,Avril[18])</f>
        <v>0</v>
      </c>
      <c r="U12" s="11">
        <f>SUBTOTAL(103,Avril[19])</f>
        <v>0</v>
      </c>
      <c r="V12" s="11">
        <f>SUBTOTAL(103,Avril[20])</f>
        <v>0</v>
      </c>
      <c r="W12" s="11">
        <f>SUBTOTAL(103,Avril[21])</f>
        <v>0</v>
      </c>
      <c r="X12" s="11">
        <f>SUBTOTAL(103,Avril[22])</f>
        <v>0</v>
      </c>
      <c r="Y12" s="11">
        <f>SUBTOTAL(103,Avril[23])</f>
        <v>0</v>
      </c>
      <c r="Z12" s="11">
        <f>SUBTOTAL(103,Avril[24])</f>
        <v>0</v>
      </c>
      <c r="AA12" s="11">
        <f>SUBTOTAL(103,Avril[25])</f>
        <v>0</v>
      </c>
      <c r="AB12" s="11">
        <f>SUBTOTAL(103,Avril[26])</f>
        <v>0</v>
      </c>
      <c r="AC12" s="11">
        <f>SUBTOTAL(103,Avril[27])</f>
        <v>0</v>
      </c>
      <c r="AD12" s="11">
        <f>SUBTOTAL(103,Avril[28])</f>
        <v>0</v>
      </c>
      <c r="AE12" s="11">
        <f>SUBTOTAL(103,Avril[29])</f>
        <v>0</v>
      </c>
      <c r="AF12" s="11">
        <f>SUBTOTAL(109,Avril[30])</f>
        <v>0</v>
      </c>
      <c r="AG12" s="11">
        <f>SUBTOTAL(109,Avril[31])</f>
        <v>0</v>
      </c>
      <c r="AH12" s="11">
        <f>SUBTOTAL(109,Avril[Total des jours])</f>
        <v>0</v>
      </c>
    </row>
  </sheetData>
  <mergeCells count="4">
    <mergeCell ref="C4:AG4"/>
    <mergeCell ref="D2:E2"/>
    <mergeCell ref="G2:I2"/>
    <mergeCell ref="K2:L2"/>
  </mergeCells>
  <conditionalFormatting sqref="C7:AG11">
    <cfRule type="expression" priority="1" stopIfTrue="1">
      <formula>C7=""</formula>
    </cfRule>
  </conditionalFormatting>
  <conditionalFormatting sqref="C7:AG11">
    <cfRule type="expression" dxfId="44" priority="2" stopIfTrue="1">
      <formula>C7=CléPersonnalisée2</formula>
    </cfRule>
    <cfRule type="expression" dxfId="43" priority="3" stopIfTrue="1">
      <formula>C7=CléPersonnalisée1</formula>
    </cfRule>
    <cfRule type="expression" dxfId="42" priority="4" stopIfTrue="1">
      <formula>C7=CléMaladie</formula>
    </cfRule>
    <cfRule type="expression" dxfId="41" priority="5" stopIfTrue="1">
      <formula>C7=CléPersonnel</formula>
    </cfRule>
    <cfRule type="expression" dxfId="40" priority="6" stopIfTrue="1">
      <formula>C7=CléCongé</formula>
    </cfRule>
  </conditionalFormatting>
  <conditionalFormatting sqref="AH7:AH11">
    <cfRule type="dataBar" priority="7">
      <dataBar>
        <cfvo type="min"/>
        <cfvo type="formula" val="DATEDIF(DATE(CalendarYear,2,1),DATE(CalendarYear,3,1),&quot;d&quot;)"/>
        <color theme="2" tint="-0.249977111117893"/>
      </dataBar>
      <extLst>
        <ext xmlns:x14="http://schemas.microsoft.com/office/spreadsheetml/2009/9/main" uri="{B025F937-C7B1-47D3-B67F-A62EFF666E3E}">
          <x14:id>{0C86709F-D813-4066-A3F1-C30F11214F4B}</x14:id>
        </ext>
      </extLst>
    </cfRule>
  </conditionalFormatting>
  <dataValidations count="12">
    <dataValidation allowBlank="1" showInputMessage="1" showErrorMessage="1" prompt="Année mise à jour automatiquement en fonction de l’année entrée dans la feuille de calcul Janvier" sqref="AH4" xr:uid="{00000000-0002-0000-0300-000000000000}"/>
    <dataValidation allowBlank="1" showInputMessage="1" showErrorMessage="1" prompt="Calcule automatiquement le nombre total de jours d’absence d’un employé durant ce mois dans cette colonne" sqref="AH6" xr:uid="{00000000-0002-0000-0300-000001000000}"/>
    <dataValidation allowBlank="1" showInputMessage="1" showErrorMessage="1" prompt="Suivez les absences du mois d’avril dans cette feuille de calcul" sqref="A1" xr:uid="{00000000-0002-0000-0300-000002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300-000003000000}"/>
    <dataValidation allowBlank="1" showInputMessage="1" showErrorMessage="1" prompt="Le titre mis à jour automatiquement figure dans cette cellule. Pour modifier le titre, mettez à jour la cellule B1 de la feuille de calcul Janvier" sqref="B1" xr:uid="{00000000-0002-0000-0300-000004000000}"/>
    <dataValidation allowBlank="1" showInputMessage="1" showErrorMessage="1" prompt="La lettre « C » indique une absence pour cause de congé" sqref="C2" xr:uid="{00000000-0002-0000-0300-000005000000}"/>
    <dataValidation allowBlank="1" showInputMessage="1" showErrorMessage="1" prompt="La lettre « P » indique une absence pour motifs personnels" sqref="F2" xr:uid="{00000000-0002-0000-0300-000006000000}"/>
    <dataValidation allowBlank="1" showInputMessage="1" showErrorMessage="1" prompt="La lettre « M » indique une absence pour cause de maladie" sqref="J2" xr:uid="{00000000-0002-0000-0300-000007000000}"/>
    <dataValidation allowBlank="1" showInputMessage="1" showErrorMessage="1" prompt="Cette ligne définit les clés utilisées dans le tableau : Congé en C2, Personnel en F2 et Congé maladie en J2. Les cellules M2 et R2 sont personnalisables " sqref="B2" xr:uid="{00000000-0002-0000-0300-00000A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300-00000B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3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300-00000D000000}"/>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C86709F-D813-4066-A3F1-C30F11214F4B}">
            <x14:dataBar minLength="0" maxLength="100">
              <x14:cfvo type="autoMin"/>
              <x14:cfvo type="formula">
                <xm:f>DATEDIF(DATE(CalendarYear,2,1),DATE(CalendarYear,3,1),"d")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300-00000E000000}">
          <x14:formula1>
            <xm:f>'Noms des employés'!$B$4:$B$8</xm:f>
          </x14:formula1>
          <xm:sqref>B7:B11</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tabColor theme="2" tint="-9.9978637043366805E-2"/>
    <pageSetUpPr fitToPage="1"/>
  </sheetPr>
  <dimension ref="A1:AH12"/>
  <sheetViews>
    <sheetView showGridLines="0" zoomScaleNormal="100" workbookViewId="0">
      <selection activeCell="J5" sqref="J5"/>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13.5703125" style="9" customWidth="1"/>
    <col min="35" max="35" width="2.7109375" customWidth="1"/>
  </cols>
  <sheetData>
    <row r="1" spans="2:34" ht="50.1" customHeight="1" x14ac:dyDescent="0.25">
      <c r="B1" s="12" t="str">
        <f>Titre_Absence_Employé</f>
        <v>Calendrier Mensuel</v>
      </c>
    </row>
    <row r="2" spans="2:34" ht="15" customHeight="1" x14ac:dyDescent="0.25">
      <c r="B2" s="25" t="s">
        <v>0</v>
      </c>
      <c r="C2" s="4" t="s">
        <v>8</v>
      </c>
      <c r="D2" s="22" t="s">
        <v>10</v>
      </c>
      <c r="E2" s="22"/>
      <c r="F2" s="5" t="s">
        <v>60</v>
      </c>
      <c r="G2" s="23" t="s">
        <v>62</v>
      </c>
      <c r="H2" s="22"/>
      <c r="I2" s="22"/>
      <c r="J2" s="6" t="s">
        <v>14</v>
      </c>
      <c r="K2" s="22" t="s">
        <v>20</v>
      </c>
      <c r="L2" s="22"/>
      <c r="Y2"/>
      <c r="Z2"/>
      <c r="AA2"/>
      <c r="AB2"/>
      <c r="AC2"/>
      <c r="AD2"/>
      <c r="AE2"/>
      <c r="AF2"/>
      <c r="AG2"/>
      <c r="AH2"/>
    </row>
    <row r="3" spans="2:34" ht="15" customHeight="1" x14ac:dyDescent="0.25">
      <c r="B3" s="12"/>
    </row>
    <row r="4" spans="2:34" ht="30" customHeight="1" x14ac:dyDescent="0.25">
      <c r="B4" s="10" t="s">
        <v>50</v>
      </c>
      <c r="C4" s="21" t="s">
        <v>63</v>
      </c>
      <c r="D4" s="21"/>
      <c r="E4" s="21"/>
      <c r="F4" s="21"/>
      <c r="G4" s="21"/>
      <c r="H4" s="21"/>
      <c r="I4" s="21"/>
      <c r="J4" s="21"/>
      <c r="K4" s="21"/>
      <c r="L4" s="21"/>
      <c r="M4" s="21"/>
      <c r="N4" s="21"/>
      <c r="O4" s="21"/>
      <c r="P4" s="21"/>
      <c r="Q4" s="21"/>
      <c r="R4" s="21"/>
      <c r="S4" s="21"/>
      <c r="T4" s="21"/>
      <c r="U4" s="21"/>
      <c r="V4" s="21"/>
      <c r="W4" s="21"/>
      <c r="X4" s="21"/>
      <c r="Y4" s="21"/>
      <c r="Z4" s="21"/>
      <c r="AA4" s="21"/>
      <c r="AB4" s="21"/>
      <c r="AC4" s="21"/>
      <c r="AD4" s="21"/>
      <c r="AE4" s="21"/>
      <c r="AF4" s="21"/>
      <c r="AG4" s="21"/>
      <c r="AH4" s="10">
        <f>AnnéeCalendrier</f>
        <v>2018</v>
      </c>
    </row>
    <row r="5" spans="2:34" ht="15" customHeight="1" x14ac:dyDescent="0.25">
      <c r="B5" s="10"/>
      <c r="C5" s="2" t="str">
        <f>TEXT(WEEKDAY(DATE(AnnéeCalendrier,5,1),1),"jjj")</f>
        <v>mar</v>
      </c>
      <c r="D5" s="2" t="str">
        <f>TEXT(WEEKDAY(DATE(AnnéeCalendrier,5,2),1),"jjj")</f>
        <v>mer</v>
      </c>
      <c r="E5" s="2" t="str">
        <f>TEXT(WEEKDAY(DATE(AnnéeCalendrier,5,3),1),"jjj")</f>
        <v>jeu</v>
      </c>
      <c r="F5" s="2" t="str">
        <f>TEXT(WEEKDAY(DATE(AnnéeCalendrier,5,4),1),"jjj")</f>
        <v>ven</v>
      </c>
      <c r="G5" s="2" t="str">
        <f>TEXT(WEEKDAY(DATE(AnnéeCalendrier,5,5),1),"jjj")</f>
        <v>sam</v>
      </c>
      <c r="H5" s="2" t="str">
        <f>TEXT(WEEKDAY(DATE(AnnéeCalendrier,5,6),1),"jjj")</f>
        <v>dim</v>
      </c>
      <c r="I5" s="2" t="str">
        <f>TEXT(WEEKDAY(DATE(AnnéeCalendrier,5,7),1),"jjj")</f>
        <v>lun</v>
      </c>
      <c r="J5" s="2" t="str">
        <f>TEXT(WEEKDAY(DATE(AnnéeCalendrier,5,8),1),"jjj")</f>
        <v>mar</v>
      </c>
      <c r="K5" s="2" t="str">
        <f>TEXT(WEEKDAY(DATE(AnnéeCalendrier,5,9),1),"jjj")</f>
        <v>mer</v>
      </c>
      <c r="L5" s="2" t="str">
        <f>TEXT(WEEKDAY(DATE(AnnéeCalendrier,5,10),1),"jjj")</f>
        <v>jeu</v>
      </c>
      <c r="M5" s="2" t="str">
        <f>TEXT(WEEKDAY(DATE(AnnéeCalendrier,5,11),1),"jjj")</f>
        <v>ven</v>
      </c>
      <c r="N5" s="2" t="str">
        <f>TEXT(WEEKDAY(DATE(AnnéeCalendrier,5,12),1),"jjj")</f>
        <v>sam</v>
      </c>
      <c r="O5" s="2" t="str">
        <f>TEXT(WEEKDAY(DATE(AnnéeCalendrier,5,13),1),"jjj")</f>
        <v>dim</v>
      </c>
      <c r="P5" s="2" t="str">
        <f>TEXT(WEEKDAY(DATE(AnnéeCalendrier,5,14),1),"jjj")</f>
        <v>lun</v>
      </c>
      <c r="Q5" s="2" t="str">
        <f>TEXT(WEEKDAY(DATE(AnnéeCalendrier,5,15),1),"jjj")</f>
        <v>mar</v>
      </c>
      <c r="R5" s="2" t="str">
        <f>TEXT(WEEKDAY(DATE(AnnéeCalendrier,5,16),1),"jjj")</f>
        <v>mer</v>
      </c>
      <c r="S5" s="2" t="str">
        <f>TEXT(WEEKDAY(DATE(AnnéeCalendrier,5,17),1),"jjj")</f>
        <v>jeu</v>
      </c>
      <c r="T5" s="2" t="str">
        <f>TEXT(WEEKDAY(DATE(AnnéeCalendrier,5,18),1),"jjj")</f>
        <v>ven</v>
      </c>
      <c r="U5" s="2" t="str">
        <f>TEXT(WEEKDAY(DATE(AnnéeCalendrier,5,19),1),"jjj")</f>
        <v>sam</v>
      </c>
      <c r="V5" s="2" t="str">
        <f>TEXT(WEEKDAY(DATE(AnnéeCalendrier,5,20),1),"jjj")</f>
        <v>dim</v>
      </c>
      <c r="W5" s="2" t="str">
        <f>TEXT(WEEKDAY(DATE(AnnéeCalendrier,5,21),1),"jjj")</f>
        <v>lun</v>
      </c>
      <c r="X5" s="2" t="str">
        <f>TEXT(WEEKDAY(DATE(AnnéeCalendrier,5,22),1),"jjj")</f>
        <v>mar</v>
      </c>
      <c r="Y5" s="2" t="str">
        <f>TEXT(WEEKDAY(DATE(AnnéeCalendrier,5,23),1),"jjj")</f>
        <v>mer</v>
      </c>
      <c r="Z5" s="2" t="str">
        <f>TEXT(WEEKDAY(DATE(AnnéeCalendrier,5,24),1),"jjj")</f>
        <v>jeu</v>
      </c>
      <c r="AA5" s="2" t="str">
        <f>TEXT(WEEKDAY(DATE(AnnéeCalendrier,5,25),1),"jjj")</f>
        <v>ven</v>
      </c>
      <c r="AB5" s="2" t="str">
        <f>TEXT(WEEKDAY(DATE(AnnéeCalendrier,5,26),1),"jjj")</f>
        <v>sam</v>
      </c>
      <c r="AC5" s="2" t="str">
        <f>TEXT(WEEKDAY(DATE(AnnéeCalendrier,5,27),1),"jjj")</f>
        <v>dim</v>
      </c>
      <c r="AD5" s="2" t="str">
        <f>TEXT(WEEKDAY(DATE(AnnéeCalendrier,5,28),1),"jjj")</f>
        <v>lun</v>
      </c>
      <c r="AE5" s="2" t="str">
        <f>TEXT(WEEKDAY(DATE(AnnéeCalendrier,5,29),1),"jjj")</f>
        <v>mar</v>
      </c>
      <c r="AF5" s="2" t="str">
        <f>TEXT(WEEKDAY(DATE(AnnéeCalendrier,5,30),1),"jjj")</f>
        <v>mer</v>
      </c>
      <c r="AG5" s="2" t="str">
        <f>TEXT(WEEKDAY(DATE(AnnéeCalendrier,5,31),1),"jjj")</f>
        <v>jeu</v>
      </c>
      <c r="AH5" s="10"/>
    </row>
    <row r="6" spans="2:34" ht="15" customHeight="1" x14ac:dyDescent="0.25">
      <c r="B6" s="13" t="s">
        <v>2</v>
      </c>
      <c r="C6" s="3" t="s">
        <v>9</v>
      </c>
      <c r="D6" s="3" t="s">
        <v>11</v>
      </c>
      <c r="E6" s="3" t="s">
        <v>12</v>
      </c>
      <c r="F6" s="3" t="s">
        <v>13</v>
      </c>
      <c r="G6" s="3" t="s">
        <v>15</v>
      </c>
      <c r="H6" s="3" t="s">
        <v>16</v>
      </c>
      <c r="I6" s="3" t="s">
        <v>17</v>
      </c>
      <c r="J6" s="3" t="s">
        <v>18</v>
      </c>
      <c r="K6" s="3" t="s">
        <v>19</v>
      </c>
      <c r="L6" s="3" t="s">
        <v>21</v>
      </c>
      <c r="M6" s="3" t="s">
        <v>22</v>
      </c>
      <c r="N6" s="3" t="s">
        <v>23</v>
      </c>
      <c r="O6" s="3" t="s">
        <v>24</v>
      </c>
      <c r="P6" s="3" t="s">
        <v>25</v>
      </c>
      <c r="Q6" s="3" t="s">
        <v>26</v>
      </c>
      <c r="R6" s="3" t="s">
        <v>27</v>
      </c>
      <c r="S6" s="3" t="s">
        <v>28</v>
      </c>
      <c r="T6" s="3" t="s">
        <v>29</v>
      </c>
      <c r="U6" s="3" t="s">
        <v>30</v>
      </c>
      <c r="V6" s="3" t="s">
        <v>31</v>
      </c>
      <c r="W6" s="3" t="s">
        <v>32</v>
      </c>
      <c r="X6" s="3" t="s">
        <v>33</v>
      </c>
      <c r="Y6" s="3" t="s">
        <v>34</v>
      </c>
      <c r="Z6" s="3" t="s">
        <v>35</v>
      </c>
      <c r="AA6" s="3" t="s">
        <v>36</v>
      </c>
      <c r="AB6" s="3" t="s">
        <v>37</v>
      </c>
      <c r="AC6" s="3" t="s">
        <v>38</v>
      </c>
      <c r="AD6" s="3" t="s">
        <v>39</v>
      </c>
      <c r="AE6" s="3" t="s">
        <v>40</v>
      </c>
      <c r="AF6" s="3" t="s">
        <v>41</v>
      </c>
      <c r="AG6" s="3" t="s">
        <v>42</v>
      </c>
      <c r="AH6" s="14" t="s">
        <v>44</v>
      </c>
    </row>
    <row r="7" spans="2:34" ht="30" customHeight="1" x14ac:dyDescent="0.25">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8">
        <f>COUNTA(Mai[[#This Row],[1]:[31]])</f>
        <v>0</v>
      </c>
    </row>
    <row r="8" spans="2:34" ht="30" customHeight="1" x14ac:dyDescent="0.25">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8">
        <f>COUNTA(Mai[[#This Row],[1]:[31]])</f>
        <v>0</v>
      </c>
    </row>
    <row r="9" spans="2:34" ht="30" customHeight="1" x14ac:dyDescent="0.25">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8">
        <f>COUNTA(Mai[[#This Row],[1]:[31]])</f>
        <v>0</v>
      </c>
    </row>
    <row r="10" spans="2:34" ht="30" customHeight="1" x14ac:dyDescent="0.25">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8">
        <f>COUNTA(Mai[[#This Row],[1]:[31]])</f>
        <v>0</v>
      </c>
    </row>
    <row r="11" spans="2:34" ht="30" customHeight="1" x14ac:dyDescent="0.25">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8">
        <f>COUNTA(Mai[[#This Row],[1]:[31]])</f>
        <v>0</v>
      </c>
    </row>
    <row r="12" spans="2:34" ht="30" customHeight="1" x14ac:dyDescent="0.25">
      <c r="B12" s="18" t="str">
        <f>NomMois&amp;" Total"</f>
        <v>Mai Total</v>
      </c>
      <c r="C12" s="11">
        <f>SUBTOTAL(103,Mai[1])</f>
        <v>0</v>
      </c>
      <c r="D12" s="11">
        <f>SUBTOTAL(103,Mai[2])</f>
        <v>0</v>
      </c>
      <c r="E12" s="11">
        <f>SUBTOTAL(103,Mai[3])</f>
        <v>0</v>
      </c>
      <c r="F12" s="11">
        <f>SUBTOTAL(103,Mai[4])</f>
        <v>0</v>
      </c>
      <c r="G12" s="11">
        <f>SUBTOTAL(103,Mai[5])</f>
        <v>0</v>
      </c>
      <c r="H12" s="11">
        <f>SUBTOTAL(103,Mai[6])</f>
        <v>0</v>
      </c>
      <c r="I12" s="11">
        <f>SUBTOTAL(103,Mai[7])</f>
        <v>0</v>
      </c>
      <c r="J12" s="11">
        <f>SUBTOTAL(103,Mai[8])</f>
        <v>0</v>
      </c>
      <c r="K12" s="11">
        <f>SUBTOTAL(103,Mai[9])</f>
        <v>0</v>
      </c>
      <c r="L12" s="11">
        <f>SUBTOTAL(103,Mai[10])</f>
        <v>0</v>
      </c>
      <c r="M12" s="11">
        <f>SUBTOTAL(103,Mai[11])</f>
        <v>0</v>
      </c>
      <c r="N12" s="11">
        <f>SUBTOTAL(103,Mai[12])</f>
        <v>0</v>
      </c>
      <c r="O12" s="11">
        <f>SUBTOTAL(103,Mai[13])</f>
        <v>0</v>
      </c>
      <c r="P12" s="11">
        <f>SUBTOTAL(103,Mai[14])</f>
        <v>0</v>
      </c>
      <c r="Q12" s="11">
        <f>SUBTOTAL(103,Mai[15])</f>
        <v>0</v>
      </c>
      <c r="R12" s="11">
        <f>SUBTOTAL(103,Mai[16])</f>
        <v>0</v>
      </c>
      <c r="S12" s="11">
        <f>SUBTOTAL(103,Mai[17])</f>
        <v>0</v>
      </c>
      <c r="T12" s="11">
        <f>SUBTOTAL(103,Mai[18])</f>
        <v>0</v>
      </c>
      <c r="U12" s="11">
        <f>SUBTOTAL(103,Mai[19])</f>
        <v>0</v>
      </c>
      <c r="V12" s="11">
        <f>SUBTOTAL(103,Mai[20])</f>
        <v>0</v>
      </c>
      <c r="W12" s="11">
        <f>SUBTOTAL(103,Mai[21])</f>
        <v>0</v>
      </c>
      <c r="X12" s="11">
        <f>SUBTOTAL(103,Mai[22])</f>
        <v>0</v>
      </c>
      <c r="Y12" s="11">
        <f>SUBTOTAL(103,Mai[23])</f>
        <v>0</v>
      </c>
      <c r="Z12" s="11">
        <f>SUBTOTAL(103,Mai[24])</f>
        <v>0</v>
      </c>
      <c r="AA12" s="11">
        <f>SUBTOTAL(103,Mai[25])</f>
        <v>0</v>
      </c>
      <c r="AB12" s="11">
        <f>SUBTOTAL(103,Mai[26])</f>
        <v>0</v>
      </c>
      <c r="AC12" s="11">
        <f>SUBTOTAL(103,Mai[27])</f>
        <v>0</v>
      </c>
      <c r="AD12" s="11">
        <f>SUBTOTAL(103,Mai[28])</f>
        <v>0</v>
      </c>
      <c r="AE12" s="11">
        <f>SUBTOTAL(103,Mai[29])</f>
        <v>0</v>
      </c>
      <c r="AF12" s="11">
        <f>SUBTOTAL(109,Mai[30])</f>
        <v>0</v>
      </c>
      <c r="AG12" s="11">
        <f>SUBTOTAL(109,Mai[31])</f>
        <v>0</v>
      </c>
      <c r="AH12" s="11">
        <f>SUBTOTAL(109,Mai[Total des jours])</f>
        <v>0</v>
      </c>
    </row>
  </sheetData>
  <mergeCells count="4">
    <mergeCell ref="C4:AG4"/>
    <mergeCell ref="D2:E2"/>
    <mergeCell ref="G2:I2"/>
    <mergeCell ref="K2:L2"/>
  </mergeCells>
  <conditionalFormatting sqref="C7:AG11">
    <cfRule type="expression" priority="1" stopIfTrue="1">
      <formula>C7=""</formula>
    </cfRule>
  </conditionalFormatting>
  <conditionalFormatting sqref="C7:AG11">
    <cfRule type="expression" dxfId="39" priority="2" stopIfTrue="1">
      <formula>C7=CléPersonnalisée2</formula>
    </cfRule>
    <cfRule type="expression" dxfId="38" priority="3" stopIfTrue="1">
      <formula>C7=CléPersonnalisée1</formula>
    </cfRule>
    <cfRule type="expression" dxfId="37" priority="4" stopIfTrue="1">
      <formula>C7=CléMaladie</formula>
    </cfRule>
    <cfRule type="expression" dxfId="36" priority="5" stopIfTrue="1">
      <formula>C7=CléPersonnel</formula>
    </cfRule>
    <cfRule type="expression" dxfId="35" priority="6" stopIfTrue="1">
      <formula>C7=CléCongé</formula>
    </cfRule>
  </conditionalFormatting>
  <conditionalFormatting sqref="AH7:AH11">
    <cfRule type="dataBar" priority="7">
      <dataBar>
        <cfvo type="min"/>
        <cfvo type="formula" val="DATEDIF(DATE(CalendarYear,2,1),DATE(CalendarYear,3,1),&quot;d&quot;)"/>
        <color theme="2" tint="-0.249977111117893"/>
      </dataBar>
      <extLst>
        <ext xmlns:x14="http://schemas.microsoft.com/office/spreadsheetml/2009/9/main" uri="{B025F937-C7B1-47D3-B67F-A62EFF666E3E}">
          <x14:id>{5670947F-8B3C-4A6C-A280-4F5E10811DCE}</x14:id>
        </ext>
      </extLst>
    </cfRule>
  </conditionalFormatting>
  <dataValidations count="12">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4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400-000001000000}"/>
    <dataValidation allowBlank="1" showInputMessage="1" showErrorMessage="1" prompt="Cette ligne définit les clés utilisées dans le tableau : Congé en C2, Personnel en F2 et Congé maladie en J2. Les cellules M2 et R2 sont personnalisables " sqref="B2" xr:uid="{00000000-0002-0000-0400-000002000000}"/>
    <dataValidation allowBlank="1" showInputMessage="1" showErrorMessage="1" prompt="La lettre « M » indique une absence pour cause de maladie" sqref="J2" xr:uid="{00000000-0002-0000-0400-000005000000}"/>
    <dataValidation allowBlank="1" showInputMessage="1" showErrorMessage="1" prompt="La lettre « P » indique une absence pour motifs personnels" sqref="F2" xr:uid="{00000000-0002-0000-0400-000006000000}"/>
    <dataValidation allowBlank="1" showInputMessage="1" showErrorMessage="1" prompt="La lettre « C » indique une absence pour cause de congé" sqref="C2" xr:uid="{00000000-0002-0000-0400-000007000000}"/>
    <dataValidation allowBlank="1" showInputMessage="1" showErrorMessage="1" prompt="Le titre mis à jour automatiquement figure dans cette cellule. Pour modifier le titre, mettez à jour la cellule B1 de la feuille de calcul Janvier" sqref="B1" xr:uid="{00000000-0002-0000-04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400-000009000000}"/>
    <dataValidation allowBlank="1" showInputMessage="1" showErrorMessage="1" prompt="Suivez les absences du mois de mai dans cette feuille de calcul" sqref="A1" xr:uid="{00000000-0002-0000-0400-00000A000000}"/>
    <dataValidation allowBlank="1" showInputMessage="1" showErrorMessage="1" prompt="Calcule automatiquement le nombre total de jours d’absence d’un employé durant ce mois dans cette colonne" sqref="AH6" xr:uid="{00000000-0002-0000-0400-00000B000000}"/>
    <dataValidation allowBlank="1" showInputMessage="1" showErrorMessage="1" prompt="Année mise à jour automatiquement en fonction de l’année entrée dans la feuille de calcul Janvier" sqref="AH4" xr:uid="{00000000-0002-0000-04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400-00000D000000}"/>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670947F-8B3C-4A6C-A280-4F5E10811DCE}">
            <x14:dataBar minLength="0" maxLength="100">
              <x14:cfvo type="autoMin"/>
              <x14:cfvo type="formula">
                <xm:f>DATEDIF(DATE(CalendarYear,2,1),DATE(CalendarYear,3,1),"d")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400-00000E000000}">
          <x14:formula1>
            <xm:f>'Noms des employés'!$B$4:$B$8</xm:f>
          </x14:formula1>
          <xm:sqref>B7:B11</xm:sqref>
        </x14:dataValidation>
      </x14:dataValidation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tabColor theme="2"/>
    <pageSetUpPr fitToPage="1"/>
  </sheetPr>
  <dimension ref="A1:AH12"/>
  <sheetViews>
    <sheetView showGridLines="0" zoomScaleNormal="100" workbookViewId="0">
      <selection activeCell="C4" sqref="C4:AG4"/>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13.5703125" style="9" customWidth="1"/>
    <col min="35" max="35" width="2.7109375" customWidth="1"/>
  </cols>
  <sheetData>
    <row r="1" spans="2:34" ht="50.1" customHeight="1" x14ac:dyDescent="0.25">
      <c r="B1" s="12" t="str">
        <f>Titre_Absence_Employé</f>
        <v>Calendrier Mensuel</v>
      </c>
    </row>
    <row r="2" spans="2:34" ht="15" customHeight="1" x14ac:dyDescent="0.25">
      <c r="B2" s="25" t="s">
        <v>0</v>
      </c>
      <c r="C2" s="4" t="s">
        <v>8</v>
      </c>
      <c r="D2" s="22" t="s">
        <v>10</v>
      </c>
      <c r="E2" s="22"/>
      <c r="F2" s="5" t="s">
        <v>60</v>
      </c>
      <c r="G2" s="23" t="s">
        <v>61</v>
      </c>
      <c r="H2" s="22"/>
      <c r="I2" s="22"/>
      <c r="J2" s="6" t="s">
        <v>14</v>
      </c>
      <c r="K2" s="22" t="s">
        <v>20</v>
      </c>
      <c r="L2" s="22"/>
      <c r="Y2"/>
      <c r="Z2"/>
      <c r="AA2"/>
      <c r="AB2"/>
      <c r="AC2"/>
      <c r="AD2"/>
      <c r="AE2"/>
      <c r="AF2"/>
      <c r="AG2"/>
      <c r="AH2"/>
    </row>
    <row r="3" spans="2:34" ht="15" customHeight="1" x14ac:dyDescent="0.25">
      <c r="B3" s="12"/>
    </row>
    <row r="4" spans="2:34" ht="30" customHeight="1" x14ac:dyDescent="0.25">
      <c r="B4" s="10" t="s">
        <v>51</v>
      </c>
      <c r="C4" s="21" t="s">
        <v>63</v>
      </c>
      <c r="D4" s="21"/>
      <c r="E4" s="21"/>
      <c r="F4" s="21"/>
      <c r="G4" s="21"/>
      <c r="H4" s="21"/>
      <c r="I4" s="21"/>
      <c r="J4" s="21"/>
      <c r="K4" s="21"/>
      <c r="L4" s="21"/>
      <c r="M4" s="21"/>
      <c r="N4" s="21"/>
      <c r="O4" s="21"/>
      <c r="P4" s="21"/>
      <c r="Q4" s="21"/>
      <c r="R4" s="21"/>
      <c r="S4" s="21"/>
      <c r="T4" s="21"/>
      <c r="U4" s="21"/>
      <c r="V4" s="21"/>
      <c r="W4" s="21"/>
      <c r="X4" s="21"/>
      <c r="Y4" s="21"/>
      <c r="Z4" s="21"/>
      <c r="AA4" s="21"/>
      <c r="AB4" s="21"/>
      <c r="AC4" s="21"/>
      <c r="AD4" s="21"/>
      <c r="AE4" s="21"/>
      <c r="AF4" s="21"/>
      <c r="AG4" s="21"/>
      <c r="AH4" s="10">
        <f>AnnéeCalendrier</f>
        <v>2018</v>
      </c>
    </row>
    <row r="5" spans="2:34" ht="15" customHeight="1" x14ac:dyDescent="0.25">
      <c r="B5" s="10"/>
      <c r="C5" s="2" t="str">
        <f>TEXT(WEEKDAY(DATE(AnnéeCalendrier,6,1),1),"jjj")</f>
        <v>ven</v>
      </c>
      <c r="D5" s="2" t="str">
        <f>TEXT(WEEKDAY(DATE(AnnéeCalendrier,6,2),1),"jjj")</f>
        <v>sam</v>
      </c>
      <c r="E5" s="2" t="str">
        <f>TEXT(WEEKDAY(DATE(AnnéeCalendrier,6,3),1),"jjj")</f>
        <v>dim</v>
      </c>
      <c r="F5" s="2" t="str">
        <f>TEXT(WEEKDAY(DATE(AnnéeCalendrier,6,4),1),"jjj")</f>
        <v>lun</v>
      </c>
      <c r="G5" s="2" t="str">
        <f>TEXT(WEEKDAY(DATE(AnnéeCalendrier,6,5),1),"jjj")</f>
        <v>mar</v>
      </c>
      <c r="H5" s="2" t="str">
        <f>TEXT(WEEKDAY(DATE(AnnéeCalendrier,6,6),1),"jjj")</f>
        <v>mer</v>
      </c>
      <c r="I5" s="2" t="str">
        <f>TEXT(WEEKDAY(DATE(AnnéeCalendrier,6,7),1),"jjj")</f>
        <v>jeu</v>
      </c>
      <c r="J5" s="2" t="str">
        <f>TEXT(WEEKDAY(DATE(AnnéeCalendrier,6,8),1),"jjj")</f>
        <v>ven</v>
      </c>
      <c r="K5" s="2" t="str">
        <f>TEXT(WEEKDAY(DATE(AnnéeCalendrier,6,9),1),"jjj")</f>
        <v>sam</v>
      </c>
      <c r="L5" s="2" t="str">
        <f>TEXT(WEEKDAY(DATE(AnnéeCalendrier,6,10),1),"jjj")</f>
        <v>dim</v>
      </c>
      <c r="M5" s="2" t="str">
        <f>TEXT(WEEKDAY(DATE(AnnéeCalendrier,6,11),1),"jjj")</f>
        <v>lun</v>
      </c>
      <c r="N5" s="2" t="str">
        <f>TEXT(WEEKDAY(DATE(AnnéeCalendrier,6,12),1),"jjj")</f>
        <v>mar</v>
      </c>
      <c r="O5" s="2" t="str">
        <f>TEXT(WEEKDAY(DATE(AnnéeCalendrier,6,13),1),"jjj")</f>
        <v>mer</v>
      </c>
      <c r="P5" s="2" t="str">
        <f>TEXT(WEEKDAY(DATE(AnnéeCalendrier,6,14),1),"jjj")</f>
        <v>jeu</v>
      </c>
      <c r="Q5" s="2" t="str">
        <f>TEXT(WEEKDAY(DATE(AnnéeCalendrier,6,15),1),"jjj")</f>
        <v>ven</v>
      </c>
      <c r="R5" s="2" t="str">
        <f>TEXT(WEEKDAY(DATE(AnnéeCalendrier,6,16),1),"jjj")</f>
        <v>sam</v>
      </c>
      <c r="S5" s="2" t="str">
        <f>TEXT(WEEKDAY(DATE(AnnéeCalendrier,6,17),1),"jjj")</f>
        <v>dim</v>
      </c>
      <c r="T5" s="2" t="str">
        <f>TEXT(WEEKDAY(DATE(AnnéeCalendrier,6,18),1),"jjj")</f>
        <v>lun</v>
      </c>
      <c r="U5" s="2" t="str">
        <f>TEXT(WEEKDAY(DATE(AnnéeCalendrier,6,19),1),"jjj")</f>
        <v>mar</v>
      </c>
      <c r="V5" s="2" t="str">
        <f>TEXT(WEEKDAY(DATE(AnnéeCalendrier,6,20),1),"jjj")</f>
        <v>mer</v>
      </c>
      <c r="W5" s="2" t="str">
        <f>TEXT(WEEKDAY(DATE(AnnéeCalendrier,6,21),1),"jjj")</f>
        <v>jeu</v>
      </c>
      <c r="X5" s="2" t="str">
        <f>TEXT(WEEKDAY(DATE(AnnéeCalendrier,6,22),1),"jjj")</f>
        <v>ven</v>
      </c>
      <c r="Y5" s="2" t="str">
        <f>TEXT(WEEKDAY(DATE(AnnéeCalendrier,6,23),1),"jjj")</f>
        <v>sam</v>
      </c>
      <c r="Z5" s="2" t="str">
        <f>TEXT(WEEKDAY(DATE(AnnéeCalendrier,6,24),1),"jjj")</f>
        <v>dim</v>
      </c>
      <c r="AA5" s="2" t="str">
        <f>TEXT(WEEKDAY(DATE(AnnéeCalendrier,6,25),1),"jjj")</f>
        <v>lun</v>
      </c>
      <c r="AB5" s="2" t="str">
        <f>TEXT(WEEKDAY(DATE(AnnéeCalendrier,6,26),1),"jjj")</f>
        <v>mar</v>
      </c>
      <c r="AC5" s="2" t="str">
        <f>TEXT(WEEKDAY(DATE(AnnéeCalendrier,6,27),1),"jjj")</f>
        <v>mer</v>
      </c>
      <c r="AD5" s="2" t="str">
        <f>TEXT(WEEKDAY(DATE(AnnéeCalendrier,6,28),1),"jjj")</f>
        <v>jeu</v>
      </c>
      <c r="AE5" s="2" t="str">
        <f>TEXT(WEEKDAY(DATE(AnnéeCalendrier,6,29),1),"jjj")</f>
        <v>ven</v>
      </c>
      <c r="AF5" s="2" t="str">
        <f>TEXT(WEEKDAY(DATE(AnnéeCalendrier,6,30),1),"jjj")</f>
        <v>sam</v>
      </c>
      <c r="AG5" s="2"/>
      <c r="AH5" s="10"/>
    </row>
    <row r="6" spans="2:34" ht="15" customHeight="1" x14ac:dyDescent="0.25">
      <c r="B6" s="13" t="s">
        <v>2</v>
      </c>
      <c r="C6" s="3" t="s">
        <v>9</v>
      </c>
      <c r="D6" s="3" t="s">
        <v>11</v>
      </c>
      <c r="E6" s="3" t="s">
        <v>12</v>
      </c>
      <c r="F6" s="3" t="s">
        <v>13</v>
      </c>
      <c r="G6" s="3" t="s">
        <v>15</v>
      </c>
      <c r="H6" s="3" t="s">
        <v>16</v>
      </c>
      <c r="I6" s="3" t="s">
        <v>17</v>
      </c>
      <c r="J6" s="3" t="s">
        <v>18</v>
      </c>
      <c r="K6" s="3" t="s">
        <v>19</v>
      </c>
      <c r="L6" s="3" t="s">
        <v>21</v>
      </c>
      <c r="M6" s="3" t="s">
        <v>22</v>
      </c>
      <c r="N6" s="3" t="s">
        <v>23</v>
      </c>
      <c r="O6" s="3" t="s">
        <v>24</v>
      </c>
      <c r="P6" s="3" t="s">
        <v>25</v>
      </c>
      <c r="Q6" s="3" t="s">
        <v>26</v>
      </c>
      <c r="R6" s="3" t="s">
        <v>27</v>
      </c>
      <c r="S6" s="3" t="s">
        <v>28</v>
      </c>
      <c r="T6" s="3" t="s">
        <v>29</v>
      </c>
      <c r="U6" s="3" t="s">
        <v>30</v>
      </c>
      <c r="V6" s="3" t="s">
        <v>31</v>
      </c>
      <c r="W6" s="3" t="s">
        <v>32</v>
      </c>
      <c r="X6" s="3" t="s">
        <v>33</v>
      </c>
      <c r="Y6" s="3" t="s">
        <v>34</v>
      </c>
      <c r="Z6" s="3" t="s">
        <v>35</v>
      </c>
      <c r="AA6" s="3" t="s">
        <v>36</v>
      </c>
      <c r="AB6" s="3" t="s">
        <v>37</v>
      </c>
      <c r="AC6" s="3" t="s">
        <v>38</v>
      </c>
      <c r="AD6" s="3" t="s">
        <v>39</v>
      </c>
      <c r="AE6" s="3" t="s">
        <v>40</v>
      </c>
      <c r="AF6" s="3" t="s">
        <v>41</v>
      </c>
      <c r="AG6" s="3" t="s">
        <v>42</v>
      </c>
      <c r="AH6" s="14" t="s">
        <v>44</v>
      </c>
    </row>
    <row r="7" spans="2:34" ht="30" customHeight="1" x14ac:dyDescent="0.25">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8">
        <f>COUNTA(Juin[[#This Row],[1]:[31]])</f>
        <v>0</v>
      </c>
    </row>
    <row r="8" spans="2:34" ht="30" customHeight="1" x14ac:dyDescent="0.25">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8">
        <f>COUNTA(Juin[[#This Row],[1]:[31]])</f>
        <v>0</v>
      </c>
    </row>
    <row r="9" spans="2:34" ht="30" customHeight="1" x14ac:dyDescent="0.25">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8">
        <f>COUNTA(Juin[[#This Row],[1]:[31]])</f>
        <v>0</v>
      </c>
    </row>
    <row r="10" spans="2:34" ht="30" customHeight="1" x14ac:dyDescent="0.25">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8">
        <f>COUNTA(Juin[[#This Row],[1]:[31]])</f>
        <v>0</v>
      </c>
    </row>
    <row r="11" spans="2:34" ht="30" customHeight="1" x14ac:dyDescent="0.25">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8">
        <f>COUNTA(Juin[[#This Row],[1]:[31]])</f>
        <v>0</v>
      </c>
    </row>
    <row r="12" spans="2:34" ht="30" customHeight="1" x14ac:dyDescent="0.25">
      <c r="B12" s="18" t="str">
        <f>NomMois&amp;" Total"</f>
        <v>Juin Total</v>
      </c>
      <c r="C12" s="11">
        <f>SUBTOTAL(103,Juin[1])</f>
        <v>0</v>
      </c>
      <c r="D12" s="11">
        <f>SUBTOTAL(103,Juin[2])</f>
        <v>0</v>
      </c>
      <c r="E12" s="11">
        <f>SUBTOTAL(103,Juin[3])</f>
        <v>0</v>
      </c>
      <c r="F12" s="11">
        <f>SUBTOTAL(103,Juin[4])</f>
        <v>0</v>
      </c>
      <c r="G12" s="11">
        <f>SUBTOTAL(103,Juin[5])</f>
        <v>0</v>
      </c>
      <c r="H12" s="11">
        <f>SUBTOTAL(103,Juin[6])</f>
        <v>0</v>
      </c>
      <c r="I12" s="11">
        <f>SUBTOTAL(103,Juin[7])</f>
        <v>0</v>
      </c>
      <c r="J12" s="11">
        <f>SUBTOTAL(103,Juin[8])</f>
        <v>0</v>
      </c>
      <c r="K12" s="11">
        <f>SUBTOTAL(103,Juin[9])</f>
        <v>0</v>
      </c>
      <c r="L12" s="11">
        <f>SUBTOTAL(103,Juin[10])</f>
        <v>0</v>
      </c>
      <c r="M12" s="11">
        <f>SUBTOTAL(103,Juin[11])</f>
        <v>0</v>
      </c>
      <c r="N12" s="11">
        <f>SUBTOTAL(103,Juin[12])</f>
        <v>0</v>
      </c>
      <c r="O12" s="11">
        <f>SUBTOTAL(103,Juin[13])</f>
        <v>0</v>
      </c>
      <c r="P12" s="11">
        <f>SUBTOTAL(103,Juin[14])</f>
        <v>0</v>
      </c>
      <c r="Q12" s="11">
        <f>SUBTOTAL(103,Juin[15])</f>
        <v>0</v>
      </c>
      <c r="R12" s="11">
        <f>SUBTOTAL(103,Juin[16])</f>
        <v>0</v>
      </c>
      <c r="S12" s="11">
        <f>SUBTOTAL(103,Juin[17])</f>
        <v>0</v>
      </c>
      <c r="T12" s="11">
        <f>SUBTOTAL(103,Juin[18])</f>
        <v>0</v>
      </c>
      <c r="U12" s="11">
        <f>SUBTOTAL(103,Juin[19])</f>
        <v>0</v>
      </c>
      <c r="V12" s="11">
        <f>SUBTOTAL(103,Juin[20])</f>
        <v>0</v>
      </c>
      <c r="W12" s="11">
        <f>SUBTOTAL(103,Juin[21])</f>
        <v>0</v>
      </c>
      <c r="X12" s="11">
        <f>SUBTOTAL(103,Juin[22])</f>
        <v>0</v>
      </c>
      <c r="Y12" s="11">
        <f>SUBTOTAL(103,Juin[23])</f>
        <v>0</v>
      </c>
      <c r="Z12" s="11">
        <f>SUBTOTAL(103,Juin[24])</f>
        <v>0</v>
      </c>
      <c r="AA12" s="11">
        <f>SUBTOTAL(103,Juin[25])</f>
        <v>0</v>
      </c>
      <c r="AB12" s="11">
        <f>SUBTOTAL(103,Juin[26])</f>
        <v>0</v>
      </c>
      <c r="AC12" s="11">
        <f>SUBTOTAL(103,Juin[27])</f>
        <v>0</v>
      </c>
      <c r="AD12" s="11">
        <f>SUBTOTAL(103,Juin[28])</f>
        <v>0</v>
      </c>
      <c r="AE12" s="11">
        <f>SUBTOTAL(103,Juin[29])</f>
        <v>0</v>
      </c>
      <c r="AF12" s="11">
        <f>SUBTOTAL(109,Juin[30])</f>
        <v>0</v>
      </c>
      <c r="AG12" s="11">
        <f>SUBTOTAL(109,Juin[31])</f>
        <v>0</v>
      </c>
      <c r="AH12" s="11">
        <f>SUBTOTAL(109,Juin[Total des jours])</f>
        <v>0</v>
      </c>
    </row>
  </sheetData>
  <mergeCells count="4">
    <mergeCell ref="C4:AG4"/>
    <mergeCell ref="D2:E2"/>
    <mergeCell ref="G2:I2"/>
    <mergeCell ref="K2:L2"/>
  </mergeCells>
  <conditionalFormatting sqref="C7:AG11">
    <cfRule type="expression" priority="1" stopIfTrue="1">
      <formula>C7=""</formula>
    </cfRule>
  </conditionalFormatting>
  <conditionalFormatting sqref="C7:AG11">
    <cfRule type="expression" dxfId="34" priority="2" stopIfTrue="1">
      <formula>C7=CléPersonnalisée2</formula>
    </cfRule>
    <cfRule type="expression" dxfId="33" priority="3" stopIfTrue="1">
      <formula>C7=CléPersonnalisée1</formula>
    </cfRule>
    <cfRule type="expression" dxfId="32" priority="4" stopIfTrue="1">
      <formula>C7=CléMaladie</formula>
    </cfRule>
    <cfRule type="expression" dxfId="31" priority="5" stopIfTrue="1">
      <formula>C7=CléPersonnel</formula>
    </cfRule>
    <cfRule type="expression" dxfId="30" priority="6" stopIfTrue="1">
      <formula>C7=CléCongé</formula>
    </cfRule>
  </conditionalFormatting>
  <conditionalFormatting sqref="AH7:AH11">
    <cfRule type="dataBar" priority="7">
      <dataBar>
        <cfvo type="min"/>
        <cfvo type="formula" val="DATEDIF(DATE(CalendarYear,2,1),DATE(CalendarYear,3,1),&quot;d&quot;)"/>
        <color theme="2" tint="-0.249977111117893"/>
      </dataBar>
      <extLst>
        <ext xmlns:x14="http://schemas.microsoft.com/office/spreadsheetml/2009/9/main" uri="{B025F937-C7B1-47D3-B67F-A62EFF666E3E}">
          <x14:id>{5E94D469-7B22-408B-924D-8DC8A136AD3B}</x14:id>
        </ext>
      </extLst>
    </cfRule>
  </conditionalFormatting>
  <dataValidations count="12">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500-000000000000}"/>
    <dataValidation allowBlank="1" showInputMessage="1" showErrorMessage="1" prompt="Année mise à jour automatiquement en fonction de l’année entrée dans la feuille de calcul Janvier" sqref="AH4" xr:uid="{00000000-0002-0000-0500-000001000000}"/>
    <dataValidation allowBlank="1" showInputMessage="1" showErrorMessage="1" prompt="Calcule automatiquement le nombre total de jours d’absence d’un employé durant ce mois dans cette colonne" sqref="AH6" xr:uid="{00000000-0002-0000-0500-000002000000}"/>
    <dataValidation allowBlank="1" showInputMessage="1" showErrorMessage="1" prompt="Suivez les absences du mois de juin dans cette feuille de calcul" sqref="A1" xr:uid="{00000000-0002-0000-05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500-000004000000}"/>
    <dataValidation allowBlank="1" showInputMessage="1" showErrorMessage="1" prompt="Le titre mis à jour automatiquement figure dans cette cellule. Pour modifier le titre, mettez à jour la cellule B1 de la feuille de calcul Janvier" sqref="B1" xr:uid="{00000000-0002-0000-0500-000005000000}"/>
    <dataValidation allowBlank="1" showInputMessage="1" showErrorMessage="1" prompt="La lettre « C » indique une absence pour cause de congé" sqref="C2" xr:uid="{00000000-0002-0000-0500-000006000000}"/>
    <dataValidation allowBlank="1" showInputMessage="1" showErrorMessage="1" prompt="La lettre « P » indique une absence pour motifs personnels" sqref="F2" xr:uid="{00000000-0002-0000-0500-000007000000}"/>
    <dataValidation allowBlank="1" showInputMessage="1" showErrorMessage="1" prompt="La lettre « M » indique une absence pour cause de maladie" sqref="J2" xr:uid="{00000000-0002-0000-0500-000008000000}"/>
    <dataValidation allowBlank="1" showInputMessage="1" showErrorMessage="1" prompt="Cette ligne définit les clés utilisées dans le tableau : Congé en C2, Personnel en F2 et Congé maladie en J2. Les cellules M2 et R2 sont personnalisables " sqref="B2" xr:uid="{00000000-0002-0000-0500-00000B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5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500-00000D000000}"/>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E94D469-7B22-408B-924D-8DC8A136AD3B}">
            <x14:dataBar minLength="0" maxLength="100">
              <x14:cfvo type="autoMin"/>
              <x14:cfvo type="formula">
                <xm:f>DATEDIF(DATE(CalendarYear,2,1),DATE(CalendarYear,3,1),"d")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500-00000E000000}">
          <x14:formula1>
            <xm:f>'Noms des employés'!$B$4:$B$8</xm:f>
          </x14:formula1>
          <xm:sqref>B7:B11</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tabColor theme="1"/>
    <pageSetUpPr fitToPage="1"/>
  </sheetPr>
  <dimension ref="A1:AH12"/>
  <sheetViews>
    <sheetView showGridLines="0" zoomScaleNormal="100" workbookViewId="0">
      <selection activeCell="C4" sqref="C4:AG4"/>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13.5703125" style="9" customWidth="1"/>
    <col min="35" max="35" width="2.7109375" customWidth="1"/>
  </cols>
  <sheetData>
    <row r="1" spans="2:34" ht="50.1" customHeight="1" x14ac:dyDescent="0.25">
      <c r="B1" s="12" t="str">
        <f>Titre_Absence_Employé</f>
        <v>Calendrier Mensuel</v>
      </c>
    </row>
    <row r="2" spans="2:34" ht="15" customHeight="1" x14ac:dyDescent="0.25">
      <c r="B2" s="24" t="s">
        <v>0</v>
      </c>
      <c r="C2" s="4" t="s">
        <v>8</v>
      </c>
      <c r="D2" s="22" t="s">
        <v>10</v>
      </c>
      <c r="E2" s="22"/>
      <c r="F2" s="5" t="s">
        <v>60</v>
      </c>
      <c r="G2" s="23" t="s">
        <v>61</v>
      </c>
      <c r="H2" s="22"/>
      <c r="I2" s="22"/>
      <c r="J2" s="6" t="s">
        <v>14</v>
      </c>
      <c r="K2" s="22" t="s">
        <v>20</v>
      </c>
      <c r="L2" s="22"/>
      <c r="Y2"/>
      <c r="Z2"/>
      <c r="AA2"/>
      <c r="AB2"/>
      <c r="AC2"/>
      <c r="AD2"/>
      <c r="AE2"/>
      <c r="AF2"/>
      <c r="AG2"/>
      <c r="AH2"/>
    </row>
    <row r="3" spans="2:34" ht="15" customHeight="1" x14ac:dyDescent="0.25">
      <c r="B3" s="12"/>
    </row>
    <row r="4" spans="2:34" ht="30" customHeight="1" x14ac:dyDescent="0.25">
      <c r="B4" s="10" t="s">
        <v>52</v>
      </c>
      <c r="C4" s="21" t="s">
        <v>63</v>
      </c>
      <c r="D4" s="21"/>
      <c r="E4" s="21"/>
      <c r="F4" s="21"/>
      <c r="G4" s="21"/>
      <c r="H4" s="21"/>
      <c r="I4" s="21"/>
      <c r="J4" s="21"/>
      <c r="K4" s="21"/>
      <c r="L4" s="21"/>
      <c r="M4" s="21"/>
      <c r="N4" s="21"/>
      <c r="O4" s="21"/>
      <c r="P4" s="21"/>
      <c r="Q4" s="21"/>
      <c r="R4" s="21"/>
      <c r="S4" s="21"/>
      <c r="T4" s="21"/>
      <c r="U4" s="21"/>
      <c r="V4" s="21"/>
      <c r="W4" s="21"/>
      <c r="X4" s="21"/>
      <c r="Y4" s="21"/>
      <c r="Z4" s="21"/>
      <c r="AA4" s="21"/>
      <c r="AB4" s="21"/>
      <c r="AC4" s="21"/>
      <c r="AD4" s="21"/>
      <c r="AE4" s="21"/>
      <c r="AF4" s="21"/>
      <c r="AG4" s="21"/>
      <c r="AH4" s="10">
        <f>AnnéeCalendrier</f>
        <v>2018</v>
      </c>
    </row>
    <row r="5" spans="2:34" ht="15" customHeight="1" x14ac:dyDescent="0.25">
      <c r="B5" s="10"/>
      <c r="C5" s="2" t="str">
        <f>TEXT(WEEKDAY(DATE(AnnéeCalendrier,7,1),1),"jjj")</f>
        <v>dim</v>
      </c>
      <c r="D5" s="2" t="str">
        <f>TEXT(WEEKDAY(DATE(AnnéeCalendrier,7,2),1),"jjj")</f>
        <v>lun</v>
      </c>
      <c r="E5" s="2" t="str">
        <f>TEXT(WEEKDAY(DATE(AnnéeCalendrier,7,3),1),"jjj")</f>
        <v>mar</v>
      </c>
      <c r="F5" s="2" t="str">
        <f>TEXT(WEEKDAY(DATE(AnnéeCalendrier,7,4),1),"jjj")</f>
        <v>mer</v>
      </c>
      <c r="G5" s="2" t="str">
        <f>TEXT(WEEKDAY(DATE(AnnéeCalendrier,7,5),1),"jjj")</f>
        <v>jeu</v>
      </c>
      <c r="H5" s="2" t="str">
        <f>TEXT(WEEKDAY(DATE(AnnéeCalendrier,7,6),1),"jjj")</f>
        <v>ven</v>
      </c>
      <c r="I5" s="2" t="str">
        <f>TEXT(WEEKDAY(DATE(AnnéeCalendrier,7,7),1),"jjj")</f>
        <v>sam</v>
      </c>
      <c r="J5" s="2" t="str">
        <f>TEXT(WEEKDAY(DATE(AnnéeCalendrier,7,8),1),"jjj")</f>
        <v>dim</v>
      </c>
      <c r="K5" s="2" t="str">
        <f>TEXT(WEEKDAY(DATE(AnnéeCalendrier,7,9),1),"jjj")</f>
        <v>lun</v>
      </c>
      <c r="L5" s="2" t="str">
        <f>TEXT(WEEKDAY(DATE(AnnéeCalendrier,7,10),1),"jjj")</f>
        <v>mar</v>
      </c>
      <c r="M5" s="2" t="str">
        <f>TEXT(WEEKDAY(DATE(AnnéeCalendrier,7,11),1),"jjj")</f>
        <v>mer</v>
      </c>
      <c r="N5" s="2" t="str">
        <f>TEXT(WEEKDAY(DATE(AnnéeCalendrier,7,12),1),"jjj")</f>
        <v>jeu</v>
      </c>
      <c r="O5" s="2" t="str">
        <f>TEXT(WEEKDAY(DATE(AnnéeCalendrier,7,13),1),"jjj")</f>
        <v>ven</v>
      </c>
      <c r="P5" s="2" t="str">
        <f>TEXT(WEEKDAY(DATE(AnnéeCalendrier,7,14),1),"jjj")</f>
        <v>sam</v>
      </c>
      <c r="Q5" s="2" t="str">
        <f>TEXT(WEEKDAY(DATE(AnnéeCalendrier,7,15),1),"jjj")</f>
        <v>dim</v>
      </c>
      <c r="R5" s="2" t="str">
        <f>TEXT(WEEKDAY(DATE(AnnéeCalendrier,7,16),1),"jjj")</f>
        <v>lun</v>
      </c>
      <c r="S5" s="2" t="str">
        <f>TEXT(WEEKDAY(DATE(AnnéeCalendrier,7,17),1),"jjj")</f>
        <v>mar</v>
      </c>
      <c r="T5" s="2" t="str">
        <f>TEXT(WEEKDAY(DATE(AnnéeCalendrier,7,18),1),"jjj")</f>
        <v>mer</v>
      </c>
      <c r="U5" s="2" t="str">
        <f>TEXT(WEEKDAY(DATE(AnnéeCalendrier,7,19),1),"jjj")</f>
        <v>jeu</v>
      </c>
      <c r="V5" s="2" t="str">
        <f>TEXT(WEEKDAY(DATE(AnnéeCalendrier,7,20),1),"jjj")</f>
        <v>ven</v>
      </c>
      <c r="W5" s="2" t="str">
        <f>TEXT(WEEKDAY(DATE(AnnéeCalendrier,7,21),1),"jjj")</f>
        <v>sam</v>
      </c>
      <c r="X5" s="2" t="str">
        <f>TEXT(WEEKDAY(DATE(AnnéeCalendrier,7,22),1),"jjj")</f>
        <v>dim</v>
      </c>
      <c r="Y5" s="2" t="str">
        <f>TEXT(WEEKDAY(DATE(AnnéeCalendrier,7,23),1),"jjj")</f>
        <v>lun</v>
      </c>
      <c r="Z5" s="2" t="str">
        <f>TEXT(WEEKDAY(DATE(AnnéeCalendrier,7,24),1),"jjj")</f>
        <v>mar</v>
      </c>
      <c r="AA5" s="2" t="str">
        <f>TEXT(WEEKDAY(DATE(AnnéeCalendrier,7,25),1),"jjj")</f>
        <v>mer</v>
      </c>
      <c r="AB5" s="2" t="str">
        <f>TEXT(WEEKDAY(DATE(AnnéeCalendrier,7,26),1),"jjj")</f>
        <v>jeu</v>
      </c>
      <c r="AC5" s="2" t="str">
        <f>TEXT(WEEKDAY(DATE(AnnéeCalendrier,7,27),1),"jjj")</f>
        <v>ven</v>
      </c>
      <c r="AD5" s="2" t="str">
        <f>TEXT(WEEKDAY(DATE(AnnéeCalendrier,7,28),1),"jjj")</f>
        <v>sam</v>
      </c>
      <c r="AE5" s="2" t="str">
        <f>TEXT(WEEKDAY(DATE(AnnéeCalendrier,7,29),1),"jjj")</f>
        <v>dim</v>
      </c>
      <c r="AF5" s="2" t="str">
        <f>TEXT(WEEKDAY(DATE(AnnéeCalendrier,7,30),1),"jjj")</f>
        <v>lun</v>
      </c>
      <c r="AG5" s="2" t="str">
        <f>TEXT(WEEKDAY(DATE(AnnéeCalendrier,7,31),1),"jjj")</f>
        <v>mar</v>
      </c>
      <c r="AH5" s="10"/>
    </row>
    <row r="6" spans="2:34" ht="15" customHeight="1" x14ac:dyDescent="0.25">
      <c r="B6" s="13" t="s">
        <v>2</v>
      </c>
      <c r="C6" s="3" t="s">
        <v>9</v>
      </c>
      <c r="D6" s="3" t="s">
        <v>11</v>
      </c>
      <c r="E6" s="3" t="s">
        <v>12</v>
      </c>
      <c r="F6" s="3" t="s">
        <v>13</v>
      </c>
      <c r="G6" s="3" t="s">
        <v>15</v>
      </c>
      <c r="H6" s="3" t="s">
        <v>16</v>
      </c>
      <c r="I6" s="3" t="s">
        <v>17</v>
      </c>
      <c r="J6" s="3" t="s">
        <v>18</v>
      </c>
      <c r="K6" s="3" t="s">
        <v>19</v>
      </c>
      <c r="L6" s="3" t="s">
        <v>21</v>
      </c>
      <c r="M6" s="3" t="s">
        <v>22</v>
      </c>
      <c r="N6" s="3" t="s">
        <v>23</v>
      </c>
      <c r="O6" s="3" t="s">
        <v>24</v>
      </c>
      <c r="P6" s="3" t="s">
        <v>25</v>
      </c>
      <c r="Q6" s="3" t="s">
        <v>26</v>
      </c>
      <c r="R6" s="3" t="s">
        <v>27</v>
      </c>
      <c r="S6" s="3" t="s">
        <v>28</v>
      </c>
      <c r="T6" s="3" t="s">
        <v>29</v>
      </c>
      <c r="U6" s="3" t="s">
        <v>30</v>
      </c>
      <c r="V6" s="3" t="s">
        <v>31</v>
      </c>
      <c r="W6" s="3" t="s">
        <v>32</v>
      </c>
      <c r="X6" s="3" t="s">
        <v>33</v>
      </c>
      <c r="Y6" s="3" t="s">
        <v>34</v>
      </c>
      <c r="Z6" s="3" t="s">
        <v>35</v>
      </c>
      <c r="AA6" s="3" t="s">
        <v>36</v>
      </c>
      <c r="AB6" s="3" t="s">
        <v>37</v>
      </c>
      <c r="AC6" s="3" t="s">
        <v>38</v>
      </c>
      <c r="AD6" s="3" t="s">
        <v>39</v>
      </c>
      <c r="AE6" s="3" t="s">
        <v>40</v>
      </c>
      <c r="AF6" s="3" t="s">
        <v>41</v>
      </c>
      <c r="AG6" s="3" t="s">
        <v>42</v>
      </c>
      <c r="AH6" s="14" t="s">
        <v>44</v>
      </c>
    </row>
    <row r="7" spans="2:34" ht="30" customHeight="1" x14ac:dyDescent="0.25">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8">
        <f>COUNTA(Juillet[[#This Row],[1]:[31]])</f>
        <v>0</v>
      </c>
    </row>
    <row r="8" spans="2:34" ht="30" customHeight="1" x14ac:dyDescent="0.25">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8">
        <f>COUNTA(Juillet[[#This Row],[1]:[31]])</f>
        <v>0</v>
      </c>
    </row>
    <row r="9" spans="2:34" ht="30" customHeight="1" x14ac:dyDescent="0.25">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8">
        <f>COUNTA(Juillet[[#This Row],[1]:[31]])</f>
        <v>0</v>
      </c>
    </row>
    <row r="10" spans="2:34" ht="30" customHeight="1" x14ac:dyDescent="0.25">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8">
        <f>COUNTA(Juillet[[#This Row],[1]:[31]])</f>
        <v>0</v>
      </c>
    </row>
    <row r="11" spans="2:34" ht="30" customHeight="1" x14ac:dyDescent="0.25">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8">
        <f>COUNTA(Juillet[[#This Row],[1]:[31]])</f>
        <v>0</v>
      </c>
    </row>
    <row r="12" spans="2:34" ht="30" customHeight="1" x14ac:dyDescent="0.25">
      <c r="B12" s="18" t="str">
        <f>NomMois&amp;" Total"</f>
        <v>Juillet Total</v>
      </c>
      <c r="C12" s="11">
        <f>SUBTOTAL(103,Juillet[1])</f>
        <v>0</v>
      </c>
      <c r="D12" s="11">
        <f>SUBTOTAL(103,Juillet[2])</f>
        <v>0</v>
      </c>
      <c r="E12" s="11">
        <f>SUBTOTAL(103,Juillet[3])</f>
        <v>0</v>
      </c>
      <c r="F12" s="11">
        <f>SUBTOTAL(103,Juillet[4])</f>
        <v>0</v>
      </c>
      <c r="G12" s="11">
        <f>SUBTOTAL(103,Juillet[5])</f>
        <v>0</v>
      </c>
      <c r="H12" s="11">
        <f>SUBTOTAL(103,Juillet[6])</f>
        <v>0</v>
      </c>
      <c r="I12" s="11">
        <f>SUBTOTAL(103,Juillet[7])</f>
        <v>0</v>
      </c>
      <c r="J12" s="11">
        <f>SUBTOTAL(103,Juillet[8])</f>
        <v>0</v>
      </c>
      <c r="K12" s="11">
        <f>SUBTOTAL(103,Juillet[9])</f>
        <v>0</v>
      </c>
      <c r="L12" s="11">
        <f>SUBTOTAL(103,Juillet[10])</f>
        <v>0</v>
      </c>
      <c r="M12" s="11">
        <f>SUBTOTAL(103,Juillet[11])</f>
        <v>0</v>
      </c>
      <c r="N12" s="11">
        <f>SUBTOTAL(103,Juillet[12])</f>
        <v>0</v>
      </c>
      <c r="O12" s="11">
        <f>SUBTOTAL(103,Juillet[13])</f>
        <v>0</v>
      </c>
      <c r="P12" s="11">
        <f>SUBTOTAL(103,Juillet[14])</f>
        <v>0</v>
      </c>
      <c r="Q12" s="11">
        <f>SUBTOTAL(103,Juillet[15])</f>
        <v>0</v>
      </c>
      <c r="R12" s="11">
        <f>SUBTOTAL(103,Juillet[16])</f>
        <v>0</v>
      </c>
      <c r="S12" s="11">
        <f>SUBTOTAL(103,Juillet[17])</f>
        <v>0</v>
      </c>
      <c r="T12" s="11">
        <f>SUBTOTAL(103,Juillet[18])</f>
        <v>0</v>
      </c>
      <c r="U12" s="11">
        <f>SUBTOTAL(103,Juillet[19])</f>
        <v>0</v>
      </c>
      <c r="V12" s="11">
        <f>SUBTOTAL(103,Juillet[20])</f>
        <v>0</v>
      </c>
      <c r="W12" s="11">
        <f>SUBTOTAL(103,Juillet[21])</f>
        <v>0</v>
      </c>
      <c r="X12" s="11">
        <f>SUBTOTAL(103,Juillet[22])</f>
        <v>0</v>
      </c>
      <c r="Y12" s="11">
        <f>SUBTOTAL(103,Juillet[23])</f>
        <v>0</v>
      </c>
      <c r="Z12" s="11">
        <f>SUBTOTAL(103,Juillet[24])</f>
        <v>0</v>
      </c>
      <c r="AA12" s="11">
        <f>SUBTOTAL(103,Juillet[25])</f>
        <v>0</v>
      </c>
      <c r="AB12" s="11">
        <f>SUBTOTAL(103,Juillet[26])</f>
        <v>0</v>
      </c>
      <c r="AC12" s="11">
        <f>SUBTOTAL(103,Juillet[27])</f>
        <v>0</v>
      </c>
      <c r="AD12" s="11">
        <f>SUBTOTAL(103,Juillet[28])</f>
        <v>0</v>
      </c>
      <c r="AE12" s="11">
        <f>SUBTOTAL(103,Juillet[29])</f>
        <v>0</v>
      </c>
      <c r="AF12" s="11">
        <f>SUBTOTAL(109,Juillet[30])</f>
        <v>0</v>
      </c>
      <c r="AG12" s="11">
        <f>SUBTOTAL(109,Juillet[31])</f>
        <v>0</v>
      </c>
      <c r="AH12" s="11">
        <f>SUBTOTAL(109,Juillet[Total des jours])</f>
        <v>0</v>
      </c>
    </row>
  </sheetData>
  <mergeCells count="4">
    <mergeCell ref="C4:AG4"/>
    <mergeCell ref="D2:E2"/>
    <mergeCell ref="G2:I2"/>
    <mergeCell ref="K2:L2"/>
  </mergeCells>
  <conditionalFormatting sqref="C7:AG11">
    <cfRule type="expression" priority="1" stopIfTrue="1">
      <formula>C7=""</formula>
    </cfRule>
  </conditionalFormatting>
  <conditionalFormatting sqref="C7:AG11">
    <cfRule type="expression" dxfId="29" priority="2" stopIfTrue="1">
      <formula>C7=CléPersonnalisée2</formula>
    </cfRule>
    <cfRule type="expression" dxfId="28" priority="3" stopIfTrue="1">
      <formula>C7=CléPersonnalisée1</formula>
    </cfRule>
    <cfRule type="expression" dxfId="27" priority="4" stopIfTrue="1">
      <formula>C7=CléMaladie</formula>
    </cfRule>
    <cfRule type="expression" dxfId="26" priority="5" stopIfTrue="1">
      <formula>C7=CléPersonnel</formula>
    </cfRule>
    <cfRule type="expression" dxfId="25" priority="6" stopIfTrue="1">
      <formula>C7=CléCongé</formula>
    </cfRule>
  </conditionalFormatting>
  <conditionalFormatting sqref="AH7:AH11">
    <cfRule type="dataBar" priority="7">
      <dataBar>
        <cfvo type="min"/>
        <cfvo type="formula" val="DATEDIF(DATE(CalendarYear,2,1),DATE(CalendarYear,3,1),&quot;d&quot;)"/>
        <color theme="2" tint="-0.249977111117893"/>
      </dataBar>
      <extLst>
        <ext xmlns:x14="http://schemas.microsoft.com/office/spreadsheetml/2009/9/main" uri="{B025F937-C7B1-47D3-B67F-A62EFF666E3E}">
          <x14:id>{E0DCF129-9B2A-4CEB-9E56-27607F4BED20}</x14:id>
        </ext>
      </extLst>
    </cfRule>
  </conditionalFormatting>
  <dataValidations count="12">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6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600-000001000000}"/>
    <dataValidation allowBlank="1" showInputMessage="1" showErrorMessage="1" prompt="Cette ligne définit les clés utilisées dans le tableau : Congé en C2, Personnel en F2 et Congé maladie en J2. Les cellules M2 et R2 sont personnalisables " sqref="B2" xr:uid="{00000000-0002-0000-0600-000002000000}"/>
    <dataValidation allowBlank="1" showInputMessage="1" showErrorMessage="1" prompt="La lettre « M » indique une absence pour cause de maladie" sqref="J2" xr:uid="{00000000-0002-0000-0600-000005000000}"/>
    <dataValidation allowBlank="1" showInputMessage="1" showErrorMessage="1" prompt="La lettre « P » indique une absence pour motifs personnels" sqref="F2" xr:uid="{00000000-0002-0000-0600-000006000000}"/>
    <dataValidation allowBlank="1" showInputMessage="1" showErrorMessage="1" prompt="La lettre « C » indique une absence pour cause de congé" sqref="C2" xr:uid="{00000000-0002-0000-0600-000007000000}"/>
    <dataValidation allowBlank="1" showInputMessage="1" showErrorMessage="1" prompt="Le titre mis à jour automatiquement figure dans cette cellule. Pour modifier le titre, mettez à jour la cellule B1 de la feuille de calcul Janvier" sqref="B1" xr:uid="{00000000-0002-0000-06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600-000009000000}"/>
    <dataValidation allowBlank="1" showInputMessage="1" showErrorMessage="1" prompt="Suivez les absences du mois de juillet dans cette feuille de calcul" sqref="A1" xr:uid="{00000000-0002-0000-0600-00000A000000}"/>
    <dataValidation allowBlank="1" showInputMessage="1" showErrorMessage="1" prompt="Calcule automatiquement le nombre total de jours d’absence d’un employé durant ce mois dans cette colonne" sqref="AH6" xr:uid="{00000000-0002-0000-0600-00000B000000}"/>
    <dataValidation allowBlank="1" showInputMessage="1" showErrorMessage="1" prompt="Année mise à jour automatiquement en fonction de l’année entrée dans la feuille de calcul Janvier" sqref="AH4" xr:uid="{00000000-0002-0000-06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600-00000D000000}"/>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0DCF129-9B2A-4CEB-9E56-27607F4BED20}">
            <x14:dataBar minLength="0" maxLength="100">
              <x14:cfvo type="autoMin"/>
              <x14:cfvo type="formula">
                <xm:f>DATEDIF(DATE(CalendarYear,2,1),DATE(CalendarYear,3,1),"d")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600-00000E000000}">
          <x14:formula1>
            <xm:f>'Noms des employés'!$B$4:$B$8</xm:f>
          </x14:formula1>
          <xm:sqref>B7:B11</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tabColor theme="2" tint="-0.749992370372631"/>
    <pageSetUpPr fitToPage="1"/>
  </sheetPr>
  <dimension ref="A1:AH12"/>
  <sheetViews>
    <sheetView showGridLines="0" zoomScaleNormal="100" workbookViewId="0">
      <selection activeCell="C4" sqref="C4:AG4"/>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13.5703125" style="9" customWidth="1"/>
    <col min="35" max="35" width="2.7109375" customWidth="1"/>
  </cols>
  <sheetData>
    <row r="1" spans="2:34" ht="50.1" customHeight="1" x14ac:dyDescent="0.25">
      <c r="B1" s="12" t="str">
        <f>Titre_Absence_Employé</f>
        <v>Calendrier Mensuel</v>
      </c>
    </row>
    <row r="2" spans="2:34" ht="15" customHeight="1" x14ac:dyDescent="0.25">
      <c r="B2" s="25" t="s">
        <v>0</v>
      </c>
      <c r="C2" s="4" t="s">
        <v>8</v>
      </c>
      <c r="D2" s="22" t="s">
        <v>10</v>
      </c>
      <c r="E2" s="22"/>
      <c r="F2" s="5" t="s">
        <v>60</v>
      </c>
      <c r="G2" s="23" t="s">
        <v>61</v>
      </c>
      <c r="H2" s="22"/>
      <c r="I2" s="22"/>
      <c r="J2" s="6" t="s">
        <v>14</v>
      </c>
      <c r="K2" s="22" t="s">
        <v>20</v>
      </c>
      <c r="L2" s="22"/>
      <c r="Y2"/>
      <c r="Z2"/>
      <c r="AA2"/>
      <c r="AB2"/>
      <c r="AC2"/>
      <c r="AD2"/>
      <c r="AE2"/>
      <c r="AF2"/>
      <c r="AG2"/>
      <c r="AH2"/>
    </row>
    <row r="3" spans="2:34" ht="15" customHeight="1" x14ac:dyDescent="0.25">
      <c r="B3" s="12"/>
    </row>
    <row r="4" spans="2:34" ht="30" customHeight="1" x14ac:dyDescent="0.25">
      <c r="B4" s="10" t="s">
        <v>53</v>
      </c>
      <c r="C4" s="21" t="s">
        <v>63</v>
      </c>
      <c r="D4" s="21"/>
      <c r="E4" s="21"/>
      <c r="F4" s="21"/>
      <c r="G4" s="21"/>
      <c r="H4" s="21"/>
      <c r="I4" s="21"/>
      <c r="J4" s="21"/>
      <c r="K4" s="21"/>
      <c r="L4" s="21"/>
      <c r="M4" s="21"/>
      <c r="N4" s="21"/>
      <c r="O4" s="21"/>
      <c r="P4" s="21"/>
      <c r="Q4" s="21"/>
      <c r="R4" s="21"/>
      <c r="S4" s="21"/>
      <c r="T4" s="21"/>
      <c r="U4" s="21"/>
      <c r="V4" s="21"/>
      <c r="W4" s="21"/>
      <c r="X4" s="21"/>
      <c r="Y4" s="21"/>
      <c r="Z4" s="21"/>
      <c r="AA4" s="21"/>
      <c r="AB4" s="21"/>
      <c r="AC4" s="21"/>
      <c r="AD4" s="21"/>
      <c r="AE4" s="21"/>
      <c r="AF4" s="21"/>
      <c r="AG4" s="21"/>
      <c r="AH4" s="10">
        <f>AnnéeCalendrier</f>
        <v>2018</v>
      </c>
    </row>
    <row r="5" spans="2:34" ht="15" customHeight="1" x14ac:dyDescent="0.25">
      <c r="B5" s="10"/>
      <c r="C5" s="2" t="str">
        <f>TEXT(WEEKDAY(DATE(AnnéeCalendrier,8,1),1),"jjj")</f>
        <v>mer</v>
      </c>
      <c r="D5" s="2" t="str">
        <f>TEXT(WEEKDAY(DATE(AnnéeCalendrier,8,2),1),"jjj")</f>
        <v>jeu</v>
      </c>
      <c r="E5" s="2" t="str">
        <f>TEXT(WEEKDAY(DATE(AnnéeCalendrier,8,3),1),"jjj")</f>
        <v>ven</v>
      </c>
      <c r="F5" s="2" t="str">
        <f>TEXT(WEEKDAY(DATE(AnnéeCalendrier,8,4),1),"jjj")</f>
        <v>sam</v>
      </c>
      <c r="G5" s="2" t="str">
        <f>TEXT(WEEKDAY(DATE(AnnéeCalendrier,8,5),1),"jjj")</f>
        <v>dim</v>
      </c>
      <c r="H5" s="2" t="str">
        <f>TEXT(WEEKDAY(DATE(AnnéeCalendrier,8,6),1),"jjj")</f>
        <v>lun</v>
      </c>
      <c r="I5" s="2" t="str">
        <f>TEXT(WEEKDAY(DATE(AnnéeCalendrier,8,7),1),"jjj")</f>
        <v>mar</v>
      </c>
      <c r="J5" s="2" t="str">
        <f>TEXT(WEEKDAY(DATE(AnnéeCalendrier,8,8),1),"jjj")</f>
        <v>mer</v>
      </c>
      <c r="K5" s="2" t="str">
        <f>TEXT(WEEKDAY(DATE(AnnéeCalendrier,8,9),1),"jjj")</f>
        <v>jeu</v>
      </c>
      <c r="L5" s="2" t="str">
        <f>TEXT(WEEKDAY(DATE(AnnéeCalendrier,8,10),1),"jjj")</f>
        <v>ven</v>
      </c>
      <c r="M5" s="2" t="str">
        <f>TEXT(WEEKDAY(DATE(AnnéeCalendrier,8,11),1),"jjj")</f>
        <v>sam</v>
      </c>
      <c r="N5" s="2" t="str">
        <f>TEXT(WEEKDAY(DATE(AnnéeCalendrier,8,12),1),"jjj")</f>
        <v>dim</v>
      </c>
      <c r="O5" s="2" t="str">
        <f>TEXT(WEEKDAY(DATE(AnnéeCalendrier,8,13),1),"jjj")</f>
        <v>lun</v>
      </c>
      <c r="P5" s="2" t="str">
        <f>TEXT(WEEKDAY(DATE(AnnéeCalendrier,8,14),1),"jjj")</f>
        <v>mar</v>
      </c>
      <c r="Q5" s="2" t="str">
        <f>TEXT(WEEKDAY(DATE(AnnéeCalendrier,8,15),1),"jjj")</f>
        <v>mer</v>
      </c>
      <c r="R5" s="2" t="str">
        <f>TEXT(WEEKDAY(DATE(AnnéeCalendrier,8,16),1),"jjj")</f>
        <v>jeu</v>
      </c>
      <c r="S5" s="2" t="str">
        <f>TEXT(WEEKDAY(DATE(AnnéeCalendrier,8,17),1),"jjj")</f>
        <v>ven</v>
      </c>
      <c r="T5" s="2" t="str">
        <f>TEXT(WEEKDAY(DATE(AnnéeCalendrier,8,18),1),"jjj")</f>
        <v>sam</v>
      </c>
      <c r="U5" s="2" t="str">
        <f>TEXT(WEEKDAY(DATE(AnnéeCalendrier,8,19),1),"jjj")</f>
        <v>dim</v>
      </c>
      <c r="V5" s="2" t="str">
        <f>TEXT(WEEKDAY(DATE(AnnéeCalendrier,8,20),1),"jjj")</f>
        <v>lun</v>
      </c>
      <c r="W5" s="2" t="str">
        <f>TEXT(WEEKDAY(DATE(AnnéeCalendrier,8,21),1),"jjj")</f>
        <v>mar</v>
      </c>
      <c r="X5" s="2" t="str">
        <f>TEXT(WEEKDAY(DATE(AnnéeCalendrier,8,22),1),"jjj")</f>
        <v>mer</v>
      </c>
      <c r="Y5" s="2" t="str">
        <f>TEXT(WEEKDAY(DATE(AnnéeCalendrier,8,23),1),"jjj")</f>
        <v>jeu</v>
      </c>
      <c r="Z5" s="2" t="str">
        <f>TEXT(WEEKDAY(DATE(AnnéeCalendrier,8,24),1),"jjj")</f>
        <v>ven</v>
      </c>
      <c r="AA5" s="2" t="str">
        <f>TEXT(WEEKDAY(DATE(AnnéeCalendrier,8,25),1),"jjj")</f>
        <v>sam</v>
      </c>
      <c r="AB5" s="2" t="str">
        <f>TEXT(WEEKDAY(DATE(AnnéeCalendrier,8,26),1),"jjj")</f>
        <v>dim</v>
      </c>
      <c r="AC5" s="2" t="str">
        <f>TEXT(WEEKDAY(DATE(AnnéeCalendrier,8,27),1),"jjj")</f>
        <v>lun</v>
      </c>
      <c r="AD5" s="2" t="str">
        <f>TEXT(WEEKDAY(DATE(AnnéeCalendrier,8,28),1),"jjj")</f>
        <v>mar</v>
      </c>
      <c r="AE5" s="2" t="str">
        <f>TEXT(WEEKDAY(DATE(AnnéeCalendrier,8,29),1),"jjj")</f>
        <v>mer</v>
      </c>
      <c r="AF5" s="2" t="str">
        <f>TEXT(WEEKDAY(DATE(AnnéeCalendrier,8,30),1),"jjj")</f>
        <v>jeu</v>
      </c>
      <c r="AG5" s="2" t="str">
        <f>TEXT(WEEKDAY(DATE(AnnéeCalendrier,8,31),1),"jjj")</f>
        <v>ven</v>
      </c>
      <c r="AH5" s="10"/>
    </row>
    <row r="6" spans="2:34" ht="15" customHeight="1" x14ac:dyDescent="0.25">
      <c r="B6" s="13" t="s">
        <v>2</v>
      </c>
      <c r="C6" s="3" t="s">
        <v>9</v>
      </c>
      <c r="D6" s="3" t="s">
        <v>11</v>
      </c>
      <c r="E6" s="3" t="s">
        <v>12</v>
      </c>
      <c r="F6" s="3" t="s">
        <v>13</v>
      </c>
      <c r="G6" s="3" t="s">
        <v>15</v>
      </c>
      <c r="H6" s="3" t="s">
        <v>16</v>
      </c>
      <c r="I6" s="3" t="s">
        <v>17</v>
      </c>
      <c r="J6" s="3" t="s">
        <v>18</v>
      </c>
      <c r="K6" s="3" t="s">
        <v>19</v>
      </c>
      <c r="L6" s="3" t="s">
        <v>21</v>
      </c>
      <c r="M6" s="3" t="s">
        <v>22</v>
      </c>
      <c r="N6" s="3" t="s">
        <v>23</v>
      </c>
      <c r="O6" s="3" t="s">
        <v>24</v>
      </c>
      <c r="P6" s="3" t="s">
        <v>25</v>
      </c>
      <c r="Q6" s="3" t="s">
        <v>26</v>
      </c>
      <c r="R6" s="3" t="s">
        <v>27</v>
      </c>
      <c r="S6" s="3" t="s">
        <v>28</v>
      </c>
      <c r="T6" s="3" t="s">
        <v>29</v>
      </c>
      <c r="U6" s="3" t="s">
        <v>30</v>
      </c>
      <c r="V6" s="3" t="s">
        <v>31</v>
      </c>
      <c r="W6" s="3" t="s">
        <v>32</v>
      </c>
      <c r="X6" s="3" t="s">
        <v>33</v>
      </c>
      <c r="Y6" s="3" t="s">
        <v>34</v>
      </c>
      <c r="Z6" s="3" t="s">
        <v>35</v>
      </c>
      <c r="AA6" s="3" t="s">
        <v>36</v>
      </c>
      <c r="AB6" s="3" t="s">
        <v>37</v>
      </c>
      <c r="AC6" s="3" t="s">
        <v>38</v>
      </c>
      <c r="AD6" s="3" t="s">
        <v>39</v>
      </c>
      <c r="AE6" s="3" t="s">
        <v>40</v>
      </c>
      <c r="AF6" s="3" t="s">
        <v>41</v>
      </c>
      <c r="AG6" s="3" t="s">
        <v>42</v>
      </c>
      <c r="AH6" s="14" t="s">
        <v>44</v>
      </c>
    </row>
    <row r="7" spans="2:34" ht="30" customHeight="1" x14ac:dyDescent="0.25">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8">
        <f>COUNTA(Août[[#This Row],[1]:[31]])</f>
        <v>0</v>
      </c>
    </row>
    <row r="8" spans="2:34" ht="30" customHeight="1" x14ac:dyDescent="0.25">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8">
        <f>COUNTA(Août[[#This Row],[1]:[31]])</f>
        <v>0</v>
      </c>
    </row>
    <row r="9" spans="2:34" ht="30" customHeight="1" x14ac:dyDescent="0.25">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8">
        <f>COUNTA(Août[[#This Row],[1]:[31]])</f>
        <v>0</v>
      </c>
    </row>
    <row r="10" spans="2:34" ht="30" customHeight="1" x14ac:dyDescent="0.25">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8">
        <f>COUNTA(Août[[#This Row],[1]:[31]])</f>
        <v>0</v>
      </c>
    </row>
    <row r="11" spans="2:34" ht="30" customHeight="1" x14ac:dyDescent="0.25">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8">
        <f>COUNTA(Août[[#This Row],[1]:[31]])</f>
        <v>0</v>
      </c>
    </row>
    <row r="12" spans="2:34" ht="30" customHeight="1" x14ac:dyDescent="0.25">
      <c r="B12" s="18" t="str">
        <f>NomMois&amp;" Total"</f>
        <v>Août Total</v>
      </c>
      <c r="C12" s="11">
        <f>SUBTOTAL(103,Août[1])</f>
        <v>0</v>
      </c>
      <c r="D12" s="11">
        <f>SUBTOTAL(103,Août[2])</f>
        <v>0</v>
      </c>
      <c r="E12" s="11">
        <f>SUBTOTAL(103,Août[3])</f>
        <v>0</v>
      </c>
      <c r="F12" s="11">
        <f>SUBTOTAL(103,Août[4])</f>
        <v>0</v>
      </c>
      <c r="G12" s="11">
        <f>SUBTOTAL(103,Août[5])</f>
        <v>0</v>
      </c>
      <c r="H12" s="11">
        <f>SUBTOTAL(103,Août[6])</f>
        <v>0</v>
      </c>
      <c r="I12" s="11">
        <f>SUBTOTAL(103,Août[7])</f>
        <v>0</v>
      </c>
      <c r="J12" s="11">
        <f>SUBTOTAL(103,Août[8])</f>
        <v>0</v>
      </c>
      <c r="K12" s="11">
        <f>SUBTOTAL(103,Août[9])</f>
        <v>0</v>
      </c>
      <c r="L12" s="11">
        <f>SUBTOTAL(103,Août[10])</f>
        <v>0</v>
      </c>
      <c r="M12" s="11">
        <f>SUBTOTAL(103,Août[11])</f>
        <v>0</v>
      </c>
      <c r="N12" s="11">
        <f>SUBTOTAL(103,Août[12])</f>
        <v>0</v>
      </c>
      <c r="O12" s="11">
        <f>SUBTOTAL(103,Août[13])</f>
        <v>0</v>
      </c>
      <c r="P12" s="11">
        <f>SUBTOTAL(103,Août[14])</f>
        <v>0</v>
      </c>
      <c r="Q12" s="11">
        <f>SUBTOTAL(103,Août[15])</f>
        <v>0</v>
      </c>
      <c r="R12" s="11">
        <f>SUBTOTAL(103,Août[16])</f>
        <v>0</v>
      </c>
      <c r="S12" s="11">
        <f>SUBTOTAL(103,Août[17])</f>
        <v>0</v>
      </c>
      <c r="T12" s="11">
        <f>SUBTOTAL(103,Août[18])</f>
        <v>0</v>
      </c>
      <c r="U12" s="11">
        <f>SUBTOTAL(103,Août[19])</f>
        <v>0</v>
      </c>
      <c r="V12" s="11">
        <f>SUBTOTAL(103,Août[20])</f>
        <v>0</v>
      </c>
      <c r="W12" s="11">
        <f>SUBTOTAL(103,Août[21])</f>
        <v>0</v>
      </c>
      <c r="X12" s="11">
        <f>SUBTOTAL(103,Août[22])</f>
        <v>0</v>
      </c>
      <c r="Y12" s="11">
        <f>SUBTOTAL(103,Août[23])</f>
        <v>0</v>
      </c>
      <c r="Z12" s="11">
        <f>SUBTOTAL(103,Août[24])</f>
        <v>0</v>
      </c>
      <c r="AA12" s="11">
        <f>SUBTOTAL(103,Août[25])</f>
        <v>0</v>
      </c>
      <c r="AB12" s="11">
        <f>SUBTOTAL(103,Août[26])</f>
        <v>0</v>
      </c>
      <c r="AC12" s="11">
        <f>SUBTOTAL(103,Août[27])</f>
        <v>0</v>
      </c>
      <c r="AD12" s="11">
        <f>SUBTOTAL(103,Août[28])</f>
        <v>0</v>
      </c>
      <c r="AE12" s="11">
        <f>SUBTOTAL(103,Août[29])</f>
        <v>0</v>
      </c>
      <c r="AF12" s="11">
        <f>SUBTOTAL(109,Août[30])</f>
        <v>0</v>
      </c>
      <c r="AG12" s="11">
        <f>SUBTOTAL(109,Août[31])</f>
        <v>0</v>
      </c>
      <c r="AH12" s="11">
        <f>SUBTOTAL(109,Août[Total des jours])</f>
        <v>0</v>
      </c>
    </row>
  </sheetData>
  <mergeCells count="4">
    <mergeCell ref="C4:AG4"/>
    <mergeCell ref="D2:E2"/>
    <mergeCell ref="G2:I2"/>
    <mergeCell ref="K2:L2"/>
  </mergeCells>
  <conditionalFormatting sqref="C7:AG11">
    <cfRule type="expression" priority="1" stopIfTrue="1">
      <formula>C7=""</formula>
    </cfRule>
  </conditionalFormatting>
  <conditionalFormatting sqref="C7:AG11">
    <cfRule type="expression" dxfId="24" priority="2" stopIfTrue="1">
      <formula>C7=CléPersonnalisée2</formula>
    </cfRule>
    <cfRule type="expression" dxfId="23" priority="3" stopIfTrue="1">
      <formula>C7=CléPersonnalisée1</formula>
    </cfRule>
    <cfRule type="expression" dxfId="22" priority="4" stopIfTrue="1">
      <formula>C7=CléMaladie</formula>
    </cfRule>
    <cfRule type="expression" dxfId="21" priority="5" stopIfTrue="1">
      <formula>C7=CléPersonnel</formula>
    </cfRule>
    <cfRule type="expression" dxfId="20" priority="6" stopIfTrue="1">
      <formula>C7=CléCongé</formula>
    </cfRule>
  </conditionalFormatting>
  <conditionalFormatting sqref="AH7:AH11">
    <cfRule type="dataBar" priority="7">
      <dataBar>
        <cfvo type="min"/>
        <cfvo type="formula" val="DATEDIF(DATE(CalendarYear,2,1),DATE(CalendarYear,3,1),&quot;d&quot;)"/>
        <color theme="2" tint="-0.249977111117893"/>
      </dataBar>
      <extLst>
        <ext xmlns:x14="http://schemas.microsoft.com/office/spreadsheetml/2009/9/main" uri="{B025F937-C7B1-47D3-B67F-A62EFF666E3E}">
          <x14:id>{09900229-9536-43AB-AAE0-FC121BDECD61}</x14:id>
        </ext>
      </extLst>
    </cfRule>
  </conditionalFormatting>
  <dataValidations count="12">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700-000000000000}"/>
    <dataValidation allowBlank="1" showInputMessage="1" showErrorMessage="1" prompt="Année mise à jour automatiquement en fonction de l’année entrée dans la feuille de calcul Janvier" sqref="AH4" xr:uid="{00000000-0002-0000-0700-000001000000}"/>
    <dataValidation allowBlank="1" showInputMessage="1" showErrorMessage="1" prompt="Calcule automatiquement le nombre total de jours d’absence d’un employé durant ce mois dans cette colonne" sqref="AH6" xr:uid="{00000000-0002-0000-0700-000002000000}"/>
    <dataValidation allowBlank="1" showInputMessage="1" showErrorMessage="1" prompt="Suivez les absences du mois d’août dans cette feuille de calcul" sqref="A1" xr:uid="{00000000-0002-0000-07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700-000004000000}"/>
    <dataValidation allowBlank="1" showInputMessage="1" showErrorMessage="1" prompt="Le titre mis à jour automatiquement figure dans cette cellule. Pour modifier le titre, mettez à jour la cellule B1 de la feuille de calcul Janvier" sqref="B1" xr:uid="{00000000-0002-0000-0700-000005000000}"/>
    <dataValidation allowBlank="1" showInputMessage="1" showErrorMessage="1" prompt="La lettre « C » indique une absence pour cause de congé" sqref="C2" xr:uid="{00000000-0002-0000-0700-000006000000}"/>
    <dataValidation allowBlank="1" showInputMessage="1" showErrorMessage="1" prompt="La lettre « P » indique une absence pour motifs personnels" sqref="F2" xr:uid="{00000000-0002-0000-0700-000007000000}"/>
    <dataValidation allowBlank="1" showInputMessage="1" showErrorMessage="1" prompt="La lettre « M » indique une absence pour cause de maladie" sqref="J2" xr:uid="{00000000-0002-0000-0700-000008000000}"/>
    <dataValidation allowBlank="1" showInputMessage="1" showErrorMessage="1" prompt="Cette ligne définit les clés utilisées dans le tableau : Congé en C2, Personnel en F2 et Congé maladie en J2. Les cellules M2 et R2 sont personnalisables  " sqref="B2" xr:uid="{00000000-0002-0000-0700-00000B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7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700-00000D000000}"/>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9900229-9536-43AB-AAE0-FC121BDECD61}">
            <x14:dataBar minLength="0" maxLength="100">
              <x14:cfvo type="autoMin"/>
              <x14:cfvo type="formula">
                <xm:f>DATEDIF(DATE(CalendarYear,2,1),DATE(CalendarYear,3,1),"d")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700-00000E000000}">
          <x14:formula1>
            <xm:f>'Noms des employés'!$B$4:$B$8</xm:f>
          </x14:formula1>
          <xm:sqref>B7:B11</xm:sqref>
        </x14:dataValidation>
      </x14:dataValidation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tabColor theme="2" tint="-0.499984740745262"/>
    <pageSetUpPr fitToPage="1"/>
  </sheetPr>
  <dimension ref="A1:AH12"/>
  <sheetViews>
    <sheetView showGridLines="0" zoomScaleNormal="100" workbookViewId="0">
      <selection activeCell="C4" sqref="C4:AG4"/>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13.5703125" style="9" customWidth="1"/>
    <col min="35" max="35" width="2.7109375" customWidth="1"/>
  </cols>
  <sheetData>
    <row r="1" spans="2:34" ht="50.1" customHeight="1" x14ac:dyDescent="0.25">
      <c r="B1" s="12" t="str">
        <f>Titre_Absence_Employé</f>
        <v>Calendrier Mensuel</v>
      </c>
    </row>
    <row r="2" spans="2:34" ht="15" customHeight="1" x14ac:dyDescent="0.25">
      <c r="B2" s="25" t="s">
        <v>0</v>
      </c>
      <c r="C2" s="4" t="s">
        <v>8</v>
      </c>
      <c r="D2" s="22" t="s">
        <v>10</v>
      </c>
      <c r="E2" s="22"/>
      <c r="F2" s="5" t="s">
        <v>60</v>
      </c>
      <c r="G2" s="23" t="s">
        <v>61</v>
      </c>
      <c r="H2" s="22"/>
      <c r="I2" s="22"/>
      <c r="J2" s="6" t="s">
        <v>14</v>
      </c>
      <c r="K2" s="22" t="s">
        <v>20</v>
      </c>
      <c r="L2" s="22"/>
      <c r="Y2"/>
      <c r="Z2"/>
      <c r="AA2"/>
      <c r="AB2"/>
      <c r="AC2"/>
      <c r="AD2"/>
      <c r="AE2"/>
      <c r="AF2"/>
      <c r="AG2"/>
      <c r="AH2"/>
    </row>
    <row r="3" spans="2:34" ht="15" customHeight="1" x14ac:dyDescent="0.25">
      <c r="B3" s="12"/>
    </row>
    <row r="4" spans="2:34" ht="30" customHeight="1" x14ac:dyDescent="0.25">
      <c r="B4" s="10" t="s">
        <v>54</v>
      </c>
      <c r="C4" s="21" t="s">
        <v>63</v>
      </c>
      <c r="D4" s="21"/>
      <c r="E4" s="21"/>
      <c r="F4" s="21"/>
      <c r="G4" s="21"/>
      <c r="H4" s="21"/>
      <c r="I4" s="21"/>
      <c r="J4" s="21"/>
      <c r="K4" s="21"/>
      <c r="L4" s="21"/>
      <c r="M4" s="21"/>
      <c r="N4" s="21"/>
      <c r="O4" s="21"/>
      <c r="P4" s="21"/>
      <c r="Q4" s="21"/>
      <c r="R4" s="21"/>
      <c r="S4" s="21"/>
      <c r="T4" s="21"/>
      <c r="U4" s="21"/>
      <c r="V4" s="21"/>
      <c r="W4" s="21"/>
      <c r="X4" s="21"/>
      <c r="Y4" s="21"/>
      <c r="Z4" s="21"/>
      <c r="AA4" s="21"/>
      <c r="AB4" s="21"/>
      <c r="AC4" s="21"/>
      <c r="AD4" s="21"/>
      <c r="AE4" s="21"/>
      <c r="AF4" s="21"/>
      <c r="AG4" s="21"/>
      <c r="AH4" s="10">
        <f>AnnéeCalendrier</f>
        <v>2018</v>
      </c>
    </row>
    <row r="5" spans="2:34" ht="15" customHeight="1" x14ac:dyDescent="0.25">
      <c r="B5" s="10"/>
      <c r="C5" s="2" t="str">
        <f>TEXT(WEEKDAY(DATE(AnnéeCalendrier,9,1),1),"jjj")</f>
        <v>sam</v>
      </c>
      <c r="D5" s="2" t="str">
        <f>TEXT(WEEKDAY(DATE(AnnéeCalendrier,9,2),1),"jjj")</f>
        <v>dim</v>
      </c>
      <c r="E5" s="2" t="str">
        <f>TEXT(WEEKDAY(DATE(AnnéeCalendrier,9,3),1),"jjj")</f>
        <v>lun</v>
      </c>
      <c r="F5" s="2" t="str">
        <f>TEXT(WEEKDAY(DATE(AnnéeCalendrier,9,4),1),"jjj")</f>
        <v>mar</v>
      </c>
      <c r="G5" s="2" t="str">
        <f>TEXT(WEEKDAY(DATE(AnnéeCalendrier,9,5),1),"jjj")</f>
        <v>mer</v>
      </c>
      <c r="H5" s="2" t="str">
        <f>TEXT(WEEKDAY(DATE(AnnéeCalendrier,9,6),1),"jjj")</f>
        <v>jeu</v>
      </c>
      <c r="I5" s="2" t="str">
        <f>TEXT(WEEKDAY(DATE(AnnéeCalendrier,9,7),1),"jjj")</f>
        <v>ven</v>
      </c>
      <c r="J5" s="2" t="str">
        <f>TEXT(WEEKDAY(DATE(AnnéeCalendrier,9,8),1),"jjj")</f>
        <v>sam</v>
      </c>
      <c r="K5" s="2" t="str">
        <f>TEXT(WEEKDAY(DATE(AnnéeCalendrier,9,9),1),"jjj")</f>
        <v>dim</v>
      </c>
      <c r="L5" s="2" t="str">
        <f>TEXT(WEEKDAY(DATE(AnnéeCalendrier,9,10),1),"jjj")</f>
        <v>lun</v>
      </c>
      <c r="M5" s="2" t="str">
        <f>TEXT(WEEKDAY(DATE(AnnéeCalendrier,9,11),1),"jjj")</f>
        <v>mar</v>
      </c>
      <c r="N5" s="2" t="str">
        <f>TEXT(WEEKDAY(DATE(AnnéeCalendrier,9,12),1),"jjj")</f>
        <v>mer</v>
      </c>
      <c r="O5" s="2" t="str">
        <f>TEXT(WEEKDAY(DATE(AnnéeCalendrier,9,13),1),"jjj")</f>
        <v>jeu</v>
      </c>
      <c r="P5" s="2" t="str">
        <f>TEXT(WEEKDAY(DATE(AnnéeCalendrier,9,14),1),"jjj")</f>
        <v>ven</v>
      </c>
      <c r="Q5" s="2" t="str">
        <f>TEXT(WEEKDAY(DATE(AnnéeCalendrier,9,15),1),"jjj")</f>
        <v>sam</v>
      </c>
      <c r="R5" s="2" t="str">
        <f>TEXT(WEEKDAY(DATE(AnnéeCalendrier,9,16),1),"jjj")</f>
        <v>dim</v>
      </c>
      <c r="S5" s="2" t="str">
        <f>TEXT(WEEKDAY(DATE(AnnéeCalendrier,9,17),1),"jjj")</f>
        <v>lun</v>
      </c>
      <c r="T5" s="2" t="str">
        <f>TEXT(WEEKDAY(DATE(AnnéeCalendrier,9,18),1),"jjj")</f>
        <v>mar</v>
      </c>
      <c r="U5" s="2" t="str">
        <f>TEXT(WEEKDAY(DATE(AnnéeCalendrier,9,19),1),"jjj")</f>
        <v>mer</v>
      </c>
      <c r="V5" s="2" t="str">
        <f>TEXT(WEEKDAY(DATE(AnnéeCalendrier,9,20),1),"jjj")</f>
        <v>jeu</v>
      </c>
      <c r="W5" s="2" t="str">
        <f>TEXT(WEEKDAY(DATE(AnnéeCalendrier,9,21),1),"jjj")</f>
        <v>ven</v>
      </c>
      <c r="X5" s="2" t="str">
        <f>TEXT(WEEKDAY(DATE(AnnéeCalendrier,9,22),1),"jjj")</f>
        <v>sam</v>
      </c>
      <c r="Y5" s="2" t="str">
        <f>TEXT(WEEKDAY(DATE(AnnéeCalendrier,9,23),1),"jjj")</f>
        <v>dim</v>
      </c>
      <c r="Z5" s="2" t="str">
        <f>TEXT(WEEKDAY(DATE(AnnéeCalendrier,9,24),1),"jjj")</f>
        <v>lun</v>
      </c>
      <c r="AA5" s="2" t="str">
        <f>TEXT(WEEKDAY(DATE(AnnéeCalendrier,9,25),1),"jjj")</f>
        <v>mar</v>
      </c>
      <c r="AB5" s="2" t="str">
        <f>TEXT(WEEKDAY(DATE(AnnéeCalendrier,9,26),1),"jjj")</f>
        <v>mer</v>
      </c>
      <c r="AC5" s="2" t="str">
        <f>TEXT(WEEKDAY(DATE(AnnéeCalendrier,9,27),1),"jjj")</f>
        <v>jeu</v>
      </c>
      <c r="AD5" s="2" t="str">
        <f>TEXT(WEEKDAY(DATE(AnnéeCalendrier,9,28),1),"jjj")</f>
        <v>ven</v>
      </c>
      <c r="AE5" s="2" t="str">
        <f>TEXT(WEEKDAY(DATE(AnnéeCalendrier,9,29),1),"jjj")</f>
        <v>sam</v>
      </c>
      <c r="AF5" s="2" t="str">
        <f>TEXT(WEEKDAY(DATE(AnnéeCalendrier,9,30),1),"jjj")</f>
        <v>dim</v>
      </c>
      <c r="AG5" s="2"/>
      <c r="AH5" s="10"/>
    </row>
    <row r="6" spans="2:34" ht="15" customHeight="1" x14ac:dyDescent="0.25">
      <c r="B6" s="13" t="s">
        <v>2</v>
      </c>
      <c r="C6" s="3" t="s">
        <v>9</v>
      </c>
      <c r="D6" s="3" t="s">
        <v>11</v>
      </c>
      <c r="E6" s="3" t="s">
        <v>12</v>
      </c>
      <c r="F6" s="3" t="s">
        <v>13</v>
      </c>
      <c r="G6" s="3" t="s">
        <v>15</v>
      </c>
      <c r="H6" s="3" t="s">
        <v>16</v>
      </c>
      <c r="I6" s="3" t="s">
        <v>17</v>
      </c>
      <c r="J6" s="3" t="s">
        <v>18</v>
      </c>
      <c r="K6" s="3" t="s">
        <v>19</v>
      </c>
      <c r="L6" s="3" t="s">
        <v>21</v>
      </c>
      <c r="M6" s="3" t="s">
        <v>22</v>
      </c>
      <c r="N6" s="3" t="s">
        <v>23</v>
      </c>
      <c r="O6" s="3" t="s">
        <v>24</v>
      </c>
      <c r="P6" s="3" t="s">
        <v>25</v>
      </c>
      <c r="Q6" s="3" t="s">
        <v>26</v>
      </c>
      <c r="R6" s="3" t="s">
        <v>27</v>
      </c>
      <c r="S6" s="3" t="s">
        <v>28</v>
      </c>
      <c r="T6" s="3" t="s">
        <v>29</v>
      </c>
      <c r="U6" s="3" t="s">
        <v>30</v>
      </c>
      <c r="V6" s="3" t="s">
        <v>31</v>
      </c>
      <c r="W6" s="3" t="s">
        <v>32</v>
      </c>
      <c r="X6" s="3" t="s">
        <v>33</v>
      </c>
      <c r="Y6" s="3" t="s">
        <v>34</v>
      </c>
      <c r="Z6" s="3" t="s">
        <v>35</v>
      </c>
      <c r="AA6" s="3" t="s">
        <v>36</v>
      </c>
      <c r="AB6" s="3" t="s">
        <v>37</v>
      </c>
      <c r="AC6" s="3" t="s">
        <v>38</v>
      </c>
      <c r="AD6" s="3" t="s">
        <v>39</v>
      </c>
      <c r="AE6" s="3" t="s">
        <v>40</v>
      </c>
      <c r="AF6" s="3" t="s">
        <v>41</v>
      </c>
      <c r="AG6" s="3" t="s">
        <v>42</v>
      </c>
      <c r="AH6" s="14" t="s">
        <v>44</v>
      </c>
    </row>
    <row r="7" spans="2:34" ht="30" customHeight="1" x14ac:dyDescent="0.25">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8">
        <f>COUNTA(Septembre[[#This Row],[1]:[31]])</f>
        <v>0</v>
      </c>
    </row>
    <row r="8" spans="2:34" ht="30" customHeight="1" x14ac:dyDescent="0.25">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8">
        <f>COUNTA(Septembre[[#This Row],[1]:[31]])</f>
        <v>0</v>
      </c>
    </row>
    <row r="9" spans="2:34" ht="30" customHeight="1" x14ac:dyDescent="0.25">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8">
        <f>COUNTA(Septembre[[#This Row],[1]:[31]])</f>
        <v>0</v>
      </c>
    </row>
    <row r="10" spans="2:34" ht="30" customHeight="1" x14ac:dyDescent="0.25">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8">
        <f>COUNTA(Septembre[[#This Row],[1]:[31]])</f>
        <v>0</v>
      </c>
    </row>
    <row r="11" spans="2:34" ht="30" customHeight="1" x14ac:dyDescent="0.25">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8">
        <f>COUNTA(Septembre[[#This Row],[1]:[31]])</f>
        <v>0</v>
      </c>
    </row>
    <row r="12" spans="2:34" ht="30" customHeight="1" x14ac:dyDescent="0.25">
      <c r="B12" s="18" t="str">
        <f>NomMois&amp;" Total"</f>
        <v>Septembre Total</v>
      </c>
      <c r="C12" s="11">
        <f>SUBTOTAL(103,Septembre[1])</f>
        <v>0</v>
      </c>
      <c r="D12" s="11">
        <f>SUBTOTAL(103,Septembre[2])</f>
        <v>0</v>
      </c>
      <c r="E12" s="11">
        <f>SUBTOTAL(103,Septembre[3])</f>
        <v>0</v>
      </c>
      <c r="F12" s="11">
        <f>SUBTOTAL(103,Septembre[4])</f>
        <v>0</v>
      </c>
      <c r="G12" s="11">
        <f>SUBTOTAL(103,Septembre[5])</f>
        <v>0</v>
      </c>
      <c r="H12" s="11">
        <f>SUBTOTAL(103,Septembre[6])</f>
        <v>0</v>
      </c>
      <c r="I12" s="11">
        <f>SUBTOTAL(103,Septembre[7])</f>
        <v>0</v>
      </c>
      <c r="J12" s="11">
        <f>SUBTOTAL(103,Septembre[8])</f>
        <v>0</v>
      </c>
      <c r="K12" s="11">
        <f>SUBTOTAL(103,Septembre[9])</f>
        <v>0</v>
      </c>
      <c r="L12" s="11">
        <f>SUBTOTAL(103,Septembre[10])</f>
        <v>0</v>
      </c>
      <c r="M12" s="11">
        <f>SUBTOTAL(103,Septembre[11])</f>
        <v>0</v>
      </c>
      <c r="N12" s="11">
        <f>SUBTOTAL(103,Septembre[12])</f>
        <v>0</v>
      </c>
      <c r="O12" s="11">
        <f>SUBTOTAL(103,Septembre[13])</f>
        <v>0</v>
      </c>
      <c r="P12" s="11">
        <f>SUBTOTAL(103,Septembre[14])</f>
        <v>0</v>
      </c>
      <c r="Q12" s="11">
        <f>SUBTOTAL(103,Septembre[15])</f>
        <v>0</v>
      </c>
      <c r="R12" s="11">
        <f>SUBTOTAL(103,Septembre[16])</f>
        <v>0</v>
      </c>
      <c r="S12" s="11">
        <f>SUBTOTAL(103,Septembre[17])</f>
        <v>0</v>
      </c>
      <c r="T12" s="11">
        <f>SUBTOTAL(103,Septembre[18])</f>
        <v>0</v>
      </c>
      <c r="U12" s="11">
        <f>SUBTOTAL(103,Septembre[19])</f>
        <v>0</v>
      </c>
      <c r="V12" s="11">
        <f>SUBTOTAL(103,Septembre[20])</f>
        <v>0</v>
      </c>
      <c r="W12" s="11">
        <f>SUBTOTAL(103,Septembre[21])</f>
        <v>0</v>
      </c>
      <c r="X12" s="11">
        <f>SUBTOTAL(103,Septembre[22])</f>
        <v>0</v>
      </c>
      <c r="Y12" s="11">
        <f>SUBTOTAL(103,Septembre[23])</f>
        <v>0</v>
      </c>
      <c r="Z12" s="11">
        <f>SUBTOTAL(103,Septembre[24])</f>
        <v>0</v>
      </c>
      <c r="AA12" s="11">
        <f>SUBTOTAL(103,Septembre[25])</f>
        <v>0</v>
      </c>
      <c r="AB12" s="11">
        <f>SUBTOTAL(103,Septembre[26])</f>
        <v>0</v>
      </c>
      <c r="AC12" s="11">
        <f>SUBTOTAL(103,Septembre[27])</f>
        <v>0</v>
      </c>
      <c r="AD12" s="11">
        <f>SUBTOTAL(103,Septembre[28])</f>
        <v>0</v>
      </c>
      <c r="AE12" s="11">
        <f>SUBTOTAL(103,Septembre[29])</f>
        <v>0</v>
      </c>
      <c r="AF12" s="11">
        <f>SUBTOTAL(109,Septembre[30])</f>
        <v>0</v>
      </c>
      <c r="AG12" s="11">
        <f>SUBTOTAL(109,Septembre[31])</f>
        <v>0</v>
      </c>
      <c r="AH12" s="11">
        <f>SUBTOTAL(109,Septembre[Total des jours])</f>
        <v>0</v>
      </c>
    </row>
  </sheetData>
  <mergeCells count="4">
    <mergeCell ref="C4:AG4"/>
    <mergeCell ref="D2:E2"/>
    <mergeCell ref="G2:I2"/>
    <mergeCell ref="K2:L2"/>
  </mergeCells>
  <conditionalFormatting sqref="C7:AG11">
    <cfRule type="expression" priority="1" stopIfTrue="1">
      <formula>C7=""</formula>
    </cfRule>
  </conditionalFormatting>
  <conditionalFormatting sqref="C7:AG11">
    <cfRule type="expression" dxfId="19" priority="2" stopIfTrue="1">
      <formula>C7=CléPersonnalisée2</formula>
    </cfRule>
    <cfRule type="expression" dxfId="18" priority="3" stopIfTrue="1">
      <formula>C7=CléPersonnalisée1</formula>
    </cfRule>
    <cfRule type="expression" dxfId="17" priority="4" stopIfTrue="1">
      <formula>C7=CléMaladie</formula>
    </cfRule>
    <cfRule type="expression" dxfId="16" priority="5" stopIfTrue="1">
      <formula>C7=CléPersonnel</formula>
    </cfRule>
    <cfRule type="expression" dxfId="15" priority="6" stopIfTrue="1">
      <formula>C7=CléCongé</formula>
    </cfRule>
  </conditionalFormatting>
  <conditionalFormatting sqref="AH7:AH11">
    <cfRule type="dataBar" priority="7">
      <dataBar>
        <cfvo type="min"/>
        <cfvo type="formula" val="DATEDIF(DATE(CalendarYear,2,1),DATE(CalendarYear,3,1),&quot;d&quot;)"/>
        <color theme="2" tint="-0.249977111117893"/>
      </dataBar>
      <extLst>
        <ext xmlns:x14="http://schemas.microsoft.com/office/spreadsheetml/2009/9/main" uri="{B025F937-C7B1-47D3-B67F-A62EFF666E3E}">
          <x14:id>{1A021984-06A1-41D9-90D2-8C16E885020B}</x14:id>
        </ext>
      </extLst>
    </cfRule>
  </conditionalFormatting>
  <dataValidations count="12">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8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800-000001000000}"/>
    <dataValidation allowBlank="1" showInputMessage="1" showErrorMessage="1" prompt="Cette ligne définit les clés utilisées dans le tableau : Congé en C2, Personnel en F2 et Congé maladie en J2. Les cellules M2 et R2 sont personnalisables " sqref="B2" xr:uid="{00000000-0002-0000-0800-000002000000}"/>
    <dataValidation allowBlank="1" showInputMessage="1" showErrorMessage="1" prompt="La lettre « M » indique une absence pour cause de maladie" sqref="J2" xr:uid="{00000000-0002-0000-0800-000005000000}"/>
    <dataValidation allowBlank="1" showInputMessage="1" showErrorMessage="1" prompt="La lettre « P » indique une absence pour motifs personnels" sqref="F2" xr:uid="{00000000-0002-0000-0800-000006000000}"/>
    <dataValidation allowBlank="1" showInputMessage="1" showErrorMessage="1" prompt="La lettre « C » indique une absence pour cause de congé" sqref="C2" xr:uid="{00000000-0002-0000-0800-000007000000}"/>
    <dataValidation allowBlank="1" showInputMessage="1" showErrorMessage="1" prompt="Le titre mis à jour automatiquement figure dans cette cellule. Pour modifier le titre, mettez à jour la cellule B1 de la feuille de calcul Janvier" sqref="B1" xr:uid="{00000000-0002-0000-08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800-000009000000}"/>
    <dataValidation allowBlank="1" showInputMessage="1" showErrorMessage="1" prompt="Suivez les absences du mois de septembre dans cette feuille de calcul" sqref="A1" xr:uid="{00000000-0002-0000-0800-00000A000000}"/>
    <dataValidation allowBlank="1" showInputMessage="1" showErrorMessage="1" prompt="Calcule automatiquement le nombre total de jours d’absence d’un employé durant ce mois dans cette colonne" sqref="AH6" xr:uid="{00000000-0002-0000-0800-00000B000000}"/>
    <dataValidation allowBlank="1" showInputMessage="1" showErrorMessage="1" prompt="Année mise à jour automatiquement en fonction de l’année entrée dans la feuille de calcul Janvier" sqref="AH4" xr:uid="{00000000-0002-0000-08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800-00000D000000}"/>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A021984-06A1-41D9-90D2-8C16E885020B}">
            <x14:dataBar minLength="0" maxLength="100">
              <x14:cfvo type="autoMin"/>
              <x14:cfvo type="formula">
                <xm:f>DATEDIF(DATE(CalendarYear,2,1),DATE(CalendarYear,3,1),"d")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800-00000E000000}">
          <x14:formula1>
            <xm:f>'Noms des employés'!$B$4:$B$8</xm:f>
          </x14:formula1>
          <xm:sqref>B7:B11</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tabColor theme="2" tint="-0.249977111117893"/>
    <pageSetUpPr fitToPage="1"/>
  </sheetPr>
  <dimension ref="A1:AH12"/>
  <sheetViews>
    <sheetView showGridLines="0" zoomScaleNormal="100" workbookViewId="0">
      <selection activeCell="C4" sqref="C4:AG4"/>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13.5703125" style="9" customWidth="1"/>
    <col min="35" max="35" width="2.7109375" customWidth="1"/>
  </cols>
  <sheetData>
    <row r="1" spans="2:34" ht="50.1" customHeight="1" x14ac:dyDescent="0.25">
      <c r="B1" s="12" t="str">
        <f>Titre_Absence_Employé</f>
        <v>Calendrier Mensuel</v>
      </c>
    </row>
    <row r="2" spans="2:34" ht="15" customHeight="1" x14ac:dyDescent="0.25">
      <c r="B2" s="25" t="s">
        <v>0</v>
      </c>
      <c r="C2" s="4" t="s">
        <v>8</v>
      </c>
      <c r="D2" s="22" t="s">
        <v>10</v>
      </c>
      <c r="E2" s="22"/>
      <c r="F2" s="5" t="s">
        <v>60</v>
      </c>
      <c r="G2" s="23" t="s">
        <v>61</v>
      </c>
      <c r="H2" s="22"/>
      <c r="I2" s="22"/>
      <c r="J2" s="6" t="s">
        <v>14</v>
      </c>
      <c r="K2" s="22" t="s">
        <v>20</v>
      </c>
      <c r="L2" s="22"/>
      <c r="Y2"/>
      <c r="Z2"/>
      <c r="AA2"/>
      <c r="AB2"/>
      <c r="AC2"/>
      <c r="AD2"/>
      <c r="AE2"/>
      <c r="AF2"/>
      <c r="AG2"/>
      <c r="AH2"/>
    </row>
    <row r="3" spans="2:34" ht="15" customHeight="1" x14ac:dyDescent="0.25">
      <c r="B3" s="12"/>
    </row>
    <row r="4" spans="2:34" ht="30" customHeight="1" x14ac:dyDescent="0.25">
      <c r="B4" s="10" t="s">
        <v>55</v>
      </c>
      <c r="C4" s="21" t="s">
        <v>63</v>
      </c>
      <c r="D4" s="21"/>
      <c r="E4" s="21"/>
      <c r="F4" s="21"/>
      <c r="G4" s="21"/>
      <c r="H4" s="21"/>
      <c r="I4" s="21"/>
      <c r="J4" s="21"/>
      <c r="K4" s="21"/>
      <c r="L4" s="21"/>
      <c r="M4" s="21"/>
      <c r="N4" s="21"/>
      <c r="O4" s="21"/>
      <c r="P4" s="21"/>
      <c r="Q4" s="21"/>
      <c r="R4" s="21"/>
      <c r="S4" s="21"/>
      <c r="T4" s="21"/>
      <c r="U4" s="21"/>
      <c r="V4" s="21"/>
      <c r="W4" s="21"/>
      <c r="X4" s="21"/>
      <c r="Y4" s="21"/>
      <c r="Z4" s="21"/>
      <c r="AA4" s="21"/>
      <c r="AB4" s="21"/>
      <c r="AC4" s="21"/>
      <c r="AD4" s="21"/>
      <c r="AE4" s="21"/>
      <c r="AF4" s="21"/>
      <c r="AG4" s="21"/>
      <c r="AH4" s="10">
        <f>AnnéeCalendrier</f>
        <v>2018</v>
      </c>
    </row>
    <row r="5" spans="2:34" ht="15" customHeight="1" x14ac:dyDescent="0.25">
      <c r="B5" s="10"/>
      <c r="C5" s="2" t="str">
        <f>TEXT(WEEKDAY(DATE(AnnéeCalendrier,10,1),1),"jjj")</f>
        <v>lun</v>
      </c>
      <c r="D5" s="2" t="str">
        <f>TEXT(WEEKDAY(DATE(AnnéeCalendrier,10,2),1),"jjj")</f>
        <v>mar</v>
      </c>
      <c r="E5" s="2" t="str">
        <f>TEXT(WEEKDAY(DATE(AnnéeCalendrier,10,3),1),"jjj")</f>
        <v>mer</v>
      </c>
      <c r="F5" s="2" t="str">
        <f>TEXT(WEEKDAY(DATE(AnnéeCalendrier,10,4),1),"jjj")</f>
        <v>jeu</v>
      </c>
      <c r="G5" s="2" t="str">
        <f>TEXT(WEEKDAY(DATE(AnnéeCalendrier,10,5),1),"jjj")</f>
        <v>ven</v>
      </c>
      <c r="H5" s="2" t="str">
        <f>TEXT(WEEKDAY(DATE(AnnéeCalendrier,10,6),1),"jjj")</f>
        <v>sam</v>
      </c>
      <c r="I5" s="2" t="str">
        <f>TEXT(WEEKDAY(DATE(AnnéeCalendrier,10,7),1),"jjj")</f>
        <v>dim</v>
      </c>
      <c r="J5" s="2" t="str">
        <f>TEXT(WEEKDAY(DATE(AnnéeCalendrier,10,8),1),"jjj")</f>
        <v>lun</v>
      </c>
      <c r="K5" s="2" t="str">
        <f>TEXT(WEEKDAY(DATE(AnnéeCalendrier,10,9),1),"jjj")</f>
        <v>mar</v>
      </c>
      <c r="L5" s="2" t="str">
        <f>TEXT(WEEKDAY(DATE(AnnéeCalendrier,10,10),1),"jjj")</f>
        <v>mer</v>
      </c>
      <c r="M5" s="2" t="str">
        <f>TEXT(WEEKDAY(DATE(AnnéeCalendrier,10,11),1),"jjj")</f>
        <v>jeu</v>
      </c>
      <c r="N5" s="2" t="str">
        <f>TEXT(WEEKDAY(DATE(AnnéeCalendrier,10,12),1),"jjj")</f>
        <v>ven</v>
      </c>
      <c r="O5" s="2" t="str">
        <f>TEXT(WEEKDAY(DATE(AnnéeCalendrier,10,13),1),"jjj")</f>
        <v>sam</v>
      </c>
      <c r="P5" s="2" t="str">
        <f>TEXT(WEEKDAY(DATE(AnnéeCalendrier,10,14),1),"jjj")</f>
        <v>dim</v>
      </c>
      <c r="Q5" s="2" t="str">
        <f>TEXT(WEEKDAY(DATE(AnnéeCalendrier,10,15),1),"jjj")</f>
        <v>lun</v>
      </c>
      <c r="R5" s="2" t="str">
        <f>TEXT(WEEKDAY(DATE(AnnéeCalendrier,10,16),1),"jjj")</f>
        <v>mar</v>
      </c>
      <c r="S5" s="2" t="str">
        <f>TEXT(WEEKDAY(DATE(AnnéeCalendrier,10,17),1),"jjj")</f>
        <v>mer</v>
      </c>
      <c r="T5" s="2" t="str">
        <f>TEXT(WEEKDAY(DATE(AnnéeCalendrier,10,18),1),"jjj")</f>
        <v>jeu</v>
      </c>
      <c r="U5" s="2" t="str">
        <f>TEXT(WEEKDAY(DATE(AnnéeCalendrier,10,19),1),"jjj")</f>
        <v>ven</v>
      </c>
      <c r="V5" s="2" t="str">
        <f>TEXT(WEEKDAY(DATE(AnnéeCalendrier,10,20),1),"jjj")</f>
        <v>sam</v>
      </c>
      <c r="W5" s="2" t="str">
        <f>TEXT(WEEKDAY(DATE(AnnéeCalendrier,10,21),1),"jjj")</f>
        <v>dim</v>
      </c>
      <c r="X5" s="2" t="str">
        <f>TEXT(WEEKDAY(DATE(AnnéeCalendrier,10,22),1),"jjj")</f>
        <v>lun</v>
      </c>
      <c r="Y5" s="2" t="str">
        <f>TEXT(WEEKDAY(DATE(AnnéeCalendrier,10,23),1),"jjj")</f>
        <v>mar</v>
      </c>
      <c r="Z5" s="2" t="str">
        <f>TEXT(WEEKDAY(DATE(AnnéeCalendrier,10,24),1),"jjj")</f>
        <v>mer</v>
      </c>
      <c r="AA5" s="2" t="str">
        <f>TEXT(WEEKDAY(DATE(AnnéeCalendrier,10,25),1),"jjj")</f>
        <v>jeu</v>
      </c>
      <c r="AB5" s="2" t="str">
        <f>TEXT(WEEKDAY(DATE(AnnéeCalendrier,10,26),1),"jjj")</f>
        <v>ven</v>
      </c>
      <c r="AC5" s="2" t="str">
        <f>TEXT(WEEKDAY(DATE(AnnéeCalendrier,10,27),1),"jjj")</f>
        <v>sam</v>
      </c>
      <c r="AD5" s="2" t="str">
        <f>TEXT(WEEKDAY(DATE(AnnéeCalendrier,10,28),1),"jjj")</f>
        <v>dim</v>
      </c>
      <c r="AE5" s="2" t="str">
        <f>TEXT(WEEKDAY(DATE(AnnéeCalendrier,10,29),1),"jjj")</f>
        <v>lun</v>
      </c>
      <c r="AF5" s="2" t="str">
        <f>TEXT(WEEKDAY(DATE(AnnéeCalendrier,10,30),1),"jjj")</f>
        <v>mar</v>
      </c>
      <c r="AG5" s="2" t="str">
        <f>TEXT(WEEKDAY(DATE(AnnéeCalendrier,10,31),1),"jjj")</f>
        <v>mer</v>
      </c>
      <c r="AH5" s="10"/>
    </row>
    <row r="6" spans="2:34" ht="15" customHeight="1" x14ac:dyDescent="0.25">
      <c r="B6" s="13" t="s">
        <v>2</v>
      </c>
      <c r="C6" s="3" t="s">
        <v>9</v>
      </c>
      <c r="D6" s="3" t="s">
        <v>11</v>
      </c>
      <c r="E6" s="3" t="s">
        <v>12</v>
      </c>
      <c r="F6" s="3" t="s">
        <v>13</v>
      </c>
      <c r="G6" s="3" t="s">
        <v>15</v>
      </c>
      <c r="H6" s="3" t="s">
        <v>16</v>
      </c>
      <c r="I6" s="3" t="s">
        <v>17</v>
      </c>
      <c r="J6" s="3" t="s">
        <v>18</v>
      </c>
      <c r="K6" s="3" t="s">
        <v>19</v>
      </c>
      <c r="L6" s="3" t="s">
        <v>21</v>
      </c>
      <c r="M6" s="3" t="s">
        <v>22</v>
      </c>
      <c r="N6" s="3" t="s">
        <v>23</v>
      </c>
      <c r="O6" s="3" t="s">
        <v>24</v>
      </c>
      <c r="P6" s="3" t="s">
        <v>25</v>
      </c>
      <c r="Q6" s="3" t="s">
        <v>26</v>
      </c>
      <c r="R6" s="3" t="s">
        <v>27</v>
      </c>
      <c r="S6" s="3" t="s">
        <v>28</v>
      </c>
      <c r="T6" s="3" t="s">
        <v>29</v>
      </c>
      <c r="U6" s="3" t="s">
        <v>30</v>
      </c>
      <c r="V6" s="3" t="s">
        <v>31</v>
      </c>
      <c r="W6" s="3" t="s">
        <v>32</v>
      </c>
      <c r="X6" s="3" t="s">
        <v>33</v>
      </c>
      <c r="Y6" s="3" t="s">
        <v>34</v>
      </c>
      <c r="Z6" s="3" t="s">
        <v>35</v>
      </c>
      <c r="AA6" s="3" t="s">
        <v>36</v>
      </c>
      <c r="AB6" s="3" t="s">
        <v>37</v>
      </c>
      <c r="AC6" s="3" t="s">
        <v>38</v>
      </c>
      <c r="AD6" s="3" t="s">
        <v>39</v>
      </c>
      <c r="AE6" s="3" t="s">
        <v>40</v>
      </c>
      <c r="AF6" s="3" t="s">
        <v>41</v>
      </c>
      <c r="AG6" s="3" t="s">
        <v>42</v>
      </c>
      <c r="AH6" s="14" t="s">
        <v>44</v>
      </c>
    </row>
    <row r="7" spans="2:34" ht="30" customHeight="1" x14ac:dyDescent="0.25">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8">
        <f>COUNTA(Octobre[[#This Row],[1]:[31]])</f>
        <v>0</v>
      </c>
    </row>
    <row r="8" spans="2:34" ht="30" customHeight="1" x14ac:dyDescent="0.25">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8">
        <f>COUNTA(Octobre[[#This Row],[1]:[31]])</f>
        <v>0</v>
      </c>
    </row>
    <row r="9" spans="2:34" ht="30" customHeight="1" x14ac:dyDescent="0.25">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8">
        <f>COUNTA(Octobre[[#This Row],[1]:[31]])</f>
        <v>0</v>
      </c>
    </row>
    <row r="10" spans="2:34" ht="30" customHeight="1" x14ac:dyDescent="0.25">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8">
        <f>COUNTA(Octobre[[#This Row],[1]:[31]])</f>
        <v>0</v>
      </c>
    </row>
    <row r="11" spans="2:34" ht="30" customHeight="1" x14ac:dyDescent="0.25">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8">
        <f>COUNTA(Octobre[[#This Row],[1]:[31]])</f>
        <v>0</v>
      </c>
    </row>
    <row r="12" spans="2:34" ht="30" customHeight="1" x14ac:dyDescent="0.25">
      <c r="B12" s="18" t="str">
        <f>NomMois&amp;" Total"</f>
        <v>Octobre Total</v>
      </c>
      <c r="C12" s="11">
        <f>SUBTOTAL(103,Octobre[1])</f>
        <v>0</v>
      </c>
      <c r="D12" s="11">
        <f>SUBTOTAL(103,Octobre[2])</f>
        <v>0</v>
      </c>
      <c r="E12" s="11">
        <f>SUBTOTAL(103,Octobre[3])</f>
        <v>0</v>
      </c>
      <c r="F12" s="11">
        <f>SUBTOTAL(103,Octobre[4])</f>
        <v>0</v>
      </c>
      <c r="G12" s="11">
        <f>SUBTOTAL(103,Octobre[5])</f>
        <v>0</v>
      </c>
      <c r="H12" s="11">
        <f>SUBTOTAL(103,Octobre[6])</f>
        <v>0</v>
      </c>
      <c r="I12" s="11">
        <f>SUBTOTAL(103,Octobre[7])</f>
        <v>0</v>
      </c>
      <c r="J12" s="11">
        <f>SUBTOTAL(103,Octobre[8])</f>
        <v>0</v>
      </c>
      <c r="K12" s="11">
        <f>SUBTOTAL(103,Octobre[9])</f>
        <v>0</v>
      </c>
      <c r="L12" s="11">
        <f>SUBTOTAL(103,Octobre[10])</f>
        <v>0</v>
      </c>
      <c r="M12" s="11">
        <f>SUBTOTAL(103,Octobre[11])</f>
        <v>0</v>
      </c>
      <c r="N12" s="11">
        <f>SUBTOTAL(103,Octobre[12])</f>
        <v>0</v>
      </c>
      <c r="O12" s="11">
        <f>SUBTOTAL(103,Octobre[13])</f>
        <v>0</v>
      </c>
      <c r="P12" s="11">
        <f>SUBTOTAL(103,Octobre[14])</f>
        <v>0</v>
      </c>
      <c r="Q12" s="11">
        <f>SUBTOTAL(103,Octobre[15])</f>
        <v>0</v>
      </c>
      <c r="R12" s="11">
        <f>SUBTOTAL(103,Octobre[16])</f>
        <v>0</v>
      </c>
      <c r="S12" s="11">
        <f>SUBTOTAL(103,Octobre[17])</f>
        <v>0</v>
      </c>
      <c r="T12" s="11">
        <f>SUBTOTAL(103,Octobre[18])</f>
        <v>0</v>
      </c>
      <c r="U12" s="11">
        <f>SUBTOTAL(103,Octobre[19])</f>
        <v>0</v>
      </c>
      <c r="V12" s="11">
        <f>SUBTOTAL(103,Octobre[20])</f>
        <v>0</v>
      </c>
      <c r="W12" s="11">
        <f>SUBTOTAL(103,Octobre[21])</f>
        <v>0</v>
      </c>
      <c r="X12" s="11">
        <f>SUBTOTAL(103,Octobre[22])</f>
        <v>0</v>
      </c>
      <c r="Y12" s="11">
        <f>SUBTOTAL(103,Octobre[23])</f>
        <v>0</v>
      </c>
      <c r="Z12" s="11">
        <f>SUBTOTAL(103,Octobre[24])</f>
        <v>0</v>
      </c>
      <c r="AA12" s="11">
        <f>SUBTOTAL(103,Octobre[25])</f>
        <v>0</v>
      </c>
      <c r="AB12" s="11">
        <f>SUBTOTAL(103,Octobre[26])</f>
        <v>0</v>
      </c>
      <c r="AC12" s="11">
        <f>SUBTOTAL(103,Octobre[27])</f>
        <v>0</v>
      </c>
      <c r="AD12" s="11">
        <f>SUBTOTAL(103,Octobre[28])</f>
        <v>0</v>
      </c>
      <c r="AE12" s="11">
        <f>SUBTOTAL(103,Octobre[29])</f>
        <v>0</v>
      </c>
      <c r="AF12" s="11">
        <f>SUBTOTAL(109,Octobre[30])</f>
        <v>0</v>
      </c>
      <c r="AG12" s="11">
        <f>SUBTOTAL(109,Octobre[31])</f>
        <v>0</v>
      </c>
      <c r="AH12" s="11">
        <f>SUBTOTAL(109,Octobre[Total des jours])</f>
        <v>0</v>
      </c>
    </row>
  </sheetData>
  <mergeCells count="4">
    <mergeCell ref="C4:AG4"/>
    <mergeCell ref="D2:E2"/>
    <mergeCell ref="G2:I2"/>
    <mergeCell ref="K2:L2"/>
  </mergeCells>
  <conditionalFormatting sqref="C7:AG11">
    <cfRule type="expression" priority="1" stopIfTrue="1">
      <formula>C7=""</formula>
    </cfRule>
  </conditionalFormatting>
  <conditionalFormatting sqref="C7:AG11">
    <cfRule type="expression" dxfId="14" priority="2" stopIfTrue="1">
      <formula>C7=CléPersonnalisée2</formula>
    </cfRule>
    <cfRule type="expression" dxfId="13" priority="3" stopIfTrue="1">
      <formula>C7=CléPersonnalisée1</formula>
    </cfRule>
    <cfRule type="expression" dxfId="12" priority="4" stopIfTrue="1">
      <formula>C7=CléMaladie</formula>
    </cfRule>
    <cfRule type="expression" dxfId="11" priority="5" stopIfTrue="1">
      <formula>C7=CléPersonnel</formula>
    </cfRule>
    <cfRule type="expression" dxfId="10" priority="6" stopIfTrue="1">
      <formula>C7=CléCongé</formula>
    </cfRule>
  </conditionalFormatting>
  <conditionalFormatting sqref="AH7:AH11">
    <cfRule type="dataBar" priority="7">
      <dataBar>
        <cfvo type="min"/>
        <cfvo type="formula" val="DATEDIF(DATE(CalendarYear,2,1),DATE(CalendarYear,3,1),&quot;d&quot;)"/>
        <color theme="2" tint="-0.249977111117893"/>
      </dataBar>
      <extLst>
        <ext xmlns:x14="http://schemas.microsoft.com/office/spreadsheetml/2009/9/main" uri="{B025F937-C7B1-47D3-B67F-A62EFF666E3E}">
          <x14:id>{F32A08EA-50E8-4B5F-AB1F-5A7739FBC16C}</x14:id>
        </ext>
      </extLst>
    </cfRule>
  </conditionalFormatting>
  <dataValidations count="12">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900-000000000000}"/>
    <dataValidation allowBlank="1" showInputMessage="1" showErrorMessage="1" prompt="Année mise à jour automatiquement en fonction de l’année entrée dans la feuille de calcul Janvier" sqref="AH4" xr:uid="{00000000-0002-0000-0900-000001000000}"/>
    <dataValidation allowBlank="1" showInputMessage="1" showErrorMessage="1" prompt="Calcule automatiquement le nombre total de jours d’absence d’un employé durant ce mois dans cette colonne" sqref="AH6" xr:uid="{00000000-0002-0000-0900-000002000000}"/>
    <dataValidation allowBlank="1" showInputMessage="1" showErrorMessage="1" prompt="Suivez les absences du mois d’octobre dans cette feuille de calcul" sqref="A1" xr:uid="{00000000-0002-0000-09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900-000004000000}"/>
    <dataValidation allowBlank="1" showInputMessage="1" showErrorMessage="1" prompt="Le titre mis à jour automatiquement figure dans cette cellule. Pour modifier le titre, mettez à jour la cellule B1 de la feuille de calcul Janvier" sqref="B1" xr:uid="{00000000-0002-0000-0900-000005000000}"/>
    <dataValidation allowBlank="1" showInputMessage="1" showErrorMessage="1" prompt="La lettre « C » indique une absence pour cause de congé" sqref="C2" xr:uid="{00000000-0002-0000-0900-000006000000}"/>
    <dataValidation allowBlank="1" showInputMessage="1" showErrorMessage="1" prompt="La lettre « P » indique une absence pour motifs personnels" sqref="F2" xr:uid="{00000000-0002-0000-0900-000007000000}"/>
    <dataValidation allowBlank="1" showInputMessage="1" showErrorMessage="1" prompt="La lettre « M » indique une absence pour cause de maladie" sqref="J2" xr:uid="{00000000-0002-0000-0900-000008000000}"/>
    <dataValidation allowBlank="1" showInputMessage="1" showErrorMessage="1" prompt="Cette ligne définit les clés utilisées dans le tableau : Congé en C2, Personnel en F2 et Congé maladie en J2. Les cellules M2 et R2 sont personnalisables " sqref="B2" xr:uid="{00000000-0002-0000-0900-00000B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9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900-00000D000000}"/>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32A08EA-50E8-4B5F-AB1F-5A7739FBC16C}">
            <x14:dataBar minLength="0" maxLength="100">
              <x14:cfvo type="autoMin"/>
              <x14:cfvo type="formula">
                <xm:f>DATEDIF(DATE(CalendarYear,2,1),DATE(CalendarYear,3,1),"d")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900-00000E000000}">
          <x14:formula1>
            <xm:f>'Noms des employés'!$B$4:$B$8</xm:f>
          </x14:formula1>
          <xm:sqref>B7:B11</xm:sqref>
        </x14:dataValidation>
      </x14:dataValidation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tabColor theme="2" tint="-0.249977111117893"/>
    <pageSetUpPr fitToPage="1"/>
  </sheetPr>
  <dimension ref="A1:AH12"/>
  <sheetViews>
    <sheetView showGridLines="0" zoomScaleNormal="100" workbookViewId="0">
      <selection activeCell="C4" sqref="C4:AG4"/>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13.5703125" style="9" customWidth="1"/>
    <col min="35" max="35" width="2.7109375" customWidth="1"/>
  </cols>
  <sheetData>
    <row r="1" spans="2:34" ht="50.1" customHeight="1" x14ac:dyDescent="0.25">
      <c r="B1" s="12" t="str">
        <f>Titre_Absence_Employé</f>
        <v>Calendrier Mensuel</v>
      </c>
    </row>
    <row r="2" spans="2:34" ht="15" customHeight="1" x14ac:dyDescent="0.25">
      <c r="B2" s="25" t="s">
        <v>0</v>
      </c>
      <c r="C2" s="4" t="s">
        <v>8</v>
      </c>
      <c r="D2" s="22" t="s">
        <v>10</v>
      </c>
      <c r="E2" s="22"/>
      <c r="F2" s="5" t="s">
        <v>60</v>
      </c>
      <c r="G2" s="23" t="s">
        <v>61</v>
      </c>
      <c r="H2" s="22"/>
      <c r="I2" s="22"/>
      <c r="J2" s="6" t="s">
        <v>14</v>
      </c>
      <c r="K2" s="22" t="s">
        <v>20</v>
      </c>
      <c r="L2" s="22"/>
      <c r="Y2"/>
      <c r="Z2"/>
      <c r="AA2"/>
      <c r="AB2"/>
      <c r="AC2"/>
      <c r="AD2"/>
      <c r="AE2"/>
      <c r="AF2"/>
      <c r="AG2"/>
      <c r="AH2"/>
    </row>
    <row r="3" spans="2:34" ht="15" customHeight="1" x14ac:dyDescent="0.25">
      <c r="B3" s="12"/>
    </row>
    <row r="4" spans="2:34" ht="30" customHeight="1" x14ac:dyDescent="0.25">
      <c r="B4" s="10" t="s">
        <v>56</v>
      </c>
      <c r="C4" s="21" t="s">
        <v>63</v>
      </c>
      <c r="D4" s="21"/>
      <c r="E4" s="21"/>
      <c r="F4" s="21"/>
      <c r="G4" s="21"/>
      <c r="H4" s="21"/>
      <c r="I4" s="21"/>
      <c r="J4" s="21"/>
      <c r="K4" s="21"/>
      <c r="L4" s="21"/>
      <c r="M4" s="21"/>
      <c r="N4" s="21"/>
      <c r="O4" s="21"/>
      <c r="P4" s="21"/>
      <c r="Q4" s="21"/>
      <c r="R4" s="21"/>
      <c r="S4" s="21"/>
      <c r="T4" s="21"/>
      <c r="U4" s="21"/>
      <c r="V4" s="21"/>
      <c r="W4" s="21"/>
      <c r="X4" s="21"/>
      <c r="Y4" s="21"/>
      <c r="Z4" s="21"/>
      <c r="AA4" s="21"/>
      <c r="AB4" s="21"/>
      <c r="AC4" s="21"/>
      <c r="AD4" s="21"/>
      <c r="AE4" s="21"/>
      <c r="AF4" s="21"/>
      <c r="AG4" s="21"/>
      <c r="AH4" s="10">
        <f>AnnéeCalendrier</f>
        <v>2018</v>
      </c>
    </row>
    <row r="5" spans="2:34" ht="15" customHeight="1" x14ac:dyDescent="0.25">
      <c r="B5" s="10"/>
      <c r="C5" s="2" t="str">
        <f>TEXT(WEEKDAY(DATE(AnnéeCalendrier,11,1),1),"jjj")</f>
        <v>jeu</v>
      </c>
      <c r="D5" s="2" t="str">
        <f>TEXT(WEEKDAY(DATE(AnnéeCalendrier,11,2),1),"jjj")</f>
        <v>ven</v>
      </c>
      <c r="E5" s="2" t="str">
        <f>TEXT(WEEKDAY(DATE(AnnéeCalendrier,11,3),1),"jjj")</f>
        <v>sam</v>
      </c>
      <c r="F5" s="2" t="str">
        <f>TEXT(WEEKDAY(DATE(AnnéeCalendrier,11,4),1),"jjj")</f>
        <v>dim</v>
      </c>
      <c r="G5" s="2" t="str">
        <f>TEXT(WEEKDAY(DATE(AnnéeCalendrier,11,5),1),"jjj")</f>
        <v>lun</v>
      </c>
      <c r="H5" s="2" t="str">
        <f>TEXT(WEEKDAY(DATE(AnnéeCalendrier,11,6),1),"jjj")</f>
        <v>mar</v>
      </c>
      <c r="I5" s="2" t="str">
        <f>TEXT(WEEKDAY(DATE(AnnéeCalendrier,11,7),1),"jjj")</f>
        <v>mer</v>
      </c>
      <c r="J5" s="2" t="str">
        <f>TEXT(WEEKDAY(DATE(AnnéeCalendrier,11,8),1),"jjj")</f>
        <v>jeu</v>
      </c>
      <c r="K5" s="2" t="str">
        <f>TEXT(WEEKDAY(DATE(AnnéeCalendrier,11,9),1),"jjj")</f>
        <v>ven</v>
      </c>
      <c r="L5" s="2" t="str">
        <f>TEXT(WEEKDAY(DATE(AnnéeCalendrier,11,10),1),"jjj")</f>
        <v>sam</v>
      </c>
      <c r="M5" s="2" t="str">
        <f>TEXT(WEEKDAY(DATE(AnnéeCalendrier,11,11),1),"jjj")</f>
        <v>dim</v>
      </c>
      <c r="N5" s="2" t="str">
        <f>TEXT(WEEKDAY(DATE(AnnéeCalendrier,11,12),1),"jjj")</f>
        <v>lun</v>
      </c>
      <c r="O5" s="2" t="str">
        <f>TEXT(WEEKDAY(DATE(AnnéeCalendrier,11,13),1),"jjj")</f>
        <v>mar</v>
      </c>
      <c r="P5" s="2" t="str">
        <f>TEXT(WEEKDAY(DATE(AnnéeCalendrier,11,14),1),"jjj")</f>
        <v>mer</v>
      </c>
      <c r="Q5" s="2" t="str">
        <f>TEXT(WEEKDAY(DATE(AnnéeCalendrier,11,15),1),"jjj")</f>
        <v>jeu</v>
      </c>
      <c r="R5" s="2" t="str">
        <f>TEXT(WEEKDAY(DATE(AnnéeCalendrier,11,16),1),"jjj")</f>
        <v>ven</v>
      </c>
      <c r="S5" s="2" t="str">
        <f>TEXT(WEEKDAY(DATE(AnnéeCalendrier,11,17),1),"jjj")</f>
        <v>sam</v>
      </c>
      <c r="T5" s="2" t="str">
        <f>TEXT(WEEKDAY(DATE(AnnéeCalendrier,11,18),1),"jjj")</f>
        <v>dim</v>
      </c>
      <c r="U5" s="2" t="str">
        <f>TEXT(WEEKDAY(DATE(AnnéeCalendrier,11,19),1),"jjj")</f>
        <v>lun</v>
      </c>
      <c r="V5" s="2" t="str">
        <f>TEXT(WEEKDAY(DATE(AnnéeCalendrier,11,20),1),"jjj")</f>
        <v>mar</v>
      </c>
      <c r="W5" s="2" t="str">
        <f>TEXT(WEEKDAY(DATE(AnnéeCalendrier,11,21),1),"jjj")</f>
        <v>mer</v>
      </c>
      <c r="X5" s="2" t="str">
        <f>TEXT(WEEKDAY(DATE(AnnéeCalendrier,11,22),1),"jjj")</f>
        <v>jeu</v>
      </c>
      <c r="Y5" s="2" t="str">
        <f>TEXT(WEEKDAY(DATE(AnnéeCalendrier,11,23),1),"jjj")</f>
        <v>ven</v>
      </c>
      <c r="Z5" s="2" t="str">
        <f>TEXT(WEEKDAY(DATE(AnnéeCalendrier,11,24),1),"jjj")</f>
        <v>sam</v>
      </c>
      <c r="AA5" s="2" t="str">
        <f>TEXT(WEEKDAY(DATE(AnnéeCalendrier,11,25),1),"jjj")</f>
        <v>dim</v>
      </c>
      <c r="AB5" s="2" t="str">
        <f>TEXT(WEEKDAY(DATE(AnnéeCalendrier,11,26),1),"jjj")</f>
        <v>lun</v>
      </c>
      <c r="AC5" s="2" t="str">
        <f>TEXT(WEEKDAY(DATE(AnnéeCalendrier,11,27),1),"jjj")</f>
        <v>mar</v>
      </c>
      <c r="AD5" s="2" t="str">
        <f>TEXT(WEEKDAY(DATE(AnnéeCalendrier,11,28),1),"jjj")</f>
        <v>mer</v>
      </c>
      <c r="AE5" s="2" t="str">
        <f>TEXT(WEEKDAY(DATE(AnnéeCalendrier,11,29),1),"jjj")</f>
        <v>jeu</v>
      </c>
      <c r="AF5" s="2" t="str">
        <f>TEXT(WEEKDAY(DATE(AnnéeCalendrier,11,30),1),"jjj")</f>
        <v>ven</v>
      </c>
      <c r="AG5" s="2"/>
      <c r="AH5" s="10"/>
    </row>
    <row r="6" spans="2:34" ht="15" customHeight="1" x14ac:dyDescent="0.25">
      <c r="B6" s="13" t="s">
        <v>2</v>
      </c>
      <c r="C6" s="3" t="s">
        <v>9</v>
      </c>
      <c r="D6" s="3" t="s">
        <v>11</v>
      </c>
      <c r="E6" s="3" t="s">
        <v>12</v>
      </c>
      <c r="F6" s="3" t="s">
        <v>13</v>
      </c>
      <c r="G6" s="3" t="s">
        <v>15</v>
      </c>
      <c r="H6" s="3" t="s">
        <v>16</v>
      </c>
      <c r="I6" s="3" t="s">
        <v>17</v>
      </c>
      <c r="J6" s="3" t="s">
        <v>18</v>
      </c>
      <c r="K6" s="3" t="s">
        <v>19</v>
      </c>
      <c r="L6" s="3" t="s">
        <v>21</v>
      </c>
      <c r="M6" s="3" t="s">
        <v>22</v>
      </c>
      <c r="N6" s="3" t="s">
        <v>23</v>
      </c>
      <c r="O6" s="3" t="s">
        <v>24</v>
      </c>
      <c r="P6" s="3" t="s">
        <v>25</v>
      </c>
      <c r="Q6" s="3" t="s">
        <v>26</v>
      </c>
      <c r="R6" s="3" t="s">
        <v>27</v>
      </c>
      <c r="S6" s="3" t="s">
        <v>28</v>
      </c>
      <c r="T6" s="3" t="s">
        <v>29</v>
      </c>
      <c r="U6" s="3" t="s">
        <v>30</v>
      </c>
      <c r="V6" s="3" t="s">
        <v>31</v>
      </c>
      <c r="W6" s="3" t="s">
        <v>32</v>
      </c>
      <c r="X6" s="3" t="s">
        <v>33</v>
      </c>
      <c r="Y6" s="3" t="s">
        <v>34</v>
      </c>
      <c r="Z6" s="3" t="s">
        <v>35</v>
      </c>
      <c r="AA6" s="3" t="s">
        <v>36</v>
      </c>
      <c r="AB6" s="3" t="s">
        <v>37</v>
      </c>
      <c r="AC6" s="3" t="s">
        <v>38</v>
      </c>
      <c r="AD6" s="3" t="s">
        <v>39</v>
      </c>
      <c r="AE6" s="3" t="s">
        <v>40</v>
      </c>
      <c r="AF6" s="3" t="s">
        <v>41</v>
      </c>
      <c r="AG6" s="3" t="s">
        <v>42</v>
      </c>
      <c r="AH6" s="14" t="s">
        <v>44</v>
      </c>
    </row>
    <row r="7" spans="2:34" ht="30" customHeight="1" x14ac:dyDescent="0.25">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8">
        <f>COUNTA(Novembre[[#This Row],[1]:[31]])</f>
        <v>0</v>
      </c>
    </row>
    <row r="8" spans="2:34" ht="30" customHeight="1" x14ac:dyDescent="0.25">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8">
        <f>COUNTA(Novembre[[#This Row],[1]:[31]])</f>
        <v>0</v>
      </c>
    </row>
    <row r="9" spans="2:34" ht="30" customHeight="1" x14ac:dyDescent="0.25">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8">
        <f>COUNTA(Novembre[[#This Row],[1]:[31]])</f>
        <v>0</v>
      </c>
    </row>
    <row r="10" spans="2:34" ht="30" customHeight="1" x14ac:dyDescent="0.25">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8">
        <f>COUNTA(Novembre[[#This Row],[1]:[31]])</f>
        <v>0</v>
      </c>
    </row>
    <row r="11" spans="2:34" ht="30" customHeight="1" x14ac:dyDescent="0.25">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8">
        <f>COUNTA(Novembre[[#This Row],[1]:[31]])</f>
        <v>0</v>
      </c>
    </row>
    <row r="12" spans="2:34" ht="30" customHeight="1" x14ac:dyDescent="0.25">
      <c r="B12" s="18" t="str">
        <f>NomMois&amp;" Total"</f>
        <v>Novembre Total</v>
      </c>
      <c r="C12" s="11">
        <f>SUBTOTAL(103,Novembre[1])</f>
        <v>0</v>
      </c>
      <c r="D12" s="11">
        <f>SUBTOTAL(103,Novembre[2])</f>
        <v>0</v>
      </c>
      <c r="E12" s="11">
        <f>SUBTOTAL(103,Novembre[3])</f>
        <v>0</v>
      </c>
      <c r="F12" s="11">
        <f>SUBTOTAL(103,Novembre[4])</f>
        <v>0</v>
      </c>
      <c r="G12" s="11">
        <f>SUBTOTAL(103,Novembre[5])</f>
        <v>0</v>
      </c>
      <c r="H12" s="11">
        <f>SUBTOTAL(103,Novembre[6])</f>
        <v>0</v>
      </c>
      <c r="I12" s="11">
        <f>SUBTOTAL(103,Novembre[7])</f>
        <v>0</v>
      </c>
      <c r="J12" s="11">
        <f>SUBTOTAL(103,Novembre[8])</f>
        <v>0</v>
      </c>
      <c r="K12" s="11">
        <f>SUBTOTAL(103,Novembre[9])</f>
        <v>0</v>
      </c>
      <c r="L12" s="11">
        <f>SUBTOTAL(103,Novembre[10])</f>
        <v>0</v>
      </c>
      <c r="M12" s="11">
        <f>SUBTOTAL(103,Novembre[11])</f>
        <v>0</v>
      </c>
      <c r="N12" s="11">
        <f>SUBTOTAL(103,Novembre[12])</f>
        <v>0</v>
      </c>
      <c r="O12" s="11">
        <f>SUBTOTAL(103,Novembre[13])</f>
        <v>0</v>
      </c>
      <c r="P12" s="11">
        <f>SUBTOTAL(103,Novembre[14])</f>
        <v>0</v>
      </c>
      <c r="Q12" s="11">
        <f>SUBTOTAL(103,Novembre[15])</f>
        <v>0</v>
      </c>
      <c r="R12" s="11">
        <f>SUBTOTAL(103,Novembre[16])</f>
        <v>0</v>
      </c>
      <c r="S12" s="11">
        <f>SUBTOTAL(103,Novembre[17])</f>
        <v>0</v>
      </c>
      <c r="T12" s="11">
        <f>SUBTOTAL(103,Novembre[18])</f>
        <v>0</v>
      </c>
      <c r="U12" s="11">
        <f>SUBTOTAL(103,Novembre[19])</f>
        <v>0</v>
      </c>
      <c r="V12" s="11">
        <f>SUBTOTAL(103,Novembre[20])</f>
        <v>0</v>
      </c>
      <c r="W12" s="11">
        <f>SUBTOTAL(103,Novembre[21])</f>
        <v>0</v>
      </c>
      <c r="X12" s="11">
        <f>SUBTOTAL(103,Novembre[22])</f>
        <v>0</v>
      </c>
      <c r="Y12" s="11">
        <f>SUBTOTAL(103,Novembre[23])</f>
        <v>0</v>
      </c>
      <c r="Z12" s="11">
        <f>SUBTOTAL(103,Novembre[24])</f>
        <v>0</v>
      </c>
      <c r="AA12" s="11">
        <f>SUBTOTAL(103,Novembre[25])</f>
        <v>0</v>
      </c>
      <c r="AB12" s="11">
        <f>SUBTOTAL(103,Novembre[26])</f>
        <v>0</v>
      </c>
      <c r="AC12" s="11">
        <f>SUBTOTAL(103,Novembre[27])</f>
        <v>0</v>
      </c>
      <c r="AD12" s="11">
        <f>SUBTOTAL(103,Novembre[28])</f>
        <v>0</v>
      </c>
      <c r="AE12" s="11">
        <f>SUBTOTAL(103,Novembre[29])</f>
        <v>0</v>
      </c>
      <c r="AF12" s="11">
        <f>SUBTOTAL(109,Novembre[30])</f>
        <v>0</v>
      </c>
      <c r="AG12" s="11">
        <f>SUBTOTAL(109,Novembre[31])</f>
        <v>0</v>
      </c>
      <c r="AH12" s="11">
        <f>SUBTOTAL(109,Novembre[Total des jours])</f>
        <v>0</v>
      </c>
    </row>
  </sheetData>
  <mergeCells count="4">
    <mergeCell ref="C4:AG4"/>
    <mergeCell ref="D2:E2"/>
    <mergeCell ref="G2:I2"/>
    <mergeCell ref="K2:L2"/>
  </mergeCells>
  <conditionalFormatting sqref="C7:AG11">
    <cfRule type="expression" priority="1" stopIfTrue="1">
      <formula>C7=""</formula>
    </cfRule>
  </conditionalFormatting>
  <conditionalFormatting sqref="C7:AG11">
    <cfRule type="expression" dxfId="9" priority="2" stopIfTrue="1">
      <formula>C7=CléPersonnalisée2</formula>
    </cfRule>
    <cfRule type="expression" dxfId="8" priority="3" stopIfTrue="1">
      <formula>C7=CléPersonnalisée1</formula>
    </cfRule>
    <cfRule type="expression" dxfId="7" priority="4" stopIfTrue="1">
      <formula>C7=CléMaladie</formula>
    </cfRule>
    <cfRule type="expression" dxfId="6" priority="5" stopIfTrue="1">
      <formula>C7=CléPersonnel</formula>
    </cfRule>
    <cfRule type="expression" dxfId="5" priority="6" stopIfTrue="1">
      <formula>C7=CléCongé</formula>
    </cfRule>
  </conditionalFormatting>
  <conditionalFormatting sqref="AH7:AH11">
    <cfRule type="dataBar" priority="7">
      <dataBar>
        <cfvo type="min"/>
        <cfvo type="formula" val="DATEDIF(DATE(CalendarYear,2,1),DATE(CalendarYear,3,1),&quot;d&quot;)"/>
        <color theme="2" tint="-0.249977111117893"/>
      </dataBar>
      <extLst>
        <ext xmlns:x14="http://schemas.microsoft.com/office/spreadsheetml/2009/9/main" uri="{B025F937-C7B1-47D3-B67F-A62EFF666E3E}">
          <x14:id>{27D92E49-5CF1-46DF-AD7A-3A5E92F274F3}</x14:id>
        </ext>
      </extLst>
    </cfRule>
  </conditionalFormatting>
  <dataValidations count="12">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A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A00-000001000000}"/>
    <dataValidation allowBlank="1" showInputMessage="1" showErrorMessage="1" prompt="Cette ligne définit les clés utilisées dans le tableau : Congé en C2, Personnel en F2 et Congé maladie en J2. Les cellules M2 et R2 sont personnalisables " sqref="B2" xr:uid="{00000000-0002-0000-0A00-000002000000}"/>
    <dataValidation allowBlank="1" showInputMessage="1" showErrorMessage="1" prompt="La lettre « M » indique une absence pour cause de maladie" sqref="J2" xr:uid="{00000000-0002-0000-0A00-000005000000}"/>
    <dataValidation allowBlank="1" showInputMessage="1" showErrorMessage="1" prompt="La lettre « P » indique une absence pour motifs personnels" sqref="F2" xr:uid="{00000000-0002-0000-0A00-000006000000}"/>
    <dataValidation allowBlank="1" showInputMessage="1" showErrorMessage="1" prompt="La lettre « C » indique une absence pour cause de congé" sqref="C2" xr:uid="{00000000-0002-0000-0A00-000007000000}"/>
    <dataValidation allowBlank="1" showInputMessage="1" showErrorMessage="1" prompt="Le titre mis à jour automatiquement figure dans cette cellule. Pour modifier le titre, mettez à jour la cellule B1 de la feuille de calcul Janvier" sqref="B1" xr:uid="{00000000-0002-0000-0A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A00-000009000000}"/>
    <dataValidation allowBlank="1" showInputMessage="1" showErrorMessage="1" prompt="Suivez les absences du mois de novembre dans cette feuille de calcul" sqref="A1" xr:uid="{00000000-0002-0000-0A00-00000A000000}"/>
    <dataValidation allowBlank="1" showInputMessage="1" showErrorMessage="1" prompt="Calcule automatiquement le nombre total de jours d’absence d’un employé durant ce mois dans cette colonne" sqref="AH6" xr:uid="{00000000-0002-0000-0A00-00000B000000}"/>
    <dataValidation allowBlank="1" showInputMessage="1" showErrorMessage="1" prompt="Année mise à jour automatiquement en fonction de l’année entrée dans la feuille de calcul Janvier" sqref="AH4" xr:uid="{00000000-0002-0000-0A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A00-00000D000000}"/>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27D92E49-5CF1-46DF-AD7A-3A5E92F274F3}">
            <x14:dataBar minLength="0" maxLength="100">
              <x14:cfvo type="autoMin"/>
              <x14:cfvo type="formula">
                <xm:f>DATEDIF(DATE(CalendarYear,2,1),DATE(CalendarYear,3,1),"d")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A00-00000E000000}">
          <x14:formula1>
            <xm:f>'Noms des employés'!$B$4:$B$8</xm:f>
          </x14:formula1>
          <xm:sqref>B7:B11</xm:sqref>
        </x14:dataValidation>
      </x14:dataValidation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tabColor theme="7" tint="0.79998168889431442"/>
    <pageSetUpPr fitToPage="1"/>
  </sheetPr>
  <dimension ref="A1:AH12"/>
  <sheetViews>
    <sheetView showGridLines="0" tabSelected="1" zoomScaleNormal="100" workbookViewId="0">
      <selection activeCell="C4" sqref="C4:AG4"/>
    </sheetView>
  </sheetViews>
  <sheetFormatPr baseColWidth="10" defaultColWidth="9.140625" defaultRowHeight="30" customHeight="1" x14ac:dyDescent="0.25"/>
  <cols>
    <col min="1" max="1" width="2.7109375" style="9" customWidth="1"/>
    <col min="2" max="2" width="25.7109375" style="9" customWidth="1"/>
    <col min="3" max="33" width="4.7109375" style="9" customWidth="1"/>
    <col min="34" max="34" width="13.5703125" style="9" customWidth="1"/>
    <col min="35" max="35" width="2.7109375" customWidth="1"/>
  </cols>
  <sheetData>
    <row r="1" spans="2:34" ht="50.1" customHeight="1" x14ac:dyDescent="0.25">
      <c r="B1" s="12" t="str">
        <f>Titre_Absence_Employé</f>
        <v>Calendrier Mensuel</v>
      </c>
    </row>
    <row r="2" spans="2:34" ht="15" customHeight="1" x14ac:dyDescent="0.25">
      <c r="B2" s="25" t="s">
        <v>0</v>
      </c>
      <c r="C2" s="4" t="s">
        <v>8</v>
      </c>
      <c r="D2" s="22" t="s">
        <v>10</v>
      </c>
      <c r="E2" s="22"/>
      <c r="F2" s="5" t="s">
        <v>60</v>
      </c>
      <c r="G2" s="23" t="s">
        <v>61</v>
      </c>
      <c r="H2" s="22"/>
      <c r="I2" s="22"/>
      <c r="J2" s="6" t="s">
        <v>14</v>
      </c>
      <c r="K2" s="22" t="s">
        <v>20</v>
      </c>
      <c r="L2" s="22"/>
      <c r="Y2"/>
      <c r="Z2"/>
      <c r="AA2"/>
      <c r="AB2"/>
      <c r="AC2"/>
      <c r="AD2"/>
      <c r="AE2"/>
      <c r="AF2"/>
      <c r="AG2"/>
      <c r="AH2"/>
    </row>
    <row r="3" spans="2:34" ht="15" customHeight="1" x14ac:dyDescent="0.25">
      <c r="B3" s="12"/>
    </row>
    <row r="4" spans="2:34" ht="30" customHeight="1" x14ac:dyDescent="0.25">
      <c r="B4" s="10" t="s">
        <v>57</v>
      </c>
      <c r="C4" s="21" t="s">
        <v>63</v>
      </c>
      <c r="D4" s="21"/>
      <c r="E4" s="21"/>
      <c r="F4" s="21"/>
      <c r="G4" s="21"/>
      <c r="H4" s="21"/>
      <c r="I4" s="21"/>
      <c r="J4" s="21"/>
      <c r="K4" s="21"/>
      <c r="L4" s="21"/>
      <c r="M4" s="21"/>
      <c r="N4" s="21"/>
      <c r="O4" s="21"/>
      <c r="P4" s="21"/>
      <c r="Q4" s="21"/>
      <c r="R4" s="21"/>
      <c r="S4" s="21"/>
      <c r="T4" s="21"/>
      <c r="U4" s="21"/>
      <c r="V4" s="21"/>
      <c r="W4" s="21"/>
      <c r="X4" s="21"/>
      <c r="Y4" s="21"/>
      <c r="Z4" s="21"/>
      <c r="AA4" s="21"/>
      <c r="AB4" s="21"/>
      <c r="AC4" s="21"/>
      <c r="AD4" s="21"/>
      <c r="AE4" s="21"/>
      <c r="AF4" s="21"/>
      <c r="AG4" s="21"/>
      <c r="AH4" s="10">
        <f>AnnéeCalendrier</f>
        <v>2018</v>
      </c>
    </row>
    <row r="5" spans="2:34" ht="15" customHeight="1" x14ac:dyDescent="0.25">
      <c r="B5" s="10"/>
      <c r="C5" s="2" t="str">
        <f>TEXT(WEEKDAY(DATE(AnnéeCalendrier,12,1),1),"jjj")</f>
        <v>sam</v>
      </c>
      <c r="D5" s="2" t="str">
        <f>TEXT(WEEKDAY(DATE(AnnéeCalendrier,12,2),1),"jjj")</f>
        <v>dim</v>
      </c>
      <c r="E5" s="2" t="str">
        <f>TEXT(WEEKDAY(DATE(AnnéeCalendrier,12,3),1),"jjj")</f>
        <v>lun</v>
      </c>
      <c r="F5" s="2" t="str">
        <f>TEXT(WEEKDAY(DATE(AnnéeCalendrier,12,4),1),"jjj")</f>
        <v>mar</v>
      </c>
      <c r="G5" s="2" t="str">
        <f>TEXT(WEEKDAY(DATE(AnnéeCalendrier,12,5),1),"jjj")</f>
        <v>mer</v>
      </c>
      <c r="H5" s="2" t="str">
        <f>TEXT(WEEKDAY(DATE(AnnéeCalendrier,12,6),1),"jjj")</f>
        <v>jeu</v>
      </c>
      <c r="I5" s="2" t="str">
        <f>TEXT(WEEKDAY(DATE(AnnéeCalendrier,12,7),1),"jjj")</f>
        <v>ven</v>
      </c>
      <c r="J5" s="2" t="str">
        <f>TEXT(WEEKDAY(DATE(AnnéeCalendrier,12,8),1),"jjj")</f>
        <v>sam</v>
      </c>
      <c r="K5" s="2" t="str">
        <f>TEXT(WEEKDAY(DATE(AnnéeCalendrier,12,9),1),"jjj")</f>
        <v>dim</v>
      </c>
      <c r="L5" s="2" t="str">
        <f>TEXT(WEEKDAY(DATE(AnnéeCalendrier,12,10),1),"jjj")</f>
        <v>lun</v>
      </c>
      <c r="M5" s="2" t="str">
        <f>TEXT(WEEKDAY(DATE(AnnéeCalendrier,12,11),1),"jjj")</f>
        <v>mar</v>
      </c>
      <c r="N5" s="2" t="str">
        <f>TEXT(WEEKDAY(DATE(AnnéeCalendrier,12,12),1),"jjj")</f>
        <v>mer</v>
      </c>
      <c r="O5" s="2" t="str">
        <f>TEXT(WEEKDAY(DATE(AnnéeCalendrier,12,13),1),"jjj")</f>
        <v>jeu</v>
      </c>
      <c r="P5" s="2" t="str">
        <f>TEXT(WEEKDAY(DATE(AnnéeCalendrier,12,14),1),"jjj")</f>
        <v>ven</v>
      </c>
      <c r="Q5" s="2" t="str">
        <f>TEXT(WEEKDAY(DATE(AnnéeCalendrier,12,15),1),"jjj")</f>
        <v>sam</v>
      </c>
      <c r="R5" s="2" t="str">
        <f>TEXT(WEEKDAY(DATE(AnnéeCalendrier,12,16),1),"jjj")</f>
        <v>dim</v>
      </c>
      <c r="S5" s="2" t="str">
        <f>TEXT(WEEKDAY(DATE(AnnéeCalendrier,12,17),1),"jjj")</f>
        <v>lun</v>
      </c>
      <c r="T5" s="2" t="str">
        <f>TEXT(WEEKDAY(DATE(AnnéeCalendrier,12,18),1),"jjj")</f>
        <v>mar</v>
      </c>
      <c r="U5" s="2" t="str">
        <f>TEXT(WEEKDAY(DATE(AnnéeCalendrier,12,19),1),"jjj")</f>
        <v>mer</v>
      </c>
      <c r="V5" s="2" t="str">
        <f>TEXT(WEEKDAY(DATE(AnnéeCalendrier,12,20),1),"jjj")</f>
        <v>jeu</v>
      </c>
      <c r="W5" s="2" t="str">
        <f>TEXT(WEEKDAY(DATE(AnnéeCalendrier,12,21),1),"jjj")</f>
        <v>ven</v>
      </c>
      <c r="X5" s="2" t="str">
        <f>TEXT(WEEKDAY(DATE(AnnéeCalendrier,12,22),1),"jjj")</f>
        <v>sam</v>
      </c>
      <c r="Y5" s="2" t="str">
        <f>TEXT(WEEKDAY(DATE(AnnéeCalendrier,12,23),1),"jjj")</f>
        <v>dim</v>
      </c>
      <c r="Z5" s="2" t="str">
        <f>TEXT(WEEKDAY(DATE(AnnéeCalendrier,12,24),1),"jjj")</f>
        <v>lun</v>
      </c>
      <c r="AA5" s="2" t="str">
        <f>TEXT(WEEKDAY(DATE(AnnéeCalendrier,12,25),1),"jjj")</f>
        <v>mar</v>
      </c>
      <c r="AB5" s="2" t="str">
        <f>TEXT(WEEKDAY(DATE(AnnéeCalendrier,12,26),1),"jjj")</f>
        <v>mer</v>
      </c>
      <c r="AC5" s="2" t="str">
        <f>TEXT(WEEKDAY(DATE(AnnéeCalendrier,12,27),1),"jjj")</f>
        <v>jeu</v>
      </c>
      <c r="AD5" s="2" t="str">
        <f>TEXT(WEEKDAY(DATE(AnnéeCalendrier,12,28),1),"jjj")</f>
        <v>ven</v>
      </c>
      <c r="AE5" s="2" t="str">
        <f>TEXT(WEEKDAY(DATE(AnnéeCalendrier,12,29),1),"jjj")</f>
        <v>sam</v>
      </c>
      <c r="AF5" s="2" t="str">
        <f>TEXT(WEEKDAY(DATE(AnnéeCalendrier,12,30),1),"jjj")</f>
        <v>dim</v>
      </c>
      <c r="AG5" s="2" t="str">
        <f>TEXT(WEEKDAY(DATE(AnnéeCalendrier,12,31),1),"jjj")</f>
        <v>lun</v>
      </c>
      <c r="AH5" s="10"/>
    </row>
    <row r="6" spans="2:34" ht="15" customHeight="1" x14ac:dyDescent="0.25">
      <c r="B6" s="13" t="s">
        <v>2</v>
      </c>
      <c r="C6" s="3" t="s">
        <v>9</v>
      </c>
      <c r="D6" s="3" t="s">
        <v>11</v>
      </c>
      <c r="E6" s="3" t="s">
        <v>12</v>
      </c>
      <c r="F6" s="3" t="s">
        <v>13</v>
      </c>
      <c r="G6" s="3" t="s">
        <v>15</v>
      </c>
      <c r="H6" s="3" t="s">
        <v>16</v>
      </c>
      <c r="I6" s="3" t="s">
        <v>17</v>
      </c>
      <c r="J6" s="3" t="s">
        <v>18</v>
      </c>
      <c r="K6" s="3" t="s">
        <v>19</v>
      </c>
      <c r="L6" s="3" t="s">
        <v>21</v>
      </c>
      <c r="M6" s="3" t="s">
        <v>22</v>
      </c>
      <c r="N6" s="3" t="s">
        <v>23</v>
      </c>
      <c r="O6" s="3" t="s">
        <v>24</v>
      </c>
      <c r="P6" s="3" t="s">
        <v>25</v>
      </c>
      <c r="Q6" s="3" t="s">
        <v>26</v>
      </c>
      <c r="R6" s="3" t="s">
        <v>27</v>
      </c>
      <c r="S6" s="3" t="s">
        <v>28</v>
      </c>
      <c r="T6" s="3" t="s">
        <v>29</v>
      </c>
      <c r="U6" s="3" t="s">
        <v>30</v>
      </c>
      <c r="V6" s="3" t="s">
        <v>31</v>
      </c>
      <c r="W6" s="3" t="s">
        <v>32</v>
      </c>
      <c r="X6" s="3" t="s">
        <v>33</v>
      </c>
      <c r="Y6" s="3" t="s">
        <v>34</v>
      </c>
      <c r="Z6" s="3" t="s">
        <v>35</v>
      </c>
      <c r="AA6" s="3" t="s">
        <v>36</v>
      </c>
      <c r="AB6" s="3" t="s">
        <v>37</v>
      </c>
      <c r="AC6" s="3" t="s">
        <v>38</v>
      </c>
      <c r="AD6" s="3" t="s">
        <v>39</v>
      </c>
      <c r="AE6" s="3" t="s">
        <v>40</v>
      </c>
      <c r="AF6" s="3" t="s">
        <v>41</v>
      </c>
      <c r="AG6" s="3" t="s">
        <v>42</v>
      </c>
      <c r="AH6" s="14" t="s">
        <v>44</v>
      </c>
    </row>
    <row r="7" spans="2:34" ht="30" customHeight="1" x14ac:dyDescent="0.25">
      <c r="B7" s="15" t="s">
        <v>3</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8">
        <f>COUNTA(Décembre[[#This Row],[1]:[31]])</f>
        <v>0</v>
      </c>
    </row>
    <row r="8" spans="2:34" ht="30" customHeight="1" x14ac:dyDescent="0.25">
      <c r="B8" s="15" t="s">
        <v>4</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8">
        <f>COUNTA(Décembre[[#This Row],[1]:[31]])</f>
        <v>0</v>
      </c>
    </row>
    <row r="9" spans="2:34" ht="30" customHeight="1" x14ac:dyDescent="0.25">
      <c r="B9" s="15" t="s">
        <v>5</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8">
        <f>COUNTA(Décembre[[#This Row],[1]:[31]])</f>
        <v>0</v>
      </c>
    </row>
    <row r="10" spans="2:34" ht="30" customHeight="1" x14ac:dyDescent="0.25">
      <c r="B10" s="15" t="s">
        <v>6</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8">
        <f>COUNTA(Décembre[[#This Row],[1]:[31]])</f>
        <v>0</v>
      </c>
    </row>
    <row r="11" spans="2:34" ht="30" customHeight="1" x14ac:dyDescent="0.25">
      <c r="B11" s="15" t="s">
        <v>7</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8">
        <f>COUNTA(Décembre[[#This Row],[1]:[31]])</f>
        <v>0</v>
      </c>
    </row>
    <row r="12" spans="2:34" ht="30" customHeight="1" x14ac:dyDescent="0.25">
      <c r="B12" s="18" t="str">
        <f>NomMois&amp;" Total"</f>
        <v>Décembre Total</v>
      </c>
      <c r="C12" s="11">
        <f>SUBTOTAL(103,Décembre[1])</f>
        <v>0</v>
      </c>
      <c r="D12" s="11">
        <f>SUBTOTAL(103,Décembre[2])</f>
        <v>0</v>
      </c>
      <c r="E12" s="11">
        <f>SUBTOTAL(103,Décembre[3])</f>
        <v>0</v>
      </c>
      <c r="F12" s="11">
        <f>SUBTOTAL(103,Décembre[4])</f>
        <v>0</v>
      </c>
      <c r="G12" s="11">
        <f>SUBTOTAL(103,Décembre[5])</f>
        <v>0</v>
      </c>
      <c r="H12" s="11">
        <f>SUBTOTAL(103,Décembre[6])</f>
        <v>0</v>
      </c>
      <c r="I12" s="11">
        <f>SUBTOTAL(103,Décembre[7])</f>
        <v>0</v>
      </c>
      <c r="J12" s="11">
        <f>SUBTOTAL(103,Décembre[8])</f>
        <v>0</v>
      </c>
      <c r="K12" s="11">
        <f>SUBTOTAL(103,Décembre[9])</f>
        <v>0</v>
      </c>
      <c r="L12" s="11">
        <f>SUBTOTAL(103,Décembre[10])</f>
        <v>0</v>
      </c>
      <c r="M12" s="11">
        <f>SUBTOTAL(103,Décembre[11])</f>
        <v>0</v>
      </c>
      <c r="N12" s="11">
        <f>SUBTOTAL(103,Décembre[12])</f>
        <v>0</v>
      </c>
      <c r="O12" s="11">
        <f>SUBTOTAL(103,Décembre[13])</f>
        <v>0</v>
      </c>
      <c r="P12" s="11">
        <f>SUBTOTAL(103,Décembre[14])</f>
        <v>0</v>
      </c>
      <c r="Q12" s="11">
        <f>SUBTOTAL(103,Décembre[15])</f>
        <v>0</v>
      </c>
      <c r="R12" s="11">
        <f>SUBTOTAL(103,Décembre[16])</f>
        <v>0</v>
      </c>
      <c r="S12" s="11">
        <f>SUBTOTAL(103,Décembre[17])</f>
        <v>0</v>
      </c>
      <c r="T12" s="11">
        <f>SUBTOTAL(103,Décembre[18])</f>
        <v>0</v>
      </c>
      <c r="U12" s="11">
        <f>SUBTOTAL(103,Décembre[19])</f>
        <v>0</v>
      </c>
      <c r="V12" s="11">
        <f>SUBTOTAL(103,Décembre[20])</f>
        <v>0</v>
      </c>
      <c r="W12" s="11">
        <f>SUBTOTAL(103,Décembre[21])</f>
        <v>0</v>
      </c>
      <c r="X12" s="11">
        <f>SUBTOTAL(103,Décembre[22])</f>
        <v>0</v>
      </c>
      <c r="Y12" s="11">
        <f>SUBTOTAL(103,Décembre[23])</f>
        <v>0</v>
      </c>
      <c r="Z12" s="11">
        <f>SUBTOTAL(103,Décembre[24])</f>
        <v>0</v>
      </c>
      <c r="AA12" s="11">
        <f>SUBTOTAL(103,Décembre[25])</f>
        <v>0</v>
      </c>
      <c r="AB12" s="11">
        <f>SUBTOTAL(103,Décembre[26])</f>
        <v>0</v>
      </c>
      <c r="AC12" s="11">
        <f>SUBTOTAL(103,Décembre[27])</f>
        <v>0</v>
      </c>
      <c r="AD12" s="11">
        <f>SUBTOTAL(103,Décembre[28])</f>
        <v>0</v>
      </c>
      <c r="AE12" s="11">
        <f>SUBTOTAL(103,Décembre[29])</f>
        <v>0</v>
      </c>
      <c r="AF12" s="11">
        <f>SUBTOTAL(109,Décembre[30])</f>
        <v>0</v>
      </c>
      <c r="AG12" s="11">
        <f>SUBTOTAL(109,Décembre[31])</f>
        <v>0</v>
      </c>
      <c r="AH12" s="11">
        <f>SUBTOTAL(109,Décembre[Total des jours])</f>
        <v>0</v>
      </c>
    </row>
  </sheetData>
  <mergeCells count="4">
    <mergeCell ref="C4:AG4"/>
    <mergeCell ref="D2:E2"/>
    <mergeCell ref="G2:I2"/>
    <mergeCell ref="K2:L2"/>
  </mergeCells>
  <conditionalFormatting sqref="C7:AG11">
    <cfRule type="expression" priority="1" stopIfTrue="1">
      <formula>C7=""</formula>
    </cfRule>
  </conditionalFormatting>
  <conditionalFormatting sqref="C7:AG11">
    <cfRule type="expression" dxfId="4" priority="2" stopIfTrue="1">
      <formula>C7=CléPersonnalisée2</formula>
    </cfRule>
    <cfRule type="expression" dxfId="3" priority="3" stopIfTrue="1">
      <formula>C7=CléPersonnalisée1</formula>
    </cfRule>
    <cfRule type="expression" dxfId="2" priority="4" stopIfTrue="1">
      <formula>C7=CléMaladie</formula>
    </cfRule>
    <cfRule type="expression" dxfId="1" priority="5" stopIfTrue="1">
      <formula>C7=CléPersonnel</formula>
    </cfRule>
    <cfRule type="expression" dxfId="0" priority="6" stopIfTrue="1">
      <formula>C7=CléCongé</formula>
    </cfRule>
  </conditionalFormatting>
  <conditionalFormatting sqref="AH7:AH11">
    <cfRule type="dataBar" priority="30">
      <dataBar>
        <cfvo type="min"/>
        <cfvo type="formula" val="DATEDIF(DATE(CalendarYear,2,1),DATE(CalendarYear,3,1),&quot;d&quot;)"/>
        <color theme="2" tint="-0.249977111117893"/>
      </dataBar>
      <extLst>
        <ext xmlns:x14="http://schemas.microsoft.com/office/spreadsheetml/2009/9/main" uri="{B025F937-C7B1-47D3-B67F-A62EFF666E3E}">
          <x14:id>{17586780-365B-4F4C-BBB4-F5991705D361}</x14:id>
        </ext>
      </extLst>
    </cfRule>
  </conditionalFormatting>
  <dataValidations count="12">
    <dataValidation allowBlank="1" showInputMessage="1" showErrorMessage="1" prompt="Année mise à jour automatiquement en fonction de l’année entrée dans la feuille de calcul Janvier" sqref="AH4" xr:uid="{00000000-0002-0000-0B00-000000000000}"/>
    <dataValidation allowBlank="1" showInputMessage="1" showErrorMessage="1" prompt="Calcule automatiquement le nombre total de jours d’absence d’un employé durant ce mois dans cette colonne" sqref="AH6" xr:uid="{00000000-0002-0000-0B00-000001000000}"/>
    <dataValidation allowBlank="1" showInputMessage="1" showErrorMessage="1" prompt="Suivez les absences du mois de décembre dans cette feuille de calcul" sqref="A1" xr:uid="{00000000-0002-0000-0B00-000002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B00-000003000000}"/>
    <dataValidation allowBlank="1" showInputMessage="1" showErrorMessage="1" prompt="Le titre mis à jour automatiquement figure dans cette cellule. Pour modifier le titre, mettez à jour la cellule B1 de la feuille de calcul Janvier" sqref="B1" xr:uid="{00000000-0002-0000-0B00-000004000000}"/>
    <dataValidation allowBlank="1" showInputMessage="1" showErrorMessage="1" prompt="La lettre « C » indique une absence pour cause de congé" sqref="C2" xr:uid="{00000000-0002-0000-0B00-000005000000}"/>
    <dataValidation allowBlank="1" showInputMessage="1" showErrorMessage="1" prompt="La lettre « P » indique une absence pour motifs personnels" sqref="F2" xr:uid="{00000000-0002-0000-0B00-000006000000}"/>
    <dataValidation allowBlank="1" showInputMessage="1" showErrorMessage="1" prompt="La lettre « M » indique une absence pour cause de maladie" sqref="J2" xr:uid="{00000000-0002-0000-0B00-000007000000}"/>
    <dataValidation allowBlank="1" showInputMessage="1" showErrorMessage="1" prompt="Cette ligne définit les clés utilisées dans le tableau : Congé en C2, Personnel en F2 et Congé maladie en J2. Les cellules M2 et R2 sont personnalisables " sqref="B2" xr:uid="{00000000-0002-0000-0B00-00000A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B00-00000B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B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B00-00000D000000}"/>
  </dataValidations>
  <printOptions horizontalCentered="1"/>
  <pageMargins left="0.25" right="0.25" top="0.75" bottom="0.75" header="0.3" footer="0.3"/>
  <pageSetup paperSize="9" scale="75"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7586780-365B-4F4C-BBB4-F5991705D361}">
            <x14:dataBar minLength="0" maxLength="100">
              <x14:cfvo type="autoMin"/>
              <x14:cfvo type="formula">
                <xm:f>DATEDIF(DATE(CalendarYear,2,1),DATE(CalendarYear,3,1),"d")</xm:f>
              </x14:cfvo>
              <x14:negativeFillColor rgb="FFFF0000"/>
              <x14:axisColor rgb="FF000000"/>
            </x14:dataBar>
          </x14:cfRule>
          <xm:sqref>AH7:AH11</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r:uid="{00000000-0002-0000-0B00-00000E000000}">
          <x14:formula1>
            <xm:f>'Noms des employés'!$B$4:$B$8</xm:f>
          </x14:formula1>
          <xm:sqref>B7:B11</xm:sqref>
        </x14:dataValidation>
      </x14:dataValidation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tabColor theme="1"/>
    <pageSetUpPr fitToPage="1"/>
  </sheetPr>
  <dimension ref="B1:B8"/>
  <sheetViews>
    <sheetView showGridLines="0" workbookViewId="0">
      <selection activeCell="H5" sqref="H5"/>
    </sheetView>
  </sheetViews>
  <sheetFormatPr baseColWidth="10" defaultColWidth="9.140625" defaultRowHeight="30" customHeight="1" x14ac:dyDescent="0.25"/>
  <cols>
    <col min="1" max="1" width="2.7109375" customWidth="1"/>
    <col min="2" max="2" width="30.7109375" customWidth="1"/>
    <col min="3" max="3" width="2.7109375" customWidth="1"/>
  </cols>
  <sheetData>
    <row r="1" spans="2:2" ht="50.1" customHeight="1" x14ac:dyDescent="0.25">
      <c r="B1" s="19" t="s">
        <v>58</v>
      </c>
    </row>
    <row r="2" spans="2:2" ht="15" customHeight="1" x14ac:dyDescent="0.25"/>
    <row r="3" spans="2:2" ht="30" customHeight="1" x14ac:dyDescent="0.25">
      <c r="B3" t="s">
        <v>58</v>
      </c>
    </row>
    <row r="4" spans="2:2" ht="30" customHeight="1" x14ac:dyDescent="0.25">
      <c r="B4" s="1" t="s">
        <v>3</v>
      </c>
    </row>
    <row r="5" spans="2:2" ht="30" customHeight="1" x14ac:dyDescent="0.25">
      <c r="B5" s="1" t="s">
        <v>4</v>
      </c>
    </row>
    <row r="6" spans="2:2" ht="30" customHeight="1" x14ac:dyDescent="0.25">
      <c r="B6" s="1" t="s">
        <v>5</v>
      </c>
    </row>
    <row r="7" spans="2:2" ht="30" customHeight="1" x14ac:dyDescent="0.25">
      <c r="B7" s="1" t="s">
        <v>6</v>
      </c>
    </row>
    <row r="8" spans="2:2" ht="30" customHeight="1" x14ac:dyDescent="0.25">
      <c r="B8" s="1" t="s">
        <v>7</v>
      </c>
    </row>
  </sheetData>
  <dataValidations count="3">
    <dataValidation allowBlank="1" showInputMessage="1" showErrorMessage="1" prompt="Titre Noms des employés" sqref="B1" xr:uid="{00000000-0002-0000-0C00-000000000000}"/>
    <dataValidation allowBlank="1" showInputMessage="1" showErrorMessage="1" prompt="Entrez les noms des employés dans le tableau Noms des employés dans cette feuille de calcul. Ces noms sont utilisés en tant qu’options dans la colonne B du tableau des absences de chaque mois." sqref="A1" xr:uid="{00000000-0002-0000-0C00-000001000000}"/>
    <dataValidation allowBlank="1" showInputMessage="1" showErrorMessage="1" prompt="Entrez les noms des employés dans cette colonne" sqref="B3" xr:uid="{00000000-0002-0000-0C00-000002000000}"/>
  </dataValidations>
  <printOptions horizontalCentered="1"/>
  <pageMargins left="0.25" right="0.25" top="0.75" bottom="0.75" header="0.3" footer="0.3"/>
  <pageSetup paperSize="9" fitToHeight="0" orientation="landscape" r:id="rId1"/>
  <headerFooter differentFirst="1">
    <oddFooter>Page &amp;P of &amp;N</oddFooter>
  </headerFooter>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46</vt:i4>
      </vt:variant>
    </vt:vector>
  </HeadingPairs>
  <TitlesOfParts>
    <vt:vector size="59" baseType="lpstr">
      <vt:lpstr>Janvier</vt:lpstr>
      <vt:lpstr>Février</vt:lpstr>
      <vt:lpstr>Mars</vt:lpstr>
      <vt:lpstr>Avril</vt:lpstr>
      <vt:lpstr>Mai</vt:lpstr>
      <vt:lpstr>Juin</vt:lpstr>
      <vt:lpstr>Juillet</vt:lpstr>
      <vt:lpstr>Août</vt:lpstr>
      <vt:lpstr>Septembre</vt:lpstr>
      <vt:lpstr>Octobre</vt:lpstr>
      <vt:lpstr>Novembre</vt:lpstr>
      <vt:lpstr>Décembre</vt:lpstr>
      <vt:lpstr>Noms des employés</vt:lpstr>
      <vt:lpstr>AnnéeCalendrier</vt:lpstr>
      <vt:lpstr>CléCongé</vt:lpstr>
      <vt:lpstr>CléMaladie</vt:lpstr>
      <vt:lpstr>CléPersonnel</vt:lpstr>
      <vt:lpstr>ÉtiquetteCléCongé</vt:lpstr>
      <vt:lpstr>ÉtiquetteCléMaladie</vt:lpstr>
      <vt:lpstr>ÉtiquetteCléPersonnel</vt:lpstr>
      <vt:lpstr>Août!Impression_des_titres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Nom_clé</vt:lpstr>
      <vt:lpstr>Août!NomMois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Titre_Absence_Employé</vt:lpstr>
      <vt:lpstr>Titre1</vt:lpstr>
      <vt:lpstr>Titre10</vt:lpstr>
      <vt:lpstr>Titre11</vt:lpstr>
      <vt:lpstr>Titre12</vt:lpstr>
      <vt:lpstr>Titre2</vt:lpstr>
      <vt:lpstr>Titre3</vt:lpstr>
      <vt:lpstr>Titre4</vt:lpstr>
      <vt:lpstr>Titre5</vt:lpstr>
      <vt:lpstr>Titre6</vt:lpstr>
      <vt:lpstr>Titre7</vt:lpstr>
      <vt:lpstr>Titre8</vt:lpstr>
      <vt:lpstr>Titre9</vt:lpstr>
      <vt:lpstr>TitreColonne13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pauline95</dc:creator>
  <cp:lastModifiedBy>pauline95</cp:lastModifiedBy>
  <dcterms:created xsi:type="dcterms:W3CDTF">2016-12-06T04:52:27Z</dcterms:created>
  <dcterms:modified xsi:type="dcterms:W3CDTF">2018-04-07T11:53:02Z</dcterms:modified>
</cp:coreProperties>
</file>