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ctrlProps/ctrlProp14.xml" ContentType="application/vnd.ms-excel.controlproperties+xml"/>
  <Override PartName="/xl/ctrlProps/ctrlProp15.xml" ContentType="application/vnd.ms-excel.controlproperties+xml"/>
  <Override PartName="/xl/ctrlProps/ctrlProp16.xml" ContentType="application/vnd.ms-excel.controlproperties+xml"/>
  <Override PartName="/xl/ctrlProps/ctrlProp17.xml" ContentType="application/vnd.ms-excel.controlproperties+xml"/>
  <Override PartName="/xl/ctrlProps/ctrlProp18.xml" ContentType="application/vnd.ms-excel.controlproperties+xml"/>
  <Override PartName="/xl/ctrlProps/ctrlProp19.xml" ContentType="application/vnd.ms-excel.controlproperties+xml"/>
  <Override PartName="/xl/ctrlProps/ctrlProp20.xml" ContentType="application/vnd.ms-excel.controlproperties+xml"/>
  <Override PartName="/xl/ctrlProps/ctrlProp21.xml" ContentType="application/vnd.ms-excel.controlproperties+xml"/>
  <Override PartName="/xl/ctrlProps/ctrlProp22.xml" ContentType="application/vnd.ms-excel.controlproperties+xml"/>
  <Override PartName="/xl/ctrlProps/ctrlProp23.xml" ContentType="application/vnd.ms-excel.controlproperties+xml"/>
  <Override PartName="/xl/ctrlProps/ctrlProp24.xml" ContentType="application/vnd.ms-excel.controlproperties+xml"/>
  <Override PartName="/xl/ctrlProps/ctrlProp25.xml" ContentType="application/vnd.ms-excel.controlproperties+xml"/>
  <Override PartName="/xl/ctrlProps/ctrlProp26.xml" ContentType="application/vnd.ms-excel.controlproperties+xml"/>
  <Override PartName="/xl/ctrlProps/ctrlProp27.xml" ContentType="application/vnd.ms-excel.controlproperties+xml"/>
  <Override PartName="/xl/ctrlProps/ctrlProp28.xml" ContentType="application/vnd.ms-excel.controlproperties+xml"/>
  <Override PartName="/xl/ctrlProps/ctrlProp29.xml" ContentType="application/vnd.ms-excel.controlproperties+xml"/>
  <Override PartName="/xl/ctrlProps/ctrlProp30.xml" ContentType="application/vnd.ms-excel.controlproperties+xml"/>
  <Override PartName="/xl/ctrlProps/ctrlProp31.xml" ContentType="application/vnd.ms-excel.controlproperties+xml"/>
  <Override PartName="/xl/ctrlProps/ctrlProp32.xml" ContentType="application/vnd.ms-excel.controlproperties+xml"/>
  <Override PartName="/xl/ctrlProps/ctrlProp33.xml" ContentType="application/vnd.ms-excel.controlproperties+xml"/>
  <Override PartName="/xl/ctrlProps/ctrlProp34.xml" ContentType="application/vnd.ms-excel.controlproperties+xml"/>
  <Override PartName="/xl/ctrlProps/ctrlProp35.xml" ContentType="application/vnd.ms-excel.controlproperties+xml"/>
  <Override PartName="/xl/ctrlProps/ctrlProp36.xml" ContentType="application/vnd.ms-excel.controlproperties+xml"/>
  <Override PartName="/xl/ctrlProps/ctrlProp37.xml" ContentType="application/vnd.ms-excel.controlproperties+xml"/>
  <Override PartName="/xl/ctrlProps/ctrlProp38.xml" ContentType="application/vnd.ms-excel.controlproperties+xml"/>
  <Override PartName="/xl/ctrlProps/ctrlProp39.xml" ContentType="application/vnd.ms-excel.controlproperties+xml"/>
  <Override PartName="/xl/ctrlProps/ctrlProp40.xml" ContentType="application/vnd.ms-excel.controlproperties+xml"/>
  <Override PartName="/xl/ctrlProps/ctrlProp41.xml" ContentType="application/vnd.ms-excel.controlproperties+xml"/>
  <Override PartName="/xl/ctrlProps/ctrlProp42.xml" ContentType="application/vnd.ms-excel.controlproperties+xml"/>
  <Override PartName="/xl/ctrlProps/ctrlProp43.xml" ContentType="application/vnd.ms-excel.controlproperties+xml"/>
  <Override PartName="/xl/ctrlProps/ctrlProp44.xml" ContentType="application/vnd.ms-excel.controlproperties+xml"/>
  <Override PartName="/xl/ctrlProps/ctrlProp45.xml" ContentType="application/vnd.ms-excel.controlproperties+xml"/>
  <Override PartName="/xl/ctrlProps/ctrlProp46.xml" ContentType="application/vnd.ms-excel.controlproperties+xml"/>
  <Override PartName="/xl/ctrlProps/ctrlProp47.xml" ContentType="application/vnd.ms-excel.controlproperties+xml"/>
  <Override PartName="/xl/ctrlProps/ctrlProp48.xml" ContentType="application/vnd.ms-excel.controlproperties+xml"/>
  <Override PartName="/xl/ctrlProps/ctrlProp49.xml" ContentType="application/vnd.ms-excel.controlproperties+xml"/>
  <Override PartName="/xl/ctrlProps/ctrlProp50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90" windowWidth="17715" windowHeight="5445"/>
  </bookViews>
  <sheets>
    <sheet name="Feuil1" sheetId="1" r:id="rId1"/>
    <sheet name="Feuil2" sheetId="2" r:id="rId2"/>
    <sheet name="Feuil3" sheetId="3" state="hidden" r:id="rId3"/>
  </sheets>
  <definedNames>
    <definedName name="Activité">Feuil1!$A$305</definedName>
    <definedName name="Date">Feuil1!$D$4</definedName>
    <definedName name="Habitudes">Feuil1!$A$317</definedName>
    <definedName name="Historique">Feuil1!$A$298</definedName>
    <definedName name="IMC">Feuil1!$F$74</definedName>
    <definedName name="Naissance">Feuil1!$C$10</definedName>
    <definedName name="Nom">Feuil1!$B$8</definedName>
    <definedName name="Objectifs">Feuil1!$A$288</definedName>
    <definedName name="Poids_actuel">Feuil1!$B$62</definedName>
    <definedName name="Prénom">Feuil1!$B$9</definedName>
    <definedName name="Repas">Feuil1!$A$311</definedName>
    <definedName name="Taille">Feuil1!$B$74</definedName>
  </definedNames>
  <calcPr calcId="145621"/>
</workbook>
</file>

<file path=xl/calcChain.xml><?xml version="1.0" encoding="utf-8"?>
<calcChain xmlns="http://schemas.openxmlformats.org/spreadsheetml/2006/main">
  <c r="A311" i="1" l="1"/>
  <c r="A305" i="1"/>
  <c r="A298" i="1"/>
  <c r="G199" i="1" l="1"/>
  <c r="G220" i="1" l="1"/>
  <c r="B37" i="2" l="1"/>
  <c r="B51" i="2" l="1"/>
  <c r="C51" i="2" s="1"/>
  <c r="G235" i="1"/>
  <c r="B52" i="2" s="1"/>
  <c r="X52" i="2" s="1"/>
  <c r="B50" i="2"/>
  <c r="X50" i="2" s="1"/>
  <c r="X37" i="2"/>
  <c r="C52" i="2" l="1"/>
  <c r="E52" i="2"/>
  <c r="G52" i="2"/>
  <c r="I52" i="2"/>
  <c r="K52" i="2"/>
  <c r="M52" i="2"/>
  <c r="O52" i="2"/>
  <c r="Q52" i="2"/>
  <c r="S52" i="2"/>
  <c r="U52" i="2"/>
  <c r="W52" i="2"/>
  <c r="D52" i="2"/>
  <c r="F52" i="2"/>
  <c r="H52" i="2"/>
  <c r="J52" i="2"/>
  <c r="L52" i="2"/>
  <c r="N52" i="2"/>
  <c r="P52" i="2"/>
  <c r="R52" i="2"/>
  <c r="T52" i="2"/>
  <c r="V52" i="2"/>
  <c r="E37" i="2"/>
  <c r="I37" i="2"/>
  <c r="N37" i="2"/>
  <c r="T37" i="2"/>
  <c r="C37" i="2"/>
  <c r="G37" i="2"/>
  <c r="K37" i="2"/>
  <c r="P37" i="2"/>
  <c r="W37" i="2"/>
  <c r="D50" i="2"/>
  <c r="G50" i="2"/>
  <c r="I50" i="2"/>
  <c r="K50" i="2"/>
  <c r="M50" i="2"/>
  <c r="O50" i="2"/>
  <c r="T50" i="2"/>
  <c r="W50" i="2"/>
  <c r="C50" i="2"/>
  <c r="F50" i="2"/>
  <c r="H50" i="2"/>
  <c r="J50" i="2"/>
  <c r="L50" i="2"/>
  <c r="E50" i="2"/>
  <c r="N50" i="2"/>
  <c r="P50" i="2"/>
  <c r="V50" i="2"/>
  <c r="D37" i="2"/>
  <c r="F37" i="2"/>
  <c r="H37" i="2"/>
  <c r="J37" i="2"/>
  <c r="M37" i="2"/>
  <c r="O37" i="2"/>
  <c r="Q37" i="2"/>
  <c r="U37" i="2"/>
  <c r="H3" i="2"/>
  <c r="G210" i="1" l="1"/>
  <c r="B24" i="2" l="1"/>
  <c r="B23" i="2"/>
  <c r="B22" i="2"/>
  <c r="B18" i="2"/>
  <c r="B17" i="2"/>
  <c r="B19" i="2"/>
  <c r="B14" i="2"/>
  <c r="U14" i="2" s="1"/>
  <c r="B13" i="2"/>
  <c r="F13" i="2" s="1"/>
  <c r="B10" i="2"/>
  <c r="G198" i="1"/>
  <c r="B38" i="2" s="1"/>
  <c r="G178" i="1"/>
  <c r="B25" i="2" s="1"/>
  <c r="X25" i="2" s="1"/>
  <c r="X38" i="2" l="1"/>
  <c r="E38" i="2"/>
  <c r="M38" i="2"/>
  <c r="C38" i="2"/>
  <c r="G38" i="2"/>
  <c r="K38" i="2"/>
  <c r="P38" i="2"/>
  <c r="W38" i="2"/>
  <c r="F38" i="2"/>
  <c r="J38" i="2"/>
  <c r="O38" i="2"/>
  <c r="U38" i="2"/>
  <c r="I38" i="2"/>
  <c r="N38" i="2"/>
  <c r="T38" i="2"/>
  <c r="D38" i="2"/>
  <c r="H38" i="2"/>
  <c r="Q38" i="2"/>
  <c r="W22" i="2"/>
  <c r="U22" i="2"/>
  <c r="S22" i="2"/>
  <c r="P22" i="2"/>
  <c r="N22" i="2"/>
  <c r="L22" i="2"/>
  <c r="J22" i="2"/>
  <c r="H22" i="2"/>
  <c r="F22" i="2"/>
  <c r="C22" i="2"/>
  <c r="X22" i="2"/>
  <c r="V22" i="2"/>
  <c r="T22" i="2"/>
  <c r="Q22" i="2"/>
  <c r="O22" i="2"/>
  <c r="M22" i="2"/>
  <c r="K22" i="2"/>
  <c r="I22" i="2"/>
  <c r="G22" i="2"/>
  <c r="D22" i="2"/>
  <c r="X10" i="2"/>
  <c r="K10" i="2"/>
  <c r="I10" i="2"/>
  <c r="G10" i="2"/>
  <c r="N10" i="2"/>
  <c r="M10" i="2"/>
  <c r="D10" i="2"/>
  <c r="Q10" i="2"/>
  <c r="J10" i="2"/>
  <c r="W10" i="2"/>
  <c r="E10" i="2"/>
  <c r="O10" i="2"/>
  <c r="H10" i="2"/>
  <c r="F10" i="2"/>
  <c r="C10" i="2"/>
  <c r="T17" i="2"/>
  <c r="X17" i="2"/>
  <c r="O17" i="2"/>
  <c r="L17" i="2"/>
  <c r="J17" i="2"/>
  <c r="G17" i="2"/>
  <c r="E17" i="2"/>
  <c r="C17" i="2"/>
  <c r="U17" i="2"/>
  <c r="S17" i="2"/>
  <c r="P17" i="2"/>
  <c r="M17" i="2"/>
  <c r="K17" i="2"/>
  <c r="H17" i="2"/>
  <c r="F17" i="2"/>
  <c r="D17" i="2"/>
  <c r="W19" i="2"/>
  <c r="U19" i="2"/>
  <c r="P19" i="2"/>
  <c r="N19" i="2"/>
  <c r="L19" i="2"/>
  <c r="J19" i="2"/>
  <c r="H19" i="2"/>
  <c r="F19" i="2"/>
  <c r="D19" i="2"/>
  <c r="X19" i="2"/>
  <c r="Q19" i="2"/>
  <c r="O19" i="2"/>
  <c r="M19" i="2"/>
  <c r="K19" i="2"/>
  <c r="I19" i="2"/>
  <c r="G19" i="2"/>
  <c r="E19" i="2"/>
  <c r="C19" i="2"/>
  <c r="X18" i="2"/>
  <c r="T18" i="2"/>
  <c r="Q18" i="2"/>
  <c r="O18" i="2"/>
  <c r="M18" i="2"/>
  <c r="K18" i="2"/>
  <c r="I18" i="2"/>
  <c r="G18" i="2"/>
  <c r="E18" i="2"/>
  <c r="C18" i="2"/>
  <c r="U18" i="2"/>
  <c r="S18" i="2"/>
  <c r="P18" i="2"/>
  <c r="N18" i="2"/>
  <c r="L18" i="2"/>
  <c r="J18" i="2"/>
  <c r="H18" i="2"/>
  <c r="F18" i="2"/>
  <c r="D18" i="2"/>
  <c r="R19" i="2"/>
  <c r="T19" i="2"/>
  <c r="F14" i="2"/>
  <c r="H14" i="2"/>
  <c r="J14" i="2"/>
  <c r="M14" i="2"/>
  <c r="O14" i="2"/>
  <c r="T14" i="2"/>
  <c r="X14" i="2"/>
  <c r="E14" i="2"/>
  <c r="G14" i="2"/>
  <c r="I14" i="2"/>
  <c r="K14" i="2"/>
  <c r="N14" i="2"/>
  <c r="P14" i="2"/>
  <c r="E13" i="2"/>
  <c r="H13" i="2"/>
  <c r="J13" i="2"/>
  <c r="M13" i="2"/>
  <c r="O13" i="2"/>
  <c r="T13" i="2"/>
  <c r="X13" i="2"/>
  <c r="G13" i="2"/>
  <c r="I13" i="2"/>
  <c r="K13" i="2"/>
  <c r="N13" i="2"/>
  <c r="P13" i="2"/>
  <c r="U13" i="2"/>
  <c r="E25" i="2"/>
  <c r="G25" i="2"/>
  <c r="I25" i="2"/>
  <c r="K25" i="2"/>
  <c r="M25" i="2"/>
  <c r="O25" i="2"/>
  <c r="S25" i="2"/>
  <c r="U25" i="2"/>
  <c r="W25" i="2"/>
  <c r="F25" i="2"/>
  <c r="H25" i="2"/>
  <c r="J25" i="2"/>
  <c r="L25" i="2"/>
  <c r="N25" i="2"/>
  <c r="P25" i="2"/>
  <c r="T25" i="2"/>
  <c r="V25" i="2"/>
  <c r="B30" i="2"/>
  <c r="B29" i="2"/>
  <c r="W29" i="2" l="1"/>
  <c r="O29" i="2"/>
  <c r="M29" i="2"/>
  <c r="K29" i="2"/>
  <c r="I29" i="2"/>
  <c r="G29" i="2"/>
  <c r="E29" i="2"/>
  <c r="C29" i="2"/>
  <c r="X29" i="2"/>
  <c r="P29" i="2"/>
  <c r="N29" i="2"/>
  <c r="L29" i="2"/>
  <c r="J29" i="2"/>
  <c r="H29" i="2"/>
  <c r="F29" i="2"/>
  <c r="D29" i="2"/>
  <c r="X30" i="2"/>
  <c r="U30" i="2"/>
  <c r="N30" i="2"/>
  <c r="K30" i="2"/>
  <c r="I30" i="2"/>
  <c r="G30" i="2"/>
  <c r="E30" i="2"/>
  <c r="C30" i="2"/>
  <c r="W30" i="2"/>
  <c r="T30" i="2"/>
  <c r="M30" i="2"/>
  <c r="J30" i="2"/>
  <c r="H30" i="2"/>
  <c r="F30" i="2"/>
  <c r="D30" i="2"/>
  <c r="C13" i="2"/>
  <c r="D13" i="2" s="1"/>
  <c r="C14" i="2"/>
  <c r="D14" i="2" s="1"/>
  <c r="C25" i="2"/>
  <c r="D25" i="2" s="1"/>
  <c r="B21" i="2"/>
  <c r="B20" i="2"/>
  <c r="B9" i="2"/>
  <c r="B12" i="2"/>
  <c r="B15" i="2"/>
  <c r="B31" i="2"/>
  <c r="B36" i="2"/>
  <c r="B42" i="2"/>
  <c r="B43" i="2"/>
  <c r="B45" i="2"/>
  <c r="B49" i="2"/>
  <c r="B55" i="2"/>
  <c r="B56" i="2"/>
  <c r="B57" i="2"/>
  <c r="B60" i="2"/>
  <c r="B61" i="2"/>
  <c r="B62" i="2"/>
  <c r="B63" i="2"/>
  <c r="B64" i="2"/>
  <c r="B65" i="2"/>
  <c r="X49" i="2" l="1"/>
  <c r="U49" i="2"/>
  <c r="P49" i="2"/>
  <c r="N49" i="2"/>
  <c r="K49" i="2"/>
  <c r="I49" i="2"/>
  <c r="G49" i="2"/>
  <c r="E49" i="2"/>
  <c r="C49" i="2"/>
  <c r="W49" i="2"/>
  <c r="Q49" i="2"/>
  <c r="O49" i="2"/>
  <c r="M49" i="2"/>
  <c r="J49" i="2"/>
  <c r="H49" i="2"/>
  <c r="F49" i="2"/>
  <c r="D49" i="2"/>
  <c r="X43" i="2"/>
  <c r="V43" i="2"/>
  <c r="T43" i="2"/>
  <c r="R43" i="2"/>
  <c r="O43" i="2"/>
  <c r="M43" i="2"/>
  <c r="K43" i="2"/>
  <c r="I43" i="2"/>
  <c r="G43" i="2"/>
  <c r="E43" i="2"/>
  <c r="C43" i="2"/>
  <c r="W43" i="2"/>
  <c r="U43" i="2"/>
  <c r="S43" i="2"/>
  <c r="P43" i="2"/>
  <c r="N43" i="2"/>
  <c r="L43" i="2"/>
  <c r="J43" i="2"/>
  <c r="H43" i="2"/>
  <c r="F43" i="2"/>
  <c r="D43" i="2"/>
  <c r="X51" i="2"/>
  <c r="T51" i="2"/>
  <c r="P51" i="2"/>
  <c r="N51" i="2"/>
  <c r="K51" i="2"/>
  <c r="I51" i="2"/>
  <c r="G51" i="2"/>
  <c r="E51" i="2"/>
  <c r="U51" i="2"/>
  <c r="Q51" i="2"/>
  <c r="O51" i="2"/>
  <c r="M51" i="2"/>
  <c r="J51" i="2"/>
  <c r="H51" i="2"/>
  <c r="F51" i="2"/>
  <c r="D51" i="2"/>
  <c r="W45" i="2"/>
  <c r="T45" i="2"/>
  <c r="Q45" i="2"/>
  <c r="O45" i="2"/>
  <c r="M45" i="2"/>
  <c r="K45" i="2"/>
  <c r="I45" i="2"/>
  <c r="G45" i="2"/>
  <c r="E45" i="2"/>
  <c r="C45" i="2"/>
  <c r="X45" i="2"/>
  <c r="U45" i="2"/>
  <c r="R45" i="2"/>
  <c r="P45" i="2"/>
  <c r="N45" i="2"/>
  <c r="L45" i="2"/>
  <c r="J45" i="2"/>
  <c r="H45" i="2"/>
  <c r="F45" i="2"/>
  <c r="D45" i="2"/>
  <c r="W42" i="2"/>
  <c r="U42" i="2"/>
  <c r="S42" i="2"/>
  <c r="Q42" i="2"/>
  <c r="O42" i="2"/>
  <c r="M42" i="2"/>
  <c r="K42" i="2"/>
  <c r="I42" i="2"/>
  <c r="G42" i="2"/>
  <c r="E42" i="2"/>
  <c r="C42" i="2"/>
  <c r="X42" i="2"/>
  <c r="V42" i="2"/>
  <c r="T42" i="2"/>
  <c r="R42" i="2"/>
  <c r="P42" i="2"/>
  <c r="N42" i="2"/>
  <c r="L42" i="2"/>
  <c r="J42" i="2"/>
  <c r="H42" i="2"/>
  <c r="F42" i="2"/>
  <c r="D42" i="2"/>
  <c r="W12" i="2"/>
  <c r="U12" i="2"/>
  <c r="S12" i="2"/>
  <c r="P12" i="2"/>
  <c r="N12" i="2"/>
  <c r="L12" i="2"/>
  <c r="J12" i="2"/>
  <c r="H12" i="2"/>
  <c r="F12" i="2"/>
  <c r="D12" i="2"/>
  <c r="X12" i="2"/>
  <c r="V12" i="2"/>
  <c r="T12" i="2"/>
  <c r="Q12" i="2"/>
  <c r="O12" i="2"/>
  <c r="M12" i="2"/>
  <c r="K12" i="2"/>
  <c r="I12" i="2"/>
  <c r="G12" i="2"/>
  <c r="E12" i="2"/>
  <c r="C12" i="2"/>
  <c r="U20" i="2"/>
  <c r="S20" i="2"/>
  <c r="P20" i="2"/>
  <c r="L20" i="2"/>
  <c r="J20" i="2"/>
  <c r="H20" i="2"/>
  <c r="F20" i="2"/>
  <c r="D20" i="2"/>
  <c r="X20" i="2"/>
  <c r="T20" i="2"/>
  <c r="Q20" i="2"/>
  <c r="O20" i="2"/>
  <c r="K20" i="2"/>
  <c r="I20" i="2"/>
  <c r="G20" i="2"/>
  <c r="E20" i="2"/>
  <c r="C20" i="2"/>
  <c r="W31" i="2"/>
  <c r="V31" i="2"/>
  <c r="T31" i="2"/>
  <c r="R31" i="2"/>
  <c r="P31" i="2"/>
  <c r="N31" i="2"/>
  <c r="L31" i="2"/>
  <c r="J31" i="2"/>
  <c r="H31" i="2"/>
  <c r="F31" i="2"/>
  <c r="D31" i="2"/>
  <c r="X31" i="2"/>
  <c r="U31" i="2"/>
  <c r="S31" i="2"/>
  <c r="Q31" i="2"/>
  <c r="O31" i="2"/>
  <c r="M31" i="2"/>
  <c r="K31" i="2"/>
  <c r="I31" i="2"/>
  <c r="G31" i="2"/>
  <c r="E31" i="2"/>
  <c r="C31" i="2"/>
  <c r="U9" i="2"/>
  <c r="T9" i="2"/>
  <c r="X9" i="2"/>
  <c r="Q9" i="2"/>
  <c r="P9" i="2"/>
  <c r="L9" i="2"/>
  <c r="J9" i="2"/>
  <c r="G9" i="2"/>
  <c r="F9" i="2"/>
  <c r="E9" i="2"/>
  <c r="C9" i="2"/>
  <c r="S9" i="2"/>
  <c r="O9" i="2"/>
  <c r="K9" i="2"/>
  <c r="H9" i="2"/>
  <c r="N9" i="2"/>
  <c r="M9" i="2"/>
  <c r="D9" i="2"/>
  <c r="C65" i="2"/>
  <c r="D65" i="2" s="1"/>
  <c r="L30" i="2"/>
  <c r="P10" i="2"/>
  <c r="R10" i="2"/>
  <c r="S10" i="2"/>
  <c r="T10" i="2"/>
  <c r="U10" i="2"/>
  <c r="V10" i="2"/>
  <c r="E46" i="2"/>
  <c r="F46" i="2"/>
  <c r="G46" i="2"/>
  <c r="H46" i="2"/>
  <c r="I46" i="2"/>
  <c r="J46" i="2"/>
  <c r="K46" i="2"/>
  <c r="L46" i="2"/>
  <c r="M46" i="2"/>
  <c r="N46" i="2"/>
  <c r="O46" i="2"/>
  <c r="P46" i="2"/>
  <c r="Q46" i="2"/>
  <c r="R46" i="2"/>
  <c r="S46" i="2"/>
  <c r="T46" i="2"/>
  <c r="U46" i="2"/>
  <c r="V46" i="2"/>
  <c r="W46" i="2"/>
  <c r="X46" i="2"/>
  <c r="E47" i="2"/>
  <c r="F47" i="2"/>
  <c r="H47" i="2"/>
  <c r="I47" i="2"/>
  <c r="J47" i="2"/>
  <c r="K47" i="2"/>
  <c r="L47" i="2"/>
  <c r="M47" i="2"/>
  <c r="N47" i="2"/>
  <c r="O47" i="2"/>
  <c r="P47" i="2"/>
  <c r="Q47" i="2"/>
  <c r="R47" i="2"/>
  <c r="S47" i="2"/>
  <c r="T47" i="2"/>
  <c r="U47" i="2"/>
  <c r="V47" i="2"/>
  <c r="W47" i="2"/>
  <c r="X47" i="2"/>
  <c r="B2" i="2"/>
  <c r="B3" i="2"/>
  <c r="G222" i="1"/>
  <c r="B59" i="2" s="1"/>
  <c r="G153" i="1"/>
  <c r="G152" i="1"/>
  <c r="E162" i="1"/>
  <c r="G209" i="1"/>
  <c r="B41" i="2" s="1"/>
  <c r="B44" i="2"/>
  <c r="G189" i="1"/>
  <c r="B34" i="2" s="1"/>
  <c r="W41" i="2" l="1"/>
  <c r="U41" i="2"/>
  <c r="S41" i="2"/>
  <c r="O41" i="2"/>
  <c r="M41" i="2"/>
  <c r="K41" i="2"/>
  <c r="I41" i="2"/>
  <c r="G41" i="2"/>
  <c r="E41" i="2"/>
  <c r="C41" i="2"/>
  <c r="X41" i="2"/>
  <c r="V41" i="2"/>
  <c r="T41" i="2"/>
  <c r="P41" i="2"/>
  <c r="N41" i="2"/>
  <c r="L41" i="2"/>
  <c r="J41" i="2"/>
  <c r="H41" i="2"/>
  <c r="F41" i="2"/>
  <c r="D41" i="2"/>
  <c r="W44" i="2"/>
  <c r="U44" i="2"/>
  <c r="R44" i="2"/>
  <c r="P44" i="2"/>
  <c r="N44" i="2"/>
  <c r="L44" i="2"/>
  <c r="J44" i="2"/>
  <c r="H44" i="2"/>
  <c r="F44" i="2"/>
  <c r="D44" i="2"/>
  <c r="X44" i="2"/>
  <c r="V44" i="2"/>
  <c r="T44" i="2"/>
  <c r="Q44" i="2"/>
  <c r="O44" i="2"/>
  <c r="M44" i="2"/>
  <c r="K44" i="2"/>
  <c r="I44" i="2"/>
  <c r="G44" i="2"/>
  <c r="E44" i="2"/>
  <c r="C44" i="2"/>
  <c r="C47" i="2"/>
  <c r="D47" i="2" s="1"/>
  <c r="C46" i="2"/>
  <c r="D46" i="2" s="1"/>
  <c r="E21" i="2"/>
  <c r="G21" i="2"/>
  <c r="I21" i="2"/>
  <c r="K21" i="2"/>
  <c r="O21" i="2"/>
  <c r="R21" i="2"/>
  <c r="T21" i="2"/>
  <c r="V21" i="2"/>
  <c r="F21" i="2"/>
  <c r="H21" i="2"/>
  <c r="J21" i="2"/>
  <c r="L21" i="2"/>
  <c r="P21" i="2"/>
  <c r="S21" i="2"/>
  <c r="U21" i="2"/>
  <c r="X21" i="2"/>
  <c r="E22" i="2"/>
  <c r="R22" i="2"/>
  <c r="R20" i="2"/>
  <c r="V20" i="2"/>
  <c r="E23" i="2"/>
  <c r="G23" i="2"/>
  <c r="I23" i="2"/>
  <c r="F23" i="2"/>
  <c r="L23" i="2"/>
  <c r="O23" i="2"/>
  <c r="R23" i="2"/>
  <c r="T23" i="2"/>
  <c r="V23" i="2"/>
  <c r="H23" i="2"/>
  <c r="M23" i="2"/>
  <c r="P23" i="2"/>
  <c r="S23" i="2"/>
  <c r="U23" i="2"/>
  <c r="X23" i="2"/>
  <c r="O30" i="2"/>
  <c r="S30" i="2"/>
  <c r="P30" i="2"/>
  <c r="E36" i="2"/>
  <c r="L36" i="2"/>
  <c r="N36" i="2"/>
  <c r="P36" i="2"/>
  <c r="R36" i="2"/>
  <c r="U36" i="2"/>
  <c r="X36" i="2"/>
  <c r="M36" i="2"/>
  <c r="Q36" i="2"/>
  <c r="W36" i="2"/>
  <c r="F36" i="2"/>
  <c r="O36" i="2"/>
  <c r="T36" i="2"/>
  <c r="R50" i="2"/>
  <c r="G57" i="2"/>
  <c r="I57" i="2"/>
  <c r="T57" i="2"/>
  <c r="F57" i="2"/>
  <c r="H57" i="2"/>
  <c r="L57" i="2"/>
  <c r="F59" i="2"/>
  <c r="H59" i="2"/>
  <c r="J59" i="2"/>
  <c r="L59" i="2"/>
  <c r="N59" i="2"/>
  <c r="P59" i="2"/>
  <c r="S59" i="2"/>
  <c r="U59" i="2"/>
  <c r="X59" i="2"/>
  <c r="E59" i="2"/>
  <c r="G59" i="2"/>
  <c r="I59" i="2"/>
  <c r="K59" i="2"/>
  <c r="M59" i="2"/>
  <c r="O59" i="2"/>
  <c r="R59" i="2"/>
  <c r="T59" i="2"/>
  <c r="V59" i="2"/>
  <c r="F60" i="2"/>
  <c r="H60" i="2"/>
  <c r="M60" i="2"/>
  <c r="P60" i="2"/>
  <c r="T60" i="2"/>
  <c r="E60" i="2"/>
  <c r="G60" i="2"/>
  <c r="I60" i="2"/>
  <c r="O60" i="2"/>
  <c r="R60" i="2"/>
  <c r="X60" i="2"/>
  <c r="E62" i="2"/>
  <c r="G62" i="2"/>
  <c r="I62" i="2"/>
  <c r="M62" i="2"/>
  <c r="P62" i="2"/>
  <c r="R62" i="2"/>
  <c r="T62" i="2"/>
  <c r="F62" i="2"/>
  <c r="H62" i="2"/>
  <c r="J62" i="2"/>
  <c r="O62" i="2"/>
  <c r="Q62" i="2"/>
  <c r="S62" i="2"/>
  <c r="X62" i="2"/>
  <c r="F64" i="2"/>
  <c r="H64" i="2"/>
  <c r="N64" i="2"/>
  <c r="P64" i="2"/>
  <c r="R64" i="2"/>
  <c r="T64" i="2"/>
  <c r="V64" i="2"/>
  <c r="X64" i="2"/>
  <c r="E64" i="2"/>
  <c r="W64" i="2"/>
  <c r="S64" i="2"/>
  <c r="O64" i="2"/>
  <c r="I64" i="2"/>
  <c r="J64" i="2" s="1"/>
  <c r="I17" i="2"/>
  <c r="R17" i="2"/>
  <c r="V17" i="2"/>
  <c r="R18" i="2"/>
  <c r="V18" i="2"/>
  <c r="T29" i="2"/>
  <c r="E34" i="2"/>
  <c r="G34" i="2"/>
  <c r="I34" i="2"/>
  <c r="M34" i="2"/>
  <c r="O34" i="2"/>
  <c r="R34" i="2"/>
  <c r="U34" i="2"/>
  <c r="F34" i="2"/>
  <c r="H34" i="2"/>
  <c r="L34" i="2"/>
  <c r="N34" i="2"/>
  <c r="P34" i="2"/>
  <c r="T34" i="2"/>
  <c r="W34" i="2"/>
  <c r="X34" i="2"/>
  <c r="R49" i="2"/>
  <c r="T49" i="2"/>
  <c r="G56" i="2"/>
  <c r="I56" i="2"/>
  <c r="T56" i="2"/>
  <c r="F56" i="2"/>
  <c r="H56" i="2"/>
  <c r="L56" i="2"/>
  <c r="F61" i="2"/>
  <c r="C61" i="2" s="1"/>
  <c r="D61" i="2" s="1"/>
  <c r="H61" i="2"/>
  <c r="J61" i="2"/>
  <c r="O61" i="2"/>
  <c r="Q61" i="2"/>
  <c r="T61" i="2"/>
  <c r="V61" i="2"/>
  <c r="G61" i="2"/>
  <c r="I61" i="2"/>
  <c r="L61" i="2"/>
  <c r="P61" i="2"/>
  <c r="R61" i="2"/>
  <c r="U61" i="2"/>
  <c r="X61" i="2"/>
  <c r="E63" i="2"/>
  <c r="G63" i="2"/>
  <c r="I63" i="2"/>
  <c r="K63" i="2"/>
  <c r="M63" i="2"/>
  <c r="O63" i="2"/>
  <c r="Q63" i="2"/>
  <c r="S63" i="2"/>
  <c r="U63" i="2"/>
  <c r="X63" i="2"/>
  <c r="F63" i="2"/>
  <c r="H63" i="2"/>
  <c r="J63" i="2"/>
  <c r="L63" i="2"/>
  <c r="N63" i="2"/>
  <c r="P63" i="2"/>
  <c r="R63" i="2"/>
  <c r="T63" i="2"/>
  <c r="V63" i="2"/>
  <c r="F55" i="2"/>
  <c r="H55" i="2"/>
  <c r="T55" i="2"/>
  <c r="G55" i="2"/>
  <c r="I55" i="2"/>
  <c r="U64" i="2"/>
  <c r="Q64" i="2"/>
  <c r="M64" i="2"/>
  <c r="G64" i="2"/>
  <c r="E161" i="1"/>
  <c r="B11" i="2" s="1"/>
  <c r="B5" i="2"/>
  <c r="B58" i="2"/>
  <c r="F58" i="2" s="1"/>
  <c r="G212" i="1"/>
  <c r="B48" i="2" s="1"/>
  <c r="G200" i="1"/>
  <c r="G177" i="1"/>
  <c r="G188" i="1"/>
  <c r="B33" i="2" s="1"/>
  <c r="G187" i="1"/>
  <c r="B32" i="2" s="1"/>
  <c r="G186" i="1"/>
  <c r="B28" i="2" s="1"/>
  <c r="B39" i="2" l="1"/>
  <c r="U28" i="2"/>
  <c r="W28" i="2"/>
  <c r="J28" i="2"/>
  <c r="F28" i="2"/>
  <c r="V28" i="2"/>
  <c r="O28" i="2"/>
  <c r="K28" i="2"/>
  <c r="G28" i="2"/>
  <c r="C28" i="2"/>
  <c r="P28" i="2"/>
  <c r="M28" i="2"/>
  <c r="H28" i="2"/>
  <c r="D28" i="2"/>
  <c r="X28" i="2"/>
  <c r="N28" i="2"/>
  <c r="I28" i="2"/>
  <c r="E28" i="2"/>
  <c r="T28" i="2"/>
  <c r="L28" i="2"/>
  <c r="W33" i="2"/>
  <c r="T33" i="2"/>
  <c r="Q33" i="2"/>
  <c r="O33" i="2"/>
  <c r="M33" i="2"/>
  <c r="F33" i="2"/>
  <c r="D33" i="2"/>
  <c r="X33" i="2"/>
  <c r="U33" i="2"/>
  <c r="R33" i="2"/>
  <c r="P33" i="2"/>
  <c r="N33" i="2"/>
  <c r="G33" i="2"/>
  <c r="E33" i="2"/>
  <c r="C33" i="2"/>
  <c r="T67" i="2"/>
  <c r="X67" i="2"/>
  <c r="R67" i="2"/>
  <c r="V11" i="2"/>
  <c r="T11" i="2"/>
  <c r="R11" i="2"/>
  <c r="P11" i="2"/>
  <c r="N11" i="2"/>
  <c r="U11" i="2"/>
  <c r="S11" i="2"/>
  <c r="Q11" i="2"/>
  <c r="O11" i="2"/>
  <c r="M11" i="2"/>
  <c r="K11" i="2"/>
  <c r="I11" i="2"/>
  <c r="G11" i="2"/>
  <c r="E11" i="2"/>
  <c r="C11" i="2"/>
  <c r="J11" i="2"/>
  <c r="F11" i="2"/>
  <c r="L11" i="2"/>
  <c r="H11" i="2"/>
  <c r="D11" i="2"/>
  <c r="L58" i="2"/>
  <c r="T58" i="2"/>
  <c r="G58" i="2"/>
  <c r="H58" i="2"/>
  <c r="I58" i="2"/>
  <c r="M48" i="2"/>
  <c r="C48" i="2" s="1"/>
  <c r="D48" i="2" s="1"/>
  <c r="V48" i="2"/>
  <c r="B54" i="2"/>
  <c r="F54" i="2" s="1"/>
  <c r="C54" i="2" s="1"/>
  <c r="D54" i="2" s="1"/>
  <c r="B27" i="2"/>
  <c r="C34" i="2"/>
  <c r="D34" i="2" s="1"/>
  <c r="C60" i="2"/>
  <c r="D60" i="2" s="1"/>
  <c r="C62" i="2"/>
  <c r="D62" i="2" s="1"/>
  <c r="E32" i="2"/>
  <c r="G32" i="2"/>
  <c r="I32" i="2"/>
  <c r="M32" i="2"/>
  <c r="O32" i="2"/>
  <c r="U32" i="2"/>
  <c r="X32" i="2"/>
  <c r="F32" i="2"/>
  <c r="H32" i="2"/>
  <c r="L32" i="2"/>
  <c r="N32" i="2"/>
  <c r="P32" i="2"/>
  <c r="W32" i="2"/>
  <c r="I9" i="2"/>
  <c r="R9" i="2"/>
  <c r="V9" i="2"/>
  <c r="L33" i="2"/>
  <c r="X11" i="2"/>
  <c r="R12" i="2"/>
  <c r="C55" i="2"/>
  <c r="D55" i="2" s="1"/>
  <c r="J55" i="2"/>
  <c r="K55" i="2" s="1"/>
  <c r="K58" i="2"/>
  <c r="C58" i="2"/>
  <c r="D58" i="2" s="1"/>
  <c r="J58" i="2"/>
  <c r="K56" i="2"/>
  <c r="J56" i="2" s="1"/>
  <c r="C56" i="2"/>
  <c r="D56" i="2" s="1"/>
  <c r="C36" i="2"/>
  <c r="D36" i="2" s="1"/>
  <c r="C23" i="2"/>
  <c r="D23" i="2" s="1"/>
  <c r="E24" i="2"/>
  <c r="G24" i="2"/>
  <c r="I24" i="2"/>
  <c r="M24" i="2"/>
  <c r="P24" i="2"/>
  <c r="R24" i="2"/>
  <c r="T24" i="2"/>
  <c r="V24" i="2"/>
  <c r="X24" i="2"/>
  <c r="F24" i="2"/>
  <c r="H24" i="2"/>
  <c r="L24" i="2"/>
  <c r="O24" i="2"/>
  <c r="Q24" i="2"/>
  <c r="S24" i="2"/>
  <c r="U24" i="2"/>
  <c r="W24" i="2"/>
  <c r="F15" i="2"/>
  <c r="H15" i="2"/>
  <c r="L15" i="2"/>
  <c r="N15" i="2"/>
  <c r="P15" i="2"/>
  <c r="S15" i="2"/>
  <c r="U15" i="2"/>
  <c r="W15" i="2"/>
  <c r="E15" i="2"/>
  <c r="G15" i="2"/>
  <c r="I15" i="2"/>
  <c r="M15" i="2"/>
  <c r="O15" i="2"/>
  <c r="R15" i="2"/>
  <c r="T15" i="2"/>
  <c r="V15" i="2"/>
  <c r="X15" i="2"/>
  <c r="C63" i="2"/>
  <c r="D63" i="2" s="1"/>
  <c r="C64" i="2"/>
  <c r="D64" i="2" s="1"/>
  <c r="J60" i="2"/>
  <c r="K60" i="2"/>
  <c r="C59" i="2"/>
  <c r="D59" i="2" s="1"/>
  <c r="K57" i="2"/>
  <c r="J57" i="2" s="1"/>
  <c r="C57" i="2"/>
  <c r="D57" i="2" s="1"/>
  <c r="J23" i="2"/>
  <c r="K23" i="2"/>
  <c r="C21" i="2"/>
  <c r="D21" i="2" s="1"/>
  <c r="E3" i="2"/>
  <c r="E2" i="2"/>
  <c r="E4" i="2" s="1"/>
  <c r="W27" i="2" l="1"/>
  <c r="V27" i="2"/>
  <c r="T27" i="2"/>
  <c r="O27" i="2"/>
  <c r="M27" i="2"/>
  <c r="K27" i="2"/>
  <c r="I27" i="2"/>
  <c r="G27" i="2"/>
  <c r="E27" i="2"/>
  <c r="C27" i="2"/>
  <c r="X27" i="2"/>
  <c r="U27" i="2"/>
  <c r="P27" i="2"/>
  <c r="N27" i="2"/>
  <c r="L27" i="2"/>
  <c r="J27" i="2"/>
  <c r="H27" i="2"/>
  <c r="F27" i="2"/>
  <c r="D27" i="2"/>
  <c r="X39" i="2"/>
  <c r="T39" i="2"/>
  <c r="Q39" i="2"/>
  <c r="O39" i="2"/>
  <c r="M39" i="2"/>
  <c r="I39" i="2"/>
  <c r="G39" i="2"/>
  <c r="E39" i="2"/>
  <c r="C39" i="2"/>
  <c r="W39" i="2"/>
  <c r="S39" i="2"/>
  <c r="P39" i="2"/>
  <c r="N39" i="2"/>
  <c r="L39" i="2"/>
  <c r="H39" i="2"/>
  <c r="F39" i="2"/>
  <c r="D39" i="2"/>
  <c r="M66" i="2"/>
  <c r="T54" i="2"/>
  <c r="G54" i="2"/>
  <c r="H54" i="2"/>
  <c r="I54" i="2"/>
  <c r="J54" i="2" s="1"/>
  <c r="J66" i="2" s="1"/>
  <c r="N48" i="2"/>
  <c r="C24" i="2"/>
  <c r="D24" i="2" s="1"/>
  <c r="Q66" i="2"/>
  <c r="W66" i="2"/>
  <c r="R39" i="2"/>
  <c r="R66" i="2" s="1"/>
  <c r="C15" i="2"/>
  <c r="D15" i="2" s="1"/>
  <c r="K66" i="2"/>
  <c r="V66" i="2"/>
  <c r="S66" i="2"/>
  <c r="I66" i="2"/>
  <c r="C32" i="2"/>
  <c r="D32" i="2" s="1"/>
  <c r="E5" i="2"/>
  <c r="F74" i="1"/>
  <c r="G74" i="1" s="1"/>
  <c r="G10" i="1"/>
  <c r="B4" i="2" s="1"/>
  <c r="H4" i="2" l="1"/>
  <c r="C67" i="2" s="1"/>
  <c r="K67" i="2" s="1"/>
  <c r="O67" i="2"/>
  <c r="N66" i="2"/>
  <c r="U66" i="2"/>
  <c r="E66" i="2"/>
  <c r="X66" i="2"/>
  <c r="F66" i="2"/>
  <c r="H66" i="2"/>
  <c r="G66" i="2"/>
  <c r="P66" i="2"/>
  <c r="T66" i="2"/>
  <c r="O66" i="2"/>
  <c r="L66" i="2"/>
  <c r="J70" i="2"/>
  <c r="J67" i="2" l="1"/>
  <c r="H68" i="2"/>
  <c r="G67" i="2"/>
  <c r="H67" i="2"/>
  <c r="M67" i="2"/>
  <c r="M68" i="2"/>
  <c r="E67" i="2"/>
  <c r="E68" i="2"/>
  <c r="F68" i="2"/>
  <c r="I67" i="2"/>
  <c r="F67" i="2"/>
  <c r="D67" i="2"/>
  <c r="K4" i="2"/>
  <c r="C66" i="2"/>
  <c r="H5" i="2" s="1"/>
  <c r="D66" i="2"/>
  <c r="H6" i="2" s="1"/>
  <c r="M69" i="2" l="1"/>
  <c r="E69" i="2"/>
  <c r="F69" i="2"/>
</calcChain>
</file>

<file path=xl/sharedStrings.xml><?xml version="1.0" encoding="utf-8"?>
<sst xmlns="http://schemas.openxmlformats.org/spreadsheetml/2006/main" count="415" uniqueCount="349">
  <si>
    <t>Entretien diététique</t>
  </si>
  <si>
    <t>Date</t>
  </si>
  <si>
    <t>Nom:</t>
  </si>
  <si>
    <t>Prénom:</t>
  </si>
  <si>
    <t>Date de naissance:</t>
  </si>
  <si>
    <t xml:space="preserve">Age: </t>
  </si>
  <si>
    <t>Profession:</t>
  </si>
  <si>
    <t>Où est pris le repas du midi?</t>
  </si>
  <si>
    <t>Non</t>
  </si>
  <si>
    <t>Oui</t>
  </si>
  <si>
    <t>Maison</t>
  </si>
  <si>
    <t>Travail</t>
  </si>
  <si>
    <t>Restaurant</t>
  </si>
  <si>
    <t>Si non, combien de personnes vivent avec vous?</t>
  </si>
  <si>
    <t>Avez-vous des enfants?</t>
  </si>
  <si>
    <t>Avez-vous des petits-enfants?</t>
  </si>
  <si>
    <t>Combien?</t>
  </si>
  <si>
    <t>Avez-vous une aide quelconque à la maison?</t>
  </si>
  <si>
    <t xml:space="preserve">De quel type? </t>
  </si>
  <si>
    <t>Données générales</t>
  </si>
  <si>
    <t>Facteurs de risque</t>
  </si>
  <si>
    <t>HTA</t>
  </si>
  <si>
    <t>Hypercholestérolémie</t>
  </si>
  <si>
    <t>Diabète</t>
  </si>
  <si>
    <t>Obésité abdominale</t>
  </si>
  <si>
    <t xml:space="preserve">Traitements actuels: </t>
  </si>
  <si>
    <t>Compléments alimentaires:</t>
  </si>
  <si>
    <t>Troubles du transit:</t>
  </si>
  <si>
    <t>Antécédents familiaux (parents, frères et sœurs):</t>
  </si>
  <si>
    <t>Tabac</t>
  </si>
  <si>
    <t>Histoire du poids</t>
  </si>
  <si>
    <t>Poids actuel</t>
  </si>
  <si>
    <t>Y'a-t-il eu une variation de poids récente?</t>
  </si>
  <si>
    <t>Si oui combien et pourquoi?</t>
  </si>
  <si>
    <t>Historique :</t>
  </si>
  <si>
    <t xml:space="preserve">Taille: </t>
  </si>
  <si>
    <t>IMC:</t>
  </si>
  <si>
    <t>Pratiquez-vous une activité physique?</t>
  </si>
  <si>
    <t>Marchez-vous le reste de la journée?</t>
  </si>
  <si>
    <t>Combien de temps environs?</t>
  </si>
  <si>
    <t>Avez-vous des passe temps?</t>
  </si>
  <si>
    <t>Habitudes alimentaires</t>
  </si>
  <si>
    <t>Le patient</t>
  </si>
  <si>
    <t>Son conjoint</t>
  </si>
  <si>
    <t>Ses enfants</t>
  </si>
  <si>
    <t>Une aide extérieur</t>
  </si>
  <si>
    <t>Qui fait les courses?</t>
  </si>
  <si>
    <t>Où?</t>
  </si>
  <si>
    <t>Supermarché</t>
  </si>
  <si>
    <t>Magasin de proximité</t>
  </si>
  <si>
    <t>Marché</t>
  </si>
  <si>
    <t>Livraison à domicile</t>
  </si>
  <si>
    <t>tous les jours</t>
  </si>
  <si>
    <t>2 fois/semaine</t>
  </si>
  <si>
    <t>1 fois/ semaine</t>
  </si>
  <si>
    <t>2 fois/mois</t>
  </si>
  <si>
    <t>1 fois/mois</t>
  </si>
  <si>
    <t>A quelle fréquence?</t>
  </si>
  <si>
    <t>Combien de repas faites-vous par jour?</t>
  </si>
  <si>
    <t>Y a-t-il des grignotages?</t>
  </si>
  <si>
    <t>Mangez vous?</t>
  </si>
  <si>
    <t>Assis</t>
  </si>
  <si>
    <t>Debout</t>
  </si>
  <si>
    <t>Seul</t>
  </si>
  <si>
    <t>Accompagné</t>
  </si>
  <si>
    <t>Vite</t>
  </si>
  <si>
    <t>Lentement</t>
  </si>
  <si>
    <t>&lt;20min</t>
  </si>
  <si>
    <t>20min</t>
  </si>
  <si>
    <t>&gt;20min</t>
  </si>
  <si>
    <t>Prescrit par qui?</t>
  </si>
  <si>
    <t>Un professionnel</t>
  </si>
  <si>
    <t>un ami</t>
  </si>
  <si>
    <t>Avez-vous déjà suivit un régime?</t>
  </si>
  <si>
    <t>Lequel?</t>
  </si>
  <si>
    <t>A quelle fréquence allez-vous au restaurant?</t>
  </si>
  <si>
    <t>moins</t>
  </si>
  <si>
    <t>Quel type de restaurant ?</t>
  </si>
  <si>
    <t>Avez-vous faim?</t>
  </si>
  <si>
    <t>Pour vous les repas sont:</t>
  </si>
  <si>
    <t xml:space="preserve">Vous estimez être: </t>
  </si>
  <si>
    <t>Avez-vous tendance à vous resservir?</t>
  </si>
  <si>
    <t>Systématiquement</t>
  </si>
  <si>
    <t>Souvent</t>
  </si>
  <si>
    <t>Rarement</t>
  </si>
  <si>
    <t>Vous arrive t'il de sauter des repas?</t>
  </si>
  <si>
    <t>Lequel le plus souvent?</t>
  </si>
  <si>
    <t>Déjeuner</t>
  </si>
  <si>
    <t>Petit déjeuner</t>
  </si>
  <si>
    <t>Dîner</t>
  </si>
  <si>
    <t>Pourquoi?</t>
  </si>
  <si>
    <t>Manque de temps</t>
  </si>
  <si>
    <t>Pas envie de cuisiner</t>
  </si>
  <si>
    <t>Oublie de manger</t>
  </si>
  <si>
    <t>Etude des fréquences</t>
  </si>
  <si>
    <t>Les boissons:</t>
  </si>
  <si>
    <t>Eau</t>
  </si>
  <si>
    <t>Alcool</t>
  </si>
  <si>
    <t>Jus de fruits</t>
  </si>
  <si>
    <t>type:</t>
  </si>
  <si>
    <t>Soda</t>
  </si>
  <si>
    <t>Thé</t>
  </si>
  <si>
    <t>Café</t>
  </si>
  <si>
    <t xml:space="preserve">Remarques:
</t>
  </si>
  <si>
    <t>Produits laitiers</t>
  </si>
  <si>
    <t>Lait</t>
  </si>
  <si>
    <t>Fromage</t>
  </si>
  <si>
    <t>Yaourt</t>
  </si>
  <si>
    <t>Desserts lactés</t>
  </si>
  <si>
    <t>Viandes, poissons, œufs</t>
  </si>
  <si>
    <t>Viande rouge</t>
  </si>
  <si>
    <t>Viande blanche</t>
  </si>
  <si>
    <t>Poisson gras</t>
  </si>
  <si>
    <t>Abats</t>
  </si>
  <si>
    <t>Œufs</t>
  </si>
  <si>
    <t>Charcuterie</t>
  </si>
  <si>
    <t>Féculents</t>
  </si>
  <si>
    <t>Céréales:</t>
  </si>
  <si>
    <t>Pain:</t>
  </si>
  <si>
    <t>Pomme de terre</t>
  </si>
  <si>
    <t>Légumes secs</t>
  </si>
  <si>
    <t>Fruits et légumes</t>
  </si>
  <si>
    <t>Fruits crus:</t>
  </si>
  <si>
    <t>Fruits cuits:</t>
  </si>
  <si>
    <t>Légumes crus:</t>
  </si>
  <si>
    <t>Légumes cuits:</t>
  </si>
  <si>
    <t>Sucre et produits sucrés</t>
  </si>
  <si>
    <t>Pâtisseries</t>
  </si>
  <si>
    <t>Biscuits</t>
  </si>
  <si>
    <t>Chocolat</t>
  </si>
  <si>
    <t>Sucre</t>
  </si>
  <si>
    <t>Matières grasses</t>
  </si>
  <si>
    <t>Huile</t>
  </si>
  <si>
    <t>pour:</t>
  </si>
  <si>
    <t>Beurre</t>
  </si>
  <si>
    <t>Margarine</t>
  </si>
  <si>
    <t>Crème</t>
  </si>
  <si>
    <t>Fritures</t>
  </si>
  <si>
    <t>Autre</t>
  </si>
  <si>
    <t>Moutarde</t>
  </si>
  <si>
    <t>Plats cuisinés</t>
  </si>
  <si>
    <t>Produits allégés</t>
  </si>
  <si>
    <t>Sel</t>
  </si>
  <si>
    <t>Qté:</t>
  </si>
  <si>
    <t>Qté (P1-4):</t>
  </si>
  <si>
    <t>Qté (P9):</t>
  </si>
  <si>
    <t>Qté (P10-11):</t>
  </si>
  <si>
    <t>Qté (P21):</t>
  </si>
  <si>
    <t>Qté (P26):</t>
  </si>
  <si>
    <t>Qté (P55):</t>
  </si>
  <si>
    <t>Qté (P60):</t>
  </si>
  <si>
    <t>Qté (P67):</t>
  </si>
  <si>
    <t>Qté (P69):</t>
  </si>
  <si>
    <t>Qté (carrés):</t>
  </si>
  <si>
    <t>Robinet</t>
  </si>
  <si>
    <t>Source</t>
  </si>
  <si>
    <t>Minérale</t>
  </si>
  <si>
    <t>&lt;1,5L/jour</t>
  </si>
  <si>
    <t>1,5L/jour</t>
  </si>
  <si>
    <t>&gt;1,5L/jour</t>
  </si>
  <si>
    <t>&gt;3verres/jour</t>
  </si>
  <si>
    <t>1 verre/repas</t>
  </si>
  <si>
    <t>1verre/jour</t>
  </si>
  <si>
    <t>2 à 3 fois/semaines</t>
  </si>
  <si>
    <t>Moins</t>
  </si>
  <si>
    <t>Marque:</t>
  </si>
  <si>
    <t>100% pur jus</t>
  </si>
  <si>
    <t xml:space="preserve">Frais </t>
  </si>
  <si>
    <t>&gt;4 tasses/jour</t>
  </si>
  <si>
    <t>2-3 tasses/jour</t>
  </si>
  <si>
    <t>1 tasse/jour</t>
  </si>
  <si>
    <t>2 à 3 fois/ semaine</t>
  </si>
  <si>
    <t>A chaque repas</t>
  </si>
  <si>
    <t>1 fois/semaine</t>
  </si>
  <si>
    <t>1fois/jour</t>
  </si>
  <si>
    <t>&gt;2 fois/semaine</t>
  </si>
  <si>
    <t>&lt;1 fois/semaine</t>
  </si>
  <si>
    <t>2 à 3 fois/semaine</t>
  </si>
  <si>
    <t>Blanc</t>
  </si>
  <si>
    <t>Complet</t>
  </si>
  <si>
    <t>Biscottes</t>
  </si>
  <si>
    <t>Muesli</t>
  </si>
  <si>
    <t>Confiture</t>
  </si>
  <si>
    <t>Miel</t>
  </si>
  <si>
    <t>Bonbons</t>
  </si>
  <si>
    <t>Colza</t>
  </si>
  <si>
    <t>Olive</t>
  </si>
  <si>
    <t>Tournesol</t>
  </si>
  <si>
    <t>Arachide</t>
  </si>
  <si>
    <t>Isio 4</t>
  </si>
  <si>
    <t>Tous les jours</t>
  </si>
  <si>
    <t>2-3 fois/ semaine</t>
  </si>
  <si>
    <t>Cuisson</t>
  </si>
  <si>
    <t>Friture</t>
  </si>
  <si>
    <t>Assaisonnement</t>
  </si>
  <si>
    <t>&lt;6g/jour</t>
  </si>
  <si>
    <t>6g/jour</t>
  </si>
  <si>
    <t>&gt;6g/jour</t>
  </si>
  <si>
    <t>A</t>
  </si>
  <si>
    <t>B</t>
  </si>
  <si>
    <t>C</t>
  </si>
  <si>
    <t>D</t>
  </si>
  <si>
    <t>E</t>
  </si>
  <si>
    <t>F</t>
  </si>
  <si>
    <t>G</t>
  </si>
  <si>
    <t>Fiche d'évaluation alimentaire:</t>
  </si>
  <si>
    <t>Nom</t>
  </si>
  <si>
    <t>Taille</t>
  </si>
  <si>
    <t>Prénom</t>
  </si>
  <si>
    <t>Poids</t>
  </si>
  <si>
    <t>NAP</t>
  </si>
  <si>
    <t>âge</t>
  </si>
  <si>
    <t>Poids Idéal</t>
  </si>
  <si>
    <t>ANC en energie en Kj formule Black et al</t>
  </si>
  <si>
    <t>Métabolisme Basale</t>
  </si>
  <si>
    <t>Sexe (1 = Homme, 2= Femme)</t>
  </si>
  <si>
    <t>IMC</t>
  </si>
  <si>
    <t>Energie effectivement consommée Kj</t>
  </si>
  <si>
    <t>Apports caloriques hebdomadaires moyens cal</t>
  </si>
  <si>
    <t>Aliments Consommés</t>
  </si>
  <si>
    <t>Quantités en g/j</t>
  </si>
  <si>
    <t>Energie Kj</t>
  </si>
  <si>
    <t>Energie Kcal</t>
  </si>
  <si>
    <t>Protéines g</t>
  </si>
  <si>
    <t xml:space="preserve">Lipides g </t>
  </si>
  <si>
    <t>AGS g</t>
  </si>
  <si>
    <t>AGMI g</t>
  </si>
  <si>
    <t>AGPI g</t>
  </si>
  <si>
    <t>Oméga 6</t>
  </si>
  <si>
    <t>Oméga 3</t>
  </si>
  <si>
    <t>Cholestérol mg</t>
  </si>
  <si>
    <t>Glucides g</t>
  </si>
  <si>
    <t>Glucides simples g</t>
  </si>
  <si>
    <t>Calcium mg</t>
  </si>
  <si>
    <t>Fer mg</t>
  </si>
  <si>
    <t>Fibres g</t>
  </si>
  <si>
    <t>Sodium mg</t>
  </si>
  <si>
    <t>Produits laitiers:</t>
  </si>
  <si>
    <t>Dessert Lactée (cr. Dessert)</t>
  </si>
  <si>
    <t>Viandes, Poissons, Oeufs</t>
  </si>
  <si>
    <t>Viandes rouges</t>
  </si>
  <si>
    <t>Viandes blanches</t>
  </si>
  <si>
    <t>Poissons gras</t>
  </si>
  <si>
    <t>Pain blanc</t>
  </si>
  <si>
    <t>Pain complet</t>
  </si>
  <si>
    <t>Pain de mie</t>
  </si>
  <si>
    <t>Produits céréaliers (type riz, pâtes…)</t>
  </si>
  <si>
    <t xml:space="preserve">Fruits </t>
  </si>
  <si>
    <t xml:space="preserve">Légumes </t>
  </si>
  <si>
    <t>Boisson à base soja "type lait de soja"</t>
  </si>
  <si>
    <t>Dessert fermenté au soja nature</t>
  </si>
  <si>
    <t>Dessert soja aromatisé</t>
  </si>
  <si>
    <t>Escalope végétale</t>
  </si>
  <si>
    <t>Autres:</t>
  </si>
  <si>
    <t>biscuits</t>
  </si>
  <si>
    <t>Pâtisserie</t>
  </si>
  <si>
    <t>Viennoiserie</t>
  </si>
  <si>
    <t>Chocolat lait</t>
  </si>
  <si>
    <t>Chocolat noir 70%</t>
  </si>
  <si>
    <t>Glace</t>
  </si>
  <si>
    <t>Sorbet</t>
  </si>
  <si>
    <t>Ketchup</t>
  </si>
  <si>
    <t>Mayonaise</t>
  </si>
  <si>
    <t>Matières Grasses</t>
  </si>
  <si>
    <t>Huile d'olive</t>
  </si>
  <si>
    <t>Huile de tournesol</t>
  </si>
  <si>
    <t>Huile de colza</t>
  </si>
  <si>
    <t>Margarine "riche en oméga 3"</t>
  </si>
  <si>
    <t>Margarine "anti-cholestérol"</t>
  </si>
  <si>
    <t>Margarine "classique"</t>
  </si>
  <si>
    <t>Lait de coco</t>
  </si>
  <si>
    <t xml:space="preserve">Total : </t>
  </si>
  <si>
    <t>% AET</t>
  </si>
  <si>
    <t>Julie De brito,diététicienne</t>
  </si>
  <si>
    <t>Rapport oméga 6/oméga 3&lt;5</t>
  </si>
  <si>
    <t>Y a-t-il des aliments que vous ne consommez pas? Pourquoi?</t>
  </si>
  <si>
    <t>Jambon</t>
  </si>
  <si>
    <t>Saucisson</t>
  </si>
  <si>
    <t>Riettes/pâté</t>
  </si>
  <si>
    <t>Laquelle, fréquence?</t>
  </si>
  <si>
    <t>Sucré?</t>
  </si>
  <si>
    <t>Normal</t>
  </si>
  <si>
    <t>Sans sucre</t>
  </si>
  <si>
    <t>Qté (p57):</t>
  </si>
  <si>
    <t>Qté (p56):</t>
  </si>
  <si>
    <t>Noir</t>
  </si>
  <si>
    <t>Au lait</t>
  </si>
  <si>
    <t>Qté (biscuit):</t>
  </si>
  <si>
    <t>Qté :</t>
  </si>
  <si>
    <t>Mayonnaise</t>
  </si>
  <si>
    <t>Huile de Arachide</t>
  </si>
  <si>
    <t>Tartine (qté/2)</t>
  </si>
  <si>
    <t>Riche en w3</t>
  </si>
  <si>
    <t>Anti-cholestérol</t>
  </si>
  <si>
    <t>Classique</t>
  </si>
  <si>
    <t>Produits sucrés</t>
  </si>
  <si>
    <r>
      <rPr>
        <u/>
        <sz val="11"/>
        <color theme="1"/>
        <rFont val="Times New Roman"/>
        <family val="1"/>
      </rPr>
      <t>Diagnostic diététique</t>
    </r>
    <r>
      <rPr>
        <sz val="11"/>
        <color theme="1"/>
        <rFont val="Times New Roman"/>
        <family val="1"/>
      </rPr>
      <t xml:space="preserve">:
</t>
    </r>
  </si>
  <si>
    <t xml:space="preserve">ANC </t>
  </si>
  <si>
    <t>A quelle fréquence faites vous des repas entre amis?</t>
  </si>
  <si>
    <r>
      <rPr>
        <u/>
        <sz val="11"/>
        <color theme="1"/>
        <rFont val="Times New Roman"/>
        <family val="1"/>
      </rPr>
      <t>Analyse du carnet alimentaire</t>
    </r>
    <r>
      <rPr>
        <sz val="11"/>
        <color theme="1"/>
        <rFont val="Times New Roman"/>
        <family val="1"/>
      </rPr>
      <t>:</t>
    </r>
  </si>
  <si>
    <t>Vit C mg</t>
  </si>
  <si>
    <t>Vit A µg</t>
  </si>
  <si>
    <t>Vit D µg</t>
  </si>
  <si>
    <t>Vit E mg</t>
  </si>
  <si>
    <t>Vit B9 µg</t>
  </si>
  <si>
    <t>Vit B12 µg</t>
  </si>
  <si>
    <t>Toujours d'actualité?</t>
  </si>
  <si>
    <t>Qui cuisine le plus souvent à la maison?</t>
  </si>
  <si>
    <t>Aimez-vous cuisiner?</t>
  </si>
  <si>
    <t xml:space="preserve">Activité physique </t>
  </si>
  <si>
    <t>Viennoiseries</t>
  </si>
  <si>
    <t>Vivez-vous seul?</t>
  </si>
  <si>
    <t>Qu'attendez-vous de cette consultation?</t>
  </si>
  <si>
    <t>Y a-t'il un syndrome métabolique?</t>
  </si>
  <si>
    <t>Si oui, à quelle fréquence?</t>
  </si>
  <si>
    <t>Que pensez-vous de votre alimentation aujourd'hui?</t>
  </si>
  <si>
    <t>Comment pourriez-vous réussir à faire ce changement?</t>
  </si>
  <si>
    <t>Quelles seraient les difficultés à faire ce changement?</t>
  </si>
  <si>
    <t>Qu'aimeriez-vous changer/améliorer? Pourquoi?</t>
  </si>
  <si>
    <t>Echelle de motivation pour faire ces changements (0 à 10)</t>
  </si>
  <si>
    <t>Jambon blanc</t>
  </si>
  <si>
    <t>Qté (P29):</t>
  </si>
  <si>
    <t>Fruits secs:</t>
  </si>
  <si>
    <t>Oléagineux:</t>
  </si>
  <si>
    <t>Nombre:</t>
  </si>
  <si>
    <t>"Yaourt" soja</t>
  </si>
  <si>
    <t>Aromatisé?</t>
  </si>
  <si>
    <t>"Lait" végétal</t>
  </si>
  <si>
    <t>Evaluation du NAP</t>
  </si>
  <si>
    <t>Pas d'appétit</t>
  </si>
  <si>
    <t>Poissons blanc</t>
  </si>
  <si>
    <t>Poisson blanc</t>
  </si>
  <si>
    <t>Fruits oléagineux</t>
  </si>
  <si>
    <t>Fruits secs</t>
  </si>
  <si>
    <t>Pizza, quiches…</t>
  </si>
  <si>
    <t>Qté (P16):</t>
  </si>
  <si>
    <t>Horaires déjeuner:</t>
  </si>
  <si>
    <r>
      <rPr>
        <u/>
        <sz val="11"/>
        <color theme="1"/>
        <rFont val="Times New Roman"/>
        <family val="1"/>
      </rPr>
      <t>Objectifs définis avec le patient:</t>
    </r>
    <r>
      <rPr>
        <sz val="11"/>
        <color theme="1"/>
        <rFont val="Times New Roman"/>
        <family val="1"/>
      </rPr>
      <t xml:space="preserve">
</t>
    </r>
  </si>
  <si>
    <t xml:space="preserve">Remarque:
</t>
  </si>
  <si>
    <t xml:space="preserve"> cm</t>
  </si>
  <si>
    <t>Repas</t>
  </si>
  <si>
    <r>
      <rPr>
        <u/>
        <sz val="11"/>
        <color theme="1"/>
        <rFont val="Times New Roman"/>
        <family val="1"/>
      </rPr>
      <t>Compte-rendu de l'entretien</t>
    </r>
    <r>
      <rPr>
        <sz val="11"/>
        <color theme="1"/>
        <rFont val="Times New Roman"/>
        <family val="1"/>
      </rPr>
      <t>:</t>
    </r>
  </si>
  <si>
    <t>Historique du poids:</t>
  </si>
  <si>
    <t>Activité physique:</t>
  </si>
  <si>
    <t>Documents demandés:</t>
  </si>
  <si>
    <t xml:space="preserve">
</t>
  </si>
  <si>
    <t>Remarque sur les repas:</t>
  </si>
  <si>
    <r>
      <rPr>
        <b/>
        <sz val="11"/>
        <color theme="1"/>
        <rFont val="Times New Roman"/>
        <family val="1"/>
      </rPr>
      <t>Habitudes alimentaires:</t>
    </r>
    <r>
      <rPr>
        <sz val="11"/>
        <color theme="1"/>
        <rFont val="Times New Roman"/>
        <family val="1"/>
      </rPr>
      <t xml:space="preserve">
</t>
    </r>
  </si>
  <si>
    <t xml:space="preserve">o Boissons:
o Produits laitiers:
o Viandes, poisson, œufs: 
o Féculents: 
o Fruits et légumes: 
o Sucre et produits sucrés: 
o Matières grasses: 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</si>
</sst>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3" formatCode="_-* #,##0.00\ _€_-;\-* #,##0.00\ _€_-;_-* &quot;-&quot;??\ _€_-;_-@_-"/>
    <numFmt numFmtId="164" formatCode="#,##0.0"/>
    <numFmt numFmtId="165" formatCode="0.0"/>
  </numFmts>
  <fonts count="21" x14ac:knownFonts="1">
    <font>
      <sz val="11"/>
      <color theme="1"/>
      <name val="Calibri"/>
      <family val="2"/>
      <scheme val="minor"/>
    </font>
    <font>
      <sz val="11"/>
      <color theme="1"/>
      <name val="Times New Roman"/>
      <family val="1"/>
    </font>
    <font>
      <sz val="12"/>
      <color theme="1"/>
      <name val="Times New Roman"/>
      <family val="1"/>
    </font>
    <font>
      <u/>
      <sz val="16"/>
      <color theme="1"/>
      <name val="Times New Roman"/>
      <family val="1"/>
    </font>
    <font>
      <sz val="10"/>
      <color theme="1"/>
      <name val="Times New Roman"/>
      <family val="1"/>
    </font>
    <font>
      <u/>
      <sz val="11"/>
      <color theme="1"/>
      <name val="Times New Roman"/>
      <family val="1"/>
    </font>
    <font>
      <sz val="8"/>
      <color rgb="FF000000"/>
      <name val="Tahoma"/>
      <family val="2"/>
    </font>
    <font>
      <sz val="11"/>
      <color theme="1"/>
      <name val="Calibri"/>
      <family val="2"/>
      <scheme val="minor"/>
    </font>
    <font>
      <sz val="14"/>
      <name val="Times New Roman"/>
      <family val="1"/>
    </font>
    <font>
      <b/>
      <sz val="11"/>
      <name val="Times New Roman"/>
      <family val="1"/>
    </font>
    <font>
      <sz val="11"/>
      <name val="Times New Roman"/>
      <family val="1"/>
    </font>
    <font>
      <b/>
      <i/>
      <sz val="11"/>
      <color indexed="53"/>
      <name val="Times New Roman"/>
      <family val="1"/>
    </font>
    <font>
      <b/>
      <sz val="12"/>
      <name val="Times New Roman"/>
      <family val="1"/>
    </font>
    <font>
      <b/>
      <sz val="12"/>
      <color indexed="9"/>
      <name val="Times New Roman"/>
      <family val="1"/>
    </font>
    <font>
      <b/>
      <sz val="11"/>
      <color indexed="9"/>
      <name val="Times New Roman"/>
      <family val="1"/>
    </font>
    <font>
      <sz val="11"/>
      <color indexed="9"/>
      <name val="Times New Roman"/>
      <family val="1"/>
    </font>
    <font>
      <sz val="12"/>
      <name val="Times New Roman"/>
      <family val="1"/>
    </font>
    <font>
      <i/>
      <sz val="11"/>
      <name val="Times New Roman"/>
      <family val="1"/>
    </font>
    <font>
      <sz val="10"/>
      <name val="Times New Roman"/>
      <family val="1"/>
    </font>
    <font>
      <b/>
      <sz val="11"/>
      <color theme="1"/>
      <name val="Calibri"/>
      <family val="2"/>
      <scheme val="minor"/>
    </font>
    <font>
      <b/>
      <sz val="11"/>
      <color theme="1"/>
      <name val="Times New Roman"/>
      <family val="1"/>
    </font>
  </fonts>
  <fills count="1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60"/>
        <bgColor indexed="64"/>
      </patternFill>
    </fill>
    <fill>
      <patternFill patternType="solid">
        <fgColor indexed="50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23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2" tint="-0.49998474074526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5" tint="0.59999389629810485"/>
        <bgColor indexed="64"/>
      </patternFill>
    </fill>
  </fills>
  <borders count="23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43" fontId="7" fillId="0" borderId="0" applyFont="0" applyFill="0" applyBorder="0" applyAlignment="0" applyProtection="0"/>
  </cellStyleXfs>
  <cellXfs count="192">
    <xf numFmtId="0" fontId="0" fillId="0" borderId="0" xfId="0"/>
    <xf numFmtId="0" fontId="1" fillId="0" borderId="0" xfId="0" applyFont="1" applyAlignment="1">
      <alignment vertical="center"/>
    </xf>
    <xf numFmtId="0" fontId="1" fillId="0" borderId="0" xfId="0" applyFont="1" applyBorder="1" applyAlignment="1">
      <alignment horizontal="center" vertical="center"/>
    </xf>
    <xf numFmtId="0" fontId="1" fillId="3" borderId="0" xfId="0" applyFont="1" applyFill="1" applyAlignment="1">
      <alignment vertical="center"/>
    </xf>
    <xf numFmtId="0" fontId="1" fillId="0" borderId="0" xfId="0" applyFont="1" applyAlignment="1">
      <alignment horizontal="right" vertical="center"/>
    </xf>
    <xf numFmtId="0" fontId="1" fillId="2" borderId="0" xfId="0" applyFont="1" applyFill="1" applyBorder="1" applyAlignment="1">
      <alignment vertical="center"/>
    </xf>
    <xf numFmtId="0" fontId="1" fillId="2" borderId="0" xfId="0" applyFont="1" applyFill="1" applyAlignment="1">
      <alignment vertical="center"/>
    </xf>
    <xf numFmtId="0" fontId="1" fillId="2" borderId="0" xfId="0" applyFont="1" applyFill="1" applyAlignment="1">
      <alignment horizontal="center" vertical="center"/>
    </xf>
    <xf numFmtId="0" fontId="0" fillId="3" borderId="0" xfId="0" applyFill="1"/>
    <xf numFmtId="0" fontId="4" fillId="0" borderId="0" xfId="0" applyFont="1" applyFill="1" applyAlignment="1">
      <alignment horizontal="left" vertical="top"/>
    </xf>
    <xf numFmtId="0" fontId="1" fillId="0" borderId="0" xfId="0" applyFont="1" applyFill="1" applyAlignment="1">
      <alignment horizontal="center" vertical="center"/>
    </xf>
    <xf numFmtId="0" fontId="8" fillId="0" borderId="12" xfId="0" applyFont="1" applyBorder="1" applyAlignment="1"/>
    <xf numFmtId="0" fontId="9" fillId="0" borderId="12" xfId="0" applyFont="1" applyBorder="1"/>
    <xf numFmtId="0" fontId="10" fillId="0" borderId="12" xfId="0" applyFont="1" applyBorder="1"/>
    <xf numFmtId="0" fontId="9" fillId="0" borderId="12" xfId="0" applyFont="1" applyBorder="1" applyAlignment="1"/>
    <xf numFmtId="2" fontId="9" fillId="0" borderId="12" xfId="0" applyNumberFormat="1" applyFont="1" applyBorder="1" applyAlignment="1"/>
    <xf numFmtId="0" fontId="9" fillId="0" borderId="12" xfId="0" applyFont="1" applyBorder="1" applyAlignment="1">
      <alignment horizontal="right"/>
    </xf>
    <xf numFmtId="1" fontId="9" fillId="0" borderId="12" xfId="0" applyNumberFormat="1" applyFont="1" applyBorder="1"/>
    <xf numFmtId="0" fontId="9" fillId="0" borderId="12" xfId="0" applyFont="1" applyBorder="1" applyAlignment="1">
      <alignment horizontal="left"/>
    </xf>
    <xf numFmtId="3" fontId="9" fillId="0" borderId="12" xfId="1" applyNumberFormat="1" applyFont="1" applyBorder="1" applyAlignment="1">
      <alignment horizontal="right"/>
    </xf>
    <xf numFmtId="1" fontId="9" fillId="0" borderId="12" xfId="0" applyNumberFormat="1" applyFont="1" applyBorder="1" applyAlignment="1"/>
    <xf numFmtId="2" fontId="9" fillId="0" borderId="12" xfId="0" applyNumberFormat="1" applyFont="1" applyBorder="1"/>
    <xf numFmtId="0" fontId="11" fillId="4" borderId="12" xfId="0" applyFont="1" applyFill="1" applyBorder="1" applyAlignment="1">
      <alignment horizontal="left"/>
    </xf>
    <xf numFmtId="1" fontId="11" fillId="4" borderId="12" xfId="0" applyNumberFormat="1" applyFont="1" applyFill="1" applyBorder="1" applyAlignment="1"/>
    <xf numFmtId="0" fontId="12" fillId="5" borderId="12" xfId="0" applyFont="1" applyFill="1" applyBorder="1"/>
    <xf numFmtId="0" fontId="10" fillId="5" borderId="12" xfId="0" applyFont="1" applyFill="1" applyBorder="1"/>
    <xf numFmtId="2" fontId="10" fillId="5" borderId="12" xfId="0" applyNumberFormat="1" applyFont="1" applyFill="1" applyBorder="1"/>
    <xf numFmtId="0" fontId="13" fillId="6" borderId="12" xfId="0" applyFont="1" applyFill="1" applyBorder="1"/>
    <xf numFmtId="2" fontId="15" fillId="6" borderId="12" xfId="0" applyNumberFormat="1" applyFont="1" applyFill="1" applyBorder="1"/>
    <xf numFmtId="0" fontId="15" fillId="6" borderId="12" xfId="0" applyFont="1" applyFill="1" applyBorder="1"/>
    <xf numFmtId="0" fontId="13" fillId="7" borderId="12" xfId="0" applyFont="1" applyFill="1" applyBorder="1"/>
    <xf numFmtId="2" fontId="15" fillId="7" borderId="12" xfId="0" applyNumberFormat="1" applyFont="1" applyFill="1" applyBorder="1"/>
    <xf numFmtId="0" fontId="15" fillId="7" borderId="12" xfId="0" applyFont="1" applyFill="1" applyBorder="1"/>
    <xf numFmtId="0" fontId="12" fillId="8" borderId="12" xfId="0" applyFont="1" applyFill="1" applyBorder="1"/>
    <xf numFmtId="0" fontId="12" fillId="9" borderId="12" xfId="0" applyFont="1" applyFill="1" applyBorder="1"/>
    <xf numFmtId="0" fontId="12" fillId="10" borderId="12" xfId="0" applyFont="1" applyFill="1" applyBorder="1"/>
    <xf numFmtId="2" fontId="10" fillId="11" borderId="12" xfId="0" applyNumberFormat="1" applyFont="1" applyFill="1" applyBorder="1"/>
    <xf numFmtId="0" fontId="9" fillId="13" borderId="12" xfId="0" applyFont="1" applyFill="1" applyBorder="1" applyAlignment="1">
      <alignment horizontal="center"/>
    </xf>
    <xf numFmtId="164" fontId="9" fillId="13" borderId="12" xfId="0" applyNumberFormat="1" applyFont="1" applyFill="1" applyBorder="1" applyAlignment="1">
      <alignment horizontal="center"/>
    </xf>
    <xf numFmtId="3" fontId="9" fillId="13" borderId="12" xfId="0" applyNumberFormat="1" applyFont="1" applyFill="1" applyBorder="1" applyAlignment="1">
      <alignment horizontal="center"/>
    </xf>
    <xf numFmtId="1" fontId="9" fillId="13" borderId="12" xfId="0" applyNumberFormat="1" applyFont="1" applyFill="1" applyBorder="1" applyAlignment="1">
      <alignment horizontal="center"/>
    </xf>
    <xf numFmtId="0" fontId="9" fillId="0" borderId="0" xfId="0" applyFont="1" applyBorder="1" applyAlignment="1">
      <alignment horizontal="center"/>
    </xf>
    <xf numFmtId="164" fontId="9" fillId="0" borderId="0" xfId="0" applyNumberFormat="1" applyFont="1" applyBorder="1" applyAlignment="1">
      <alignment horizontal="center"/>
    </xf>
    <xf numFmtId="3" fontId="9" fillId="0" borderId="0" xfId="0" applyNumberFormat="1" applyFont="1" applyBorder="1" applyAlignment="1">
      <alignment horizontal="center"/>
    </xf>
    <xf numFmtId="0" fontId="10" fillId="0" borderId="0" xfId="0" applyFont="1"/>
    <xf numFmtId="0" fontId="9" fillId="0" borderId="0" xfId="0" applyFont="1" applyBorder="1" applyAlignment="1">
      <alignment horizontal="center" wrapText="1"/>
    </xf>
    <xf numFmtId="0" fontId="17" fillId="0" borderId="0" xfId="0" applyFont="1"/>
    <xf numFmtId="0" fontId="10" fillId="0" borderId="0" xfId="0" applyFont="1" applyAlignment="1">
      <alignment horizontal="center" vertical="center"/>
    </xf>
    <xf numFmtId="0" fontId="1" fillId="0" borderId="0" xfId="0" applyFont="1" applyFill="1" applyAlignment="1">
      <alignment vertical="center"/>
    </xf>
    <xf numFmtId="14" fontId="1" fillId="3" borderId="0" xfId="0" applyNumberFormat="1" applyFont="1" applyFill="1" applyAlignment="1">
      <alignment vertical="center"/>
    </xf>
    <xf numFmtId="0" fontId="1" fillId="3" borderId="0" xfId="0" applyFont="1" applyFill="1" applyAlignment="1">
      <alignment horizontal="center" vertical="center"/>
    </xf>
    <xf numFmtId="0" fontId="1" fillId="0" borderId="0" xfId="0" applyFont="1" applyAlignment="1">
      <alignment horizontal="left" vertical="center"/>
    </xf>
    <xf numFmtId="0" fontId="1" fillId="15" borderId="0" xfId="0" applyFont="1" applyFill="1" applyAlignment="1">
      <alignment vertical="center"/>
    </xf>
    <xf numFmtId="2" fontId="1" fillId="15" borderId="0" xfId="0" applyNumberFormat="1" applyFont="1" applyFill="1" applyAlignment="1">
      <alignment vertical="center"/>
    </xf>
    <xf numFmtId="0" fontId="10" fillId="3" borderId="0" xfId="0" applyFont="1" applyFill="1" applyBorder="1" applyAlignment="1">
      <alignment horizontal="center" vertical="center"/>
    </xf>
    <xf numFmtId="1" fontId="10" fillId="5" borderId="12" xfId="0" applyNumberFormat="1" applyFont="1" applyFill="1" applyBorder="1" applyAlignment="1">
      <alignment horizontal="right"/>
    </xf>
    <xf numFmtId="1" fontId="8" fillId="0" borderId="12" xfId="0" applyNumberFormat="1" applyFont="1" applyBorder="1" applyAlignment="1"/>
    <xf numFmtId="1" fontId="9" fillId="0" borderId="12" xfId="0" applyNumberFormat="1" applyFont="1" applyFill="1" applyBorder="1"/>
    <xf numFmtId="1" fontId="9" fillId="5" borderId="12" xfId="0" applyNumberFormat="1" applyFont="1" applyFill="1" applyBorder="1"/>
    <xf numFmtId="1" fontId="14" fillId="6" borderId="12" xfId="0" applyNumberFormat="1" applyFont="1" applyFill="1" applyBorder="1"/>
    <xf numFmtId="1" fontId="15" fillId="6" borderId="12" xfId="0" applyNumberFormat="1" applyFont="1" applyFill="1" applyBorder="1" applyAlignment="1">
      <alignment horizontal="right"/>
    </xf>
    <xf numFmtId="1" fontId="14" fillId="7" borderId="12" xfId="0" applyNumberFormat="1" applyFont="1" applyFill="1" applyBorder="1"/>
    <xf numFmtId="1" fontId="15" fillId="7" borderId="12" xfId="0" applyNumberFormat="1" applyFont="1" applyFill="1" applyBorder="1" applyAlignment="1">
      <alignment horizontal="right"/>
    </xf>
    <xf numFmtId="1" fontId="9" fillId="8" borderId="12" xfId="0" applyNumberFormat="1" applyFont="1" applyFill="1" applyBorder="1"/>
    <xf numFmtId="1" fontId="9" fillId="10" borderId="12" xfId="0" applyNumberFormat="1" applyFont="1" applyFill="1" applyBorder="1"/>
    <xf numFmtId="1" fontId="10" fillId="0" borderId="0" xfId="0" applyNumberFormat="1" applyFont="1"/>
    <xf numFmtId="1" fontId="0" fillId="0" borderId="0" xfId="0" applyNumberFormat="1"/>
    <xf numFmtId="0" fontId="9" fillId="0" borderId="12" xfId="0" applyNumberFormat="1" applyFont="1" applyBorder="1"/>
    <xf numFmtId="1" fontId="10" fillId="11" borderId="12" xfId="0" applyNumberFormat="1" applyFont="1" applyFill="1" applyBorder="1" applyAlignment="1">
      <alignment horizontal="right"/>
    </xf>
    <xf numFmtId="0" fontId="1" fillId="2" borderId="0" xfId="0" applyFont="1" applyFill="1" applyAlignment="1">
      <alignment horizontal="center" vertical="center" wrapText="1"/>
    </xf>
    <xf numFmtId="0" fontId="1" fillId="0" borderId="0" xfId="0" applyFont="1" applyBorder="1" applyAlignment="1">
      <alignment horizontal="left" vertical="top"/>
    </xf>
    <xf numFmtId="164" fontId="9" fillId="0" borderId="0" xfId="0" applyNumberFormat="1" applyFont="1" applyFill="1" applyBorder="1" applyAlignment="1">
      <alignment horizontal="center"/>
    </xf>
    <xf numFmtId="3" fontId="9" fillId="0" borderId="0" xfId="0" applyNumberFormat="1" applyFont="1" applyFill="1" applyBorder="1" applyAlignment="1">
      <alignment horizontal="center"/>
    </xf>
    <xf numFmtId="0" fontId="9" fillId="0" borderId="0" xfId="0" applyFont="1" applyFill="1" applyBorder="1" applyAlignment="1"/>
    <xf numFmtId="0" fontId="9" fillId="0" borderId="0" xfId="0" applyFont="1" applyFill="1" applyBorder="1" applyAlignment="1">
      <alignment horizontal="center"/>
    </xf>
    <xf numFmtId="1" fontId="9" fillId="13" borderId="12" xfId="0" quotePrefix="1" applyNumberFormat="1" applyFont="1" applyFill="1" applyBorder="1" applyAlignment="1">
      <alignment horizontal="center" wrapText="1"/>
    </xf>
    <xf numFmtId="0" fontId="10" fillId="0" borderId="16" xfId="0" applyFont="1" applyBorder="1"/>
    <xf numFmtId="0" fontId="4" fillId="0" borderId="0" xfId="0" applyFont="1" applyFill="1" applyAlignment="1">
      <alignment horizontal="left" vertical="top" wrapText="1"/>
    </xf>
    <xf numFmtId="0" fontId="1" fillId="0" borderId="0" xfId="0" applyFont="1" applyAlignment="1">
      <alignment horizontal="center" vertical="center"/>
    </xf>
    <xf numFmtId="1" fontId="9" fillId="16" borderId="12" xfId="0" applyNumberFormat="1" applyFont="1" applyFill="1" applyBorder="1" applyAlignment="1">
      <alignment horizontal="center"/>
    </xf>
    <xf numFmtId="3" fontId="9" fillId="16" borderId="12" xfId="0" applyNumberFormat="1" applyFont="1" applyFill="1" applyBorder="1" applyAlignment="1">
      <alignment horizontal="center"/>
    </xf>
    <xf numFmtId="0" fontId="8" fillId="0" borderId="12" xfId="0" applyFont="1" applyBorder="1" applyAlignment="1">
      <alignment horizontal="center" vertical="center" wrapText="1"/>
    </xf>
    <xf numFmtId="1" fontId="8" fillId="0" borderId="12" xfId="0" applyNumberFormat="1" applyFont="1" applyBorder="1" applyAlignment="1">
      <alignment horizontal="center" vertical="center" wrapText="1"/>
    </xf>
    <xf numFmtId="0" fontId="0" fillId="0" borderId="0" xfId="0" applyAlignment="1">
      <alignment vertical="center" wrapText="1"/>
    </xf>
    <xf numFmtId="0" fontId="1" fillId="0" borderId="0" xfId="0" applyFont="1" applyFill="1" applyAlignment="1">
      <alignment vertical="center" wrapText="1"/>
    </xf>
    <xf numFmtId="0" fontId="1" fillId="0" borderId="0" xfId="0" applyFont="1" applyBorder="1" applyAlignment="1">
      <alignment horizontal="left" vertical="top"/>
    </xf>
    <xf numFmtId="0" fontId="1" fillId="3" borderId="0" xfId="0" applyFont="1" applyFill="1" applyAlignment="1">
      <alignment horizontal="center" vertical="center" wrapText="1"/>
    </xf>
    <xf numFmtId="0" fontId="1" fillId="0" borderId="0" xfId="0" applyFont="1" applyAlignment="1">
      <alignment horizontal="right" vertical="center"/>
    </xf>
    <xf numFmtId="0" fontId="1" fillId="0" borderId="0" xfId="0" applyFont="1" applyFill="1" applyAlignment="1">
      <alignment horizontal="left" vertical="top"/>
    </xf>
    <xf numFmtId="2" fontId="1" fillId="0" borderId="0" xfId="0" applyNumberFormat="1" applyFont="1" applyFill="1" applyAlignment="1">
      <alignment vertical="center"/>
    </xf>
    <xf numFmtId="0" fontId="1" fillId="0" borderId="0" xfId="0" applyFont="1" applyFill="1" applyBorder="1" applyAlignment="1">
      <alignment horizontal="left" vertical="top"/>
    </xf>
    <xf numFmtId="0" fontId="4" fillId="3" borderId="0" xfId="0" applyFont="1" applyFill="1" applyAlignment="1">
      <alignment horizontal="left" vertical="top" wrapText="1"/>
    </xf>
    <xf numFmtId="16" fontId="1" fillId="3" borderId="0" xfId="0" applyNumberFormat="1" applyFont="1" applyFill="1" applyAlignment="1">
      <alignment vertical="center"/>
    </xf>
    <xf numFmtId="0" fontId="1" fillId="0" borderId="0" xfId="0" applyFont="1" applyAlignment="1">
      <alignment horizontal="right" vertical="center"/>
    </xf>
    <xf numFmtId="1" fontId="16" fillId="12" borderId="11" xfId="0" applyNumberFormat="1" applyFont="1" applyFill="1" applyBorder="1"/>
    <xf numFmtId="3" fontId="16" fillId="12" borderId="12" xfId="0" applyNumberFormat="1" applyFont="1" applyFill="1" applyBorder="1"/>
    <xf numFmtId="0" fontId="0" fillId="0" borderId="0" xfId="0" applyFont="1"/>
    <xf numFmtId="0" fontId="19" fillId="0" borderId="0" xfId="0" applyFont="1"/>
    <xf numFmtId="2" fontId="14" fillId="7" borderId="12" xfId="0" applyNumberFormat="1" applyFont="1" applyFill="1" applyBorder="1"/>
    <xf numFmtId="2" fontId="9" fillId="8" borderId="12" xfId="0" applyNumberFormat="1" applyFont="1" applyFill="1" applyBorder="1"/>
    <xf numFmtId="1" fontId="9" fillId="9" borderId="12" xfId="0" applyNumberFormat="1" applyFont="1" applyFill="1" applyBorder="1"/>
    <xf numFmtId="2" fontId="9" fillId="9" borderId="12" xfId="0" applyNumberFormat="1" applyFont="1" applyFill="1" applyBorder="1"/>
    <xf numFmtId="2" fontId="9" fillId="10" borderId="12" xfId="0" applyNumberFormat="1" applyFont="1" applyFill="1" applyBorder="1"/>
    <xf numFmtId="0" fontId="10" fillId="8" borderId="12" xfId="0" applyFont="1" applyFill="1" applyBorder="1"/>
    <xf numFmtId="1" fontId="10" fillId="8" borderId="12" xfId="0" applyNumberFormat="1" applyFont="1" applyFill="1" applyBorder="1"/>
    <xf numFmtId="2" fontId="10" fillId="8" borderId="12" xfId="0" applyNumberFormat="1" applyFont="1" applyFill="1" applyBorder="1"/>
    <xf numFmtId="0" fontId="1" fillId="0" borderId="0" xfId="0" applyFont="1" applyAlignment="1">
      <alignment horizontal="right" vertical="center"/>
    </xf>
    <xf numFmtId="0" fontId="1" fillId="0" borderId="0" xfId="0" applyFont="1" applyAlignment="1">
      <alignment horizontal="left" vertical="center"/>
    </xf>
    <xf numFmtId="0" fontId="16" fillId="9" borderId="12" xfId="0" applyFont="1" applyFill="1" applyBorder="1"/>
    <xf numFmtId="1" fontId="10" fillId="9" borderId="12" xfId="0" applyNumberFormat="1" applyFont="1" applyFill="1" applyBorder="1" applyAlignment="1">
      <alignment horizontal="right"/>
    </xf>
    <xf numFmtId="2" fontId="10" fillId="9" borderId="12" xfId="0" applyNumberFormat="1" applyFont="1" applyFill="1" applyBorder="1"/>
    <xf numFmtId="0" fontId="10" fillId="9" borderId="12" xfId="0" applyFont="1" applyFill="1" applyBorder="1"/>
    <xf numFmtId="1" fontId="10" fillId="9" borderId="12" xfId="0" applyNumberFormat="1" applyFont="1" applyFill="1" applyBorder="1"/>
    <xf numFmtId="0" fontId="10" fillId="10" borderId="12" xfId="0" applyFont="1" applyFill="1" applyBorder="1"/>
    <xf numFmtId="1" fontId="10" fillId="10" borderId="12" xfId="0" applyNumberFormat="1" applyFont="1" applyFill="1" applyBorder="1" applyAlignment="1">
      <alignment horizontal="right"/>
    </xf>
    <xf numFmtId="2" fontId="10" fillId="10" borderId="12" xfId="0" applyNumberFormat="1" applyFont="1" applyFill="1" applyBorder="1"/>
    <xf numFmtId="0" fontId="10" fillId="11" borderId="22" xfId="0" applyFont="1" applyFill="1" applyBorder="1"/>
    <xf numFmtId="0" fontId="1" fillId="0" borderId="0" xfId="0" applyFont="1" applyBorder="1" applyAlignment="1">
      <alignment vertical="center" wrapText="1"/>
    </xf>
    <xf numFmtId="0" fontId="1" fillId="0" borderId="4" xfId="0" applyFont="1" applyBorder="1" applyAlignment="1">
      <alignment vertical="center" wrapText="1"/>
    </xf>
    <xf numFmtId="0" fontId="1" fillId="0" borderId="5" xfId="0" applyFont="1" applyBorder="1" applyAlignment="1">
      <alignment vertical="center" wrapText="1"/>
    </xf>
    <xf numFmtId="0" fontId="20" fillId="0" borderId="4" xfId="0" applyFont="1" applyBorder="1" applyAlignment="1">
      <alignment horizontal="left" vertical="top" wrapText="1"/>
    </xf>
    <xf numFmtId="0" fontId="1" fillId="0" borderId="0" xfId="0" applyFont="1" applyBorder="1" applyAlignment="1">
      <alignment horizontal="left" vertical="top" wrapText="1"/>
    </xf>
    <xf numFmtId="0" fontId="1" fillId="0" borderId="5" xfId="0" applyFont="1" applyBorder="1" applyAlignment="1">
      <alignment horizontal="left" vertical="top" wrapText="1"/>
    </xf>
    <xf numFmtId="0" fontId="1" fillId="0" borderId="4" xfId="0" applyFont="1" applyBorder="1" applyAlignment="1">
      <alignment horizontal="center" vertical="center" wrapText="1"/>
    </xf>
    <xf numFmtId="0" fontId="1" fillId="0" borderId="0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 wrapText="1"/>
    </xf>
    <xf numFmtId="0" fontId="1" fillId="0" borderId="8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left" vertical="top" wrapText="1"/>
    </xf>
    <xf numFmtId="0" fontId="20" fillId="0" borderId="4" xfId="0" applyFont="1" applyBorder="1" applyAlignment="1">
      <alignment horizontal="left" vertical="center" wrapText="1"/>
    </xf>
    <xf numFmtId="0" fontId="1" fillId="0" borderId="0" xfId="0" applyFont="1" applyBorder="1" applyAlignment="1">
      <alignment horizontal="left" vertical="center" wrapText="1"/>
    </xf>
    <xf numFmtId="0" fontId="1" fillId="0" borderId="5" xfId="0" applyFont="1" applyBorder="1" applyAlignment="1">
      <alignment horizontal="left" vertical="center" wrapText="1"/>
    </xf>
    <xf numFmtId="0" fontId="2" fillId="0" borderId="9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1" fillId="3" borderId="0" xfId="0" applyFont="1" applyFill="1" applyAlignment="1">
      <alignment horizontal="center" vertical="center" wrapText="1"/>
    </xf>
    <xf numFmtId="0" fontId="1" fillId="0" borderId="0" xfId="0" applyFont="1" applyAlignment="1">
      <alignment horizontal="left" vertical="center"/>
    </xf>
    <xf numFmtId="0" fontId="1" fillId="3" borderId="0" xfId="0" applyFont="1" applyFill="1" applyAlignment="1">
      <alignment horizontal="center" vertical="center"/>
    </xf>
    <xf numFmtId="0" fontId="4" fillId="3" borderId="0" xfId="0" applyFont="1" applyFill="1" applyAlignment="1">
      <alignment horizontal="left" vertical="top" wrapText="1"/>
    </xf>
    <xf numFmtId="0" fontId="3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14" fontId="1" fillId="3" borderId="7" xfId="0" applyNumberFormat="1" applyFont="1" applyFill="1" applyBorder="1" applyAlignment="1">
      <alignment horizontal="center" vertical="center"/>
    </xf>
    <xf numFmtId="0" fontId="1" fillId="3" borderId="7" xfId="0" applyFont="1" applyFill="1" applyBorder="1" applyAlignment="1">
      <alignment horizontal="center" vertical="center"/>
    </xf>
    <xf numFmtId="0" fontId="1" fillId="3" borderId="8" xfId="0" applyFont="1" applyFill="1" applyBorder="1" applyAlignment="1">
      <alignment horizontal="center" vertical="center"/>
    </xf>
    <xf numFmtId="0" fontId="18" fillId="0" borderId="0" xfId="0" applyFont="1" applyBorder="1" applyAlignment="1">
      <alignment horizontal="center" vertical="center" wrapText="1"/>
    </xf>
    <xf numFmtId="0" fontId="4" fillId="3" borderId="0" xfId="0" applyFont="1" applyFill="1" applyAlignment="1">
      <alignment horizontal="left" vertical="top"/>
    </xf>
    <xf numFmtId="0" fontId="5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right" vertical="center"/>
    </xf>
    <xf numFmtId="0" fontId="1" fillId="3" borderId="0" xfId="0" applyFont="1" applyFill="1" applyBorder="1" applyAlignment="1">
      <alignment horizontal="left" vertical="center" wrapText="1"/>
    </xf>
    <xf numFmtId="0" fontId="2" fillId="0" borderId="9" xfId="0" applyFont="1" applyFill="1" applyBorder="1" applyAlignment="1">
      <alignment horizontal="center" vertical="center"/>
    </xf>
    <xf numFmtId="0" fontId="2" fillId="0" borderId="10" xfId="0" applyFont="1" applyFill="1" applyBorder="1" applyAlignment="1">
      <alignment horizontal="center" vertical="center"/>
    </xf>
    <xf numFmtId="0" fontId="2" fillId="0" borderId="11" xfId="0" applyFont="1" applyFill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14" xfId="0" applyFont="1" applyBorder="1" applyAlignment="1">
      <alignment horizontal="left" vertical="top" wrapText="1"/>
    </xf>
    <xf numFmtId="0" fontId="1" fillId="0" borderId="15" xfId="0" applyFont="1" applyBorder="1" applyAlignment="1">
      <alignment horizontal="left" vertical="top"/>
    </xf>
    <xf numFmtId="0" fontId="1" fillId="0" borderId="16" xfId="0" applyFont="1" applyBorder="1" applyAlignment="1">
      <alignment horizontal="left" vertical="top"/>
    </xf>
    <xf numFmtId="0" fontId="1" fillId="0" borderId="17" xfId="0" applyFont="1" applyBorder="1" applyAlignment="1">
      <alignment horizontal="left" vertical="top"/>
    </xf>
    <xf numFmtId="0" fontId="1" fillId="0" borderId="0" xfId="0" applyFont="1" applyBorder="1" applyAlignment="1">
      <alignment horizontal="left" vertical="top"/>
    </xf>
    <xf numFmtId="0" fontId="1" fillId="0" borderId="18" xfId="0" applyFont="1" applyBorder="1" applyAlignment="1">
      <alignment horizontal="left" vertical="top"/>
    </xf>
    <xf numFmtId="0" fontId="1" fillId="0" borderId="19" xfId="0" applyFont="1" applyBorder="1" applyAlignment="1">
      <alignment horizontal="left" vertical="top"/>
    </xf>
    <xf numFmtId="0" fontId="1" fillId="0" borderId="20" xfId="0" applyFont="1" applyBorder="1" applyAlignment="1">
      <alignment horizontal="left" vertical="top"/>
    </xf>
    <xf numFmtId="0" fontId="1" fillId="0" borderId="21" xfId="0" applyFont="1" applyBorder="1" applyAlignment="1">
      <alignment horizontal="left" vertical="top"/>
    </xf>
    <xf numFmtId="0" fontId="1" fillId="0" borderId="17" xfId="0" applyFont="1" applyBorder="1" applyAlignment="1">
      <alignment horizontal="left" vertical="top" wrapText="1"/>
    </xf>
    <xf numFmtId="0" fontId="1" fillId="0" borderId="14" xfId="0" applyFont="1" applyFill="1" applyBorder="1" applyAlignment="1">
      <alignment horizontal="left" vertical="top" wrapText="1"/>
    </xf>
    <xf numFmtId="0" fontId="1" fillId="0" borderId="15" xfId="0" applyFont="1" applyFill="1" applyBorder="1" applyAlignment="1">
      <alignment horizontal="left" vertical="top" wrapText="1"/>
    </xf>
    <xf numFmtId="0" fontId="1" fillId="0" borderId="16" xfId="0" applyFont="1" applyFill="1" applyBorder="1" applyAlignment="1">
      <alignment horizontal="left" vertical="top" wrapText="1"/>
    </xf>
    <xf numFmtId="0" fontId="1" fillId="0" borderId="17" xfId="0" applyFont="1" applyFill="1" applyBorder="1" applyAlignment="1">
      <alignment horizontal="left" vertical="top" wrapText="1"/>
    </xf>
    <xf numFmtId="0" fontId="1" fillId="0" borderId="0" xfId="0" applyFont="1" applyFill="1" applyBorder="1" applyAlignment="1">
      <alignment horizontal="left" vertical="top" wrapText="1"/>
    </xf>
    <xf numFmtId="0" fontId="1" fillId="0" borderId="18" xfId="0" applyFont="1" applyFill="1" applyBorder="1" applyAlignment="1">
      <alignment horizontal="left" vertical="top" wrapText="1"/>
    </xf>
    <xf numFmtId="0" fontId="1" fillId="0" borderId="19" xfId="0" applyFont="1" applyFill="1" applyBorder="1" applyAlignment="1">
      <alignment horizontal="left" vertical="top" wrapText="1"/>
    </xf>
    <xf numFmtId="0" fontId="1" fillId="0" borderId="20" xfId="0" applyFont="1" applyFill="1" applyBorder="1" applyAlignment="1">
      <alignment horizontal="left" vertical="top" wrapText="1"/>
    </xf>
    <xf numFmtId="0" fontId="1" fillId="0" borderId="21" xfId="0" applyFont="1" applyFill="1" applyBorder="1" applyAlignment="1">
      <alignment horizontal="left" vertical="top" wrapText="1"/>
    </xf>
    <xf numFmtId="0" fontId="9" fillId="14" borderId="9" xfId="0" applyFont="1" applyFill="1" applyBorder="1" applyAlignment="1">
      <alignment horizontal="center" wrapText="1"/>
    </xf>
    <xf numFmtId="0" fontId="9" fillId="14" borderId="11" xfId="0" applyFont="1" applyFill="1" applyBorder="1" applyAlignment="1">
      <alignment horizontal="center" wrapText="1"/>
    </xf>
    <xf numFmtId="1" fontId="9" fillId="13" borderId="22" xfId="0" applyNumberFormat="1" applyFont="1" applyFill="1" applyBorder="1" applyAlignment="1">
      <alignment horizontal="center" vertical="center"/>
    </xf>
    <xf numFmtId="1" fontId="9" fillId="13" borderId="13" xfId="0" applyNumberFormat="1" applyFont="1" applyFill="1" applyBorder="1" applyAlignment="1">
      <alignment horizontal="center" vertical="center"/>
    </xf>
    <xf numFmtId="0" fontId="9" fillId="0" borderId="9" xfId="0" applyFont="1" applyBorder="1" applyAlignment="1">
      <alignment horizontal="left"/>
    </xf>
    <xf numFmtId="0" fontId="9" fillId="0" borderId="11" xfId="0" applyFont="1" applyBorder="1" applyAlignment="1">
      <alignment horizontal="left"/>
    </xf>
    <xf numFmtId="0" fontId="9" fillId="0" borderId="12" xfId="0" applyFont="1" applyBorder="1" applyAlignment="1">
      <alignment horizontal="left"/>
    </xf>
    <xf numFmtId="0" fontId="9" fillId="0" borderId="9" xfId="0" applyFont="1" applyBorder="1" applyAlignment="1">
      <alignment horizontal="center"/>
    </xf>
    <xf numFmtId="0" fontId="9" fillId="0" borderId="11" xfId="0" applyFont="1" applyBorder="1" applyAlignment="1">
      <alignment horizontal="center"/>
    </xf>
    <xf numFmtId="165" fontId="10" fillId="14" borderId="12" xfId="0" applyNumberFormat="1" applyFont="1" applyFill="1" applyBorder="1" applyAlignment="1">
      <alignment horizontal="center"/>
    </xf>
  </cellXfs>
  <cellStyles count="2">
    <cellStyle name="Milliers" xfId="1" builtinId="3"/>
    <cellStyle name="Normal" xfId="0" builtinId="0"/>
  </cellStyles>
  <dxfs count="17">
    <dxf>
      <font>
        <b/>
        <i val="0"/>
      </font>
    </dxf>
    <dxf>
      <font>
        <b/>
        <i val="0"/>
      </font>
    </dxf>
    <dxf>
      <font>
        <b/>
        <i val="0"/>
      </font>
    </dxf>
    <dxf>
      <font>
        <b/>
        <i val="0"/>
      </font>
    </dxf>
    <dxf>
      <font>
        <b/>
        <i val="0"/>
      </font>
    </dxf>
    <dxf>
      <font>
        <b/>
        <i val="0"/>
      </font>
    </dxf>
    <dxf>
      <font>
        <b/>
        <i val="0"/>
      </font>
    </dxf>
    <dxf>
      <font>
        <b/>
        <i val="0"/>
      </font>
    </dxf>
    <dxf>
      <font>
        <b/>
        <i val="0"/>
      </font>
    </dxf>
    <dxf>
      <font>
        <b/>
        <i val="0"/>
      </font>
    </dxf>
    <dxf>
      <font>
        <b/>
        <i val="0"/>
      </font>
    </dxf>
    <dxf>
      <font>
        <b/>
        <i val="0"/>
      </font>
    </dxf>
    <dxf>
      <font>
        <b/>
        <i val="0"/>
      </font>
    </dxf>
    <dxf>
      <font>
        <b/>
        <i val="0"/>
      </font>
    </dxf>
    <dxf>
      <font>
        <b/>
        <i val="0"/>
      </font>
    </dxf>
    <dxf>
      <font>
        <b/>
        <i val="0"/>
      </font>
    </dxf>
    <dxf>
      <font>
        <b/>
        <i val="0"/>
      </font>
    </dxf>
  </dxfs>
  <tableStyles count="0" defaultTableStyle="TableStyleMedium2" defaultPivotStyle="PivotStyleLight16"/>
  <colors>
    <mruColors>
      <color rgb="FF0099CC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CheckBox" lockText="1" noThreeD="1"/>
</file>

<file path=xl/ctrlProps/ctrlProp2.xml><?xml version="1.0" encoding="utf-8"?>
<formControlPr xmlns="http://schemas.microsoft.com/office/spreadsheetml/2009/9/main" objectType="CheckBox" lockText="1" noThreeD="1"/>
</file>

<file path=xl/ctrlProps/ctrlProp3.xml><?xml version="1.0" encoding="utf-8"?>
<formControlPr xmlns="http://schemas.microsoft.com/office/spreadsheetml/2009/9/main" objectType="CheckBox" lockText="1" noThreeD="1"/>
</file>

<file path=xl/ctrlProps/ctrlProp4.xml><?xml version="1.0" encoding="utf-8"?>
<formControlPr xmlns="http://schemas.microsoft.com/office/spreadsheetml/2009/9/main" objectType="CheckBox" lockText="1" noThreeD="1"/>
</file>

<file path=xl/ctrlProps/ctrlProp5.xml><?xml version="1.0" encoding="utf-8"?>
<formControlPr xmlns="http://schemas.microsoft.com/office/spreadsheetml/2009/9/main" objectType="CheckBox" lockText="1" noThreeD="1"/>
</file>

<file path=xl/ctrlProps/ctrlProp6.xml><?xml version="1.0" encoding="utf-8"?>
<formControlPr xmlns="http://schemas.microsoft.com/office/spreadsheetml/2009/9/main" objectType="CheckBox" lockText="1" noThreeD="1"/>
</file>

<file path=xl/ctrlProps/ctrlProp7.xml><?xml version="1.0" encoding="utf-8"?>
<formControlPr xmlns="http://schemas.microsoft.com/office/spreadsheetml/2009/9/main" objectType="CheckBox" lockText="1" noThreeD="1"/>
</file>

<file path=xl/ctrlProps/ctrlProp8.xml><?xml version="1.0" encoding="utf-8"?>
<formControlPr xmlns="http://schemas.microsoft.com/office/spreadsheetml/2009/9/main" objectType="Radio" firstButton="1" lockText="1" noThreeD="1"/>
</file>

<file path=xl/ctrlProps/ctrlProp9.xml><?xml version="1.0" encoding="utf-8"?>
<formControlPr xmlns="http://schemas.microsoft.com/office/spreadsheetml/2009/9/main" objectType="Radio" checked="Checked" lockText="1" noThreeD="1"/>
</file>

<file path=xl/ctrlProps/ctrlProp10.xml><?xml version="1.0" encoding="utf-8"?>
<formControlPr xmlns="http://schemas.microsoft.com/office/spreadsheetml/2009/9/main" objectType="Radio" lockText="1" noThreeD="1"/>
</file>

<file path=xl/ctrlProps/ctrlProp11.xml><?xml version="1.0" encoding="utf-8"?>
<formControlPr xmlns="http://schemas.microsoft.com/office/spreadsheetml/2009/9/main" objectType="CheckBox" lockText="1" noThreeD="1"/>
</file>

<file path=xl/ctrlProps/ctrlProp12.xml><?xml version="1.0" encoding="utf-8"?>
<formControlPr xmlns="http://schemas.microsoft.com/office/spreadsheetml/2009/9/main" objectType="CheckBox" lockText="1" noThreeD="1"/>
</file>

<file path=xl/ctrlProps/ctrlProp13.xml><?xml version="1.0" encoding="utf-8"?>
<formControlPr xmlns="http://schemas.microsoft.com/office/spreadsheetml/2009/9/main" objectType="CheckBox" lockText="1" noThreeD="1"/>
</file>

<file path=xl/ctrlProps/ctrlProp14.xml><?xml version="1.0" encoding="utf-8"?>
<formControlPr xmlns="http://schemas.microsoft.com/office/spreadsheetml/2009/9/main" objectType="CheckBox" lockText="1" noThreeD="1"/>
</file>

<file path=xl/ctrlProps/ctrlProp15.xml><?xml version="1.0" encoding="utf-8"?>
<formControlPr xmlns="http://schemas.microsoft.com/office/spreadsheetml/2009/9/main" objectType="CheckBox" lockText="1" noThreeD="1"/>
</file>

<file path=xl/ctrlProps/ctrlProp16.xml><?xml version="1.0" encoding="utf-8"?>
<formControlPr xmlns="http://schemas.microsoft.com/office/spreadsheetml/2009/9/main" objectType="CheckBox" lockText="1" noThreeD="1"/>
</file>

<file path=xl/ctrlProps/ctrlProp17.xml><?xml version="1.0" encoding="utf-8"?>
<formControlPr xmlns="http://schemas.microsoft.com/office/spreadsheetml/2009/9/main" objectType="CheckBox" lockText="1" noThreeD="1"/>
</file>

<file path=xl/ctrlProps/ctrlProp18.xml><?xml version="1.0" encoding="utf-8"?>
<formControlPr xmlns="http://schemas.microsoft.com/office/spreadsheetml/2009/9/main" objectType="CheckBox" lockText="1" noThreeD="1"/>
</file>

<file path=xl/ctrlProps/ctrlProp19.xml><?xml version="1.0" encoding="utf-8"?>
<formControlPr xmlns="http://schemas.microsoft.com/office/spreadsheetml/2009/9/main" objectType="CheckBox" lockText="1" noThreeD="1"/>
</file>

<file path=xl/ctrlProps/ctrlProp20.xml><?xml version="1.0" encoding="utf-8"?>
<formControlPr xmlns="http://schemas.microsoft.com/office/spreadsheetml/2009/9/main" objectType="CheckBox" lockText="1" noThreeD="1"/>
</file>

<file path=xl/ctrlProps/ctrlProp21.xml><?xml version="1.0" encoding="utf-8"?>
<formControlPr xmlns="http://schemas.microsoft.com/office/spreadsheetml/2009/9/main" objectType="CheckBox" lockText="1" noThreeD="1"/>
</file>

<file path=xl/ctrlProps/ctrlProp22.xml><?xml version="1.0" encoding="utf-8"?>
<formControlPr xmlns="http://schemas.microsoft.com/office/spreadsheetml/2009/9/main" objectType="CheckBox" lockText="1" noThreeD="1"/>
</file>

<file path=xl/ctrlProps/ctrlProp23.xml><?xml version="1.0" encoding="utf-8"?>
<formControlPr xmlns="http://schemas.microsoft.com/office/spreadsheetml/2009/9/main" objectType="CheckBox" lockText="1" noThreeD="1"/>
</file>

<file path=xl/ctrlProps/ctrlProp24.xml><?xml version="1.0" encoding="utf-8"?>
<formControlPr xmlns="http://schemas.microsoft.com/office/spreadsheetml/2009/9/main" objectType="CheckBox" lockText="1" noThreeD="1"/>
</file>

<file path=xl/ctrlProps/ctrlProp25.xml><?xml version="1.0" encoding="utf-8"?>
<formControlPr xmlns="http://schemas.microsoft.com/office/spreadsheetml/2009/9/main" objectType="CheckBox" lockText="1" noThreeD="1"/>
</file>

<file path=xl/ctrlProps/ctrlProp26.xml><?xml version="1.0" encoding="utf-8"?>
<formControlPr xmlns="http://schemas.microsoft.com/office/spreadsheetml/2009/9/main" objectType="CheckBox" lockText="1" noThreeD="1"/>
</file>

<file path=xl/ctrlProps/ctrlProp27.xml><?xml version="1.0" encoding="utf-8"?>
<formControlPr xmlns="http://schemas.microsoft.com/office/spreadsheetml/2009/9/main" objectType="CheckBox" lockText="1" noThreeD="1"/>
</file>

<file path=xl/ctrlProps/ctrlProp28.xml><?xml version="1.0" encoding="utf-8"?>
<formControlPr xmlns="http://schemas.microsoft.com/office/spreadsheetml/2009/9/main" objectType="CheckBox" lockText="1" noThreeD="1"/>
</file>

<file path=xl/ctrlProps/ctrlProp29.xml><?xml version="1.0" encoding="utf-8"?>
<formControlPr xmlns="http://schemas.microsoft.com/office/spreadsheetml/2009/9/main" objectType="CheckBox" lockText="1" noThreeD="1"/>
</file>

<file path=xl/ctrlProps/ctrlProp30.xml><?xml version="1.0" encoding="utf-8"?>
<formControlPr xmlns="http://schemas.microsoft.com/office/spreadsheetml/2009/9/main" objectType="CheckBox" lockText="1" noThreeD="1"/>
</file>

<file path=xl/ctrlProps/ctrlProp31.xml><?xml version="1.0" encoding="utf-8"?>
<formControlPr xmlns="http://schemas.microsoft.com/office/spreadsheetml/2009/9/main" objectType="CheckBox" lockText="1" noThreeD="1"/>
</file>

<file path=xl/ctrlProps/ctrlProp32.xml><?xml version="1.0" encoding="utf-8"?>
<formControlPr xmlns="http://schemas.microsoft.com/office/spreadsheetml/2009/9/main" objectType="CheckBox" lockText="1" noThreeD="1"/>
</file>

<file path=xl/ctrlProps/ctrlProp33.xml><?xml version="1.0" encoding="utf-8"?>
<formControlPr xmlns="http://schemas.microsoft.com/office/spreadsheetml/2009/9/main" objectType="CheckBox" lockText="1" noThreeD="1"/>
</file>

<file path=xl/ctrlProps/ctrlProp34.xml><?xml version="1.0" encoding="utf-8"?>
<formControlPr xmlns="http://schemas.microsoft.com/office/spreadsheetml/2009/9/main" objectType="CheckBox" lockText="1" noThreeD="1"/>
</file>

<file path=xl/ctrlProps/ctrlProp35.xml><?xml version="1.0" encoding="utf-8"?>
<formControlPr xmlns="http://schemas.microsoft.com/office/spreadsheetml/2009/9/main" objectType="CheckBox" lockText="1" noThreeD="1"/>
</file>

<file path=xl/ctrlProps/ctrlProp36.xml><?xml version="1.0" encoding="utf-8"?>
<formControlPr xmlns="http://schemas.microsoft.com/office/spreadsheetml/2009/9/main" objectType="CheckBox" lockText="1" noThreeD="1"/>
</file>

<file path=xl/ctrlProps/ctrlProp37.xml><?xml version="1.0" encoding="utf-8"?>
<formControlPr xmlns="http://schemas.microsoft.com/office/spreadsheetml/2009/9/main" objectType="CheckBox" lockText="1" noThreeD="1"/>
</file>

<file path=xl/ctrlProps/ctrlProp38.xml><?xml version="1.0" encoding="utf-8"?>
<formControlPr xmlns="http://schemas.microsoft.com/office/spreadsheetml/2009/9/main" objectType="CheckBox" lockText="1" noThreeD="1"/>
</file>

<file path=xl/ctrlProps/ctrlProp39.xml><?xml version="1.0" encoding="utf-8"?>
<formControlPr xmlns="http://schemas.microsoft.com/office/spreadsheetml/2009/9/main" objectType="CheckBox" lockText="1" noThreeD="1"/>
</file>

<file path=xl/ctrlProps/ctrlProp40.xml><?xml version="1.0" encoding="utf-8"?>
<formControlPr xmlns="http://schemas.microsoft.com/office/spreadsheetml/2009/9/main" objectType="CheckBox" lockText="1" noThreeD="1"/>
</file>

<file path=xl/ctrlProps/ctrlProp41.xml><?xml version="1.0" encoding="utf-8"?>
<formControlPr xmlns="http://schemas.microsoft.com/office/spreadsheetml/2009/9/main" objectType="CheckBox" lockText="1" noThreeD="1"/>
</file>

<file path=xl/ctrlProps/ctrlProp42.xml><?xml version="1.0" encoding="utf-8"?>
<formControlPr xmlns="http://schemas.microsoft.com/office/spreadsheetml/2009/9/main" objectType="CheckBox" lockText="1" noThreeD="1"/>
</file>

<file path=xl/ctrlProps/ctrlProp43.xml><?xml version="1.0" encoding="utf-8"?>
<formControlPr xmlns="http://schemas.microsoft.com/office/spreadsheetml/2009/9/main" objectType="CheckBox" lockText="1" noThreeD="1"/>
</file>

<file path=xl/ctrlProps/ctrlProp44.xml><?xml version="1.0" encoding="utf-8"?>
<formControlPr xmlns="http://schemas.microsoft.com/office/spreadsheetml/2009/9/main" objectType="CheckBox" lockText="1" noThreeD="1"/>
</file>

<file path=xl/ctrlProps/ctrlProp45.xml><?xml version="1.0" encoding="utf-8"?>
<formControlPr xmlns="http://schemas.microsoft.com/office/spreadsheetml/2009/9/main" objectType="CheckBox" lockText="1" noThreeD="1"/>
</file>

<file path=xl/ctrlProps/ctrlProp46.xml><?xml version="1.0" encoding="utf-8"?>
<formControlPr xmlns="http://schemas.microsoft.com/office/spreadsheetml/2009/9/main" objectType="CheckBox" lockText="1" noThreeD="1"/>
</file>

<file path=xl/ctrlProps/ctrlProp47.xml><?xml version="1.0" encoding="utf-8"?>
<formControlPr xmlns="http://schemas.microsoft.com/office/spreadsheetml/2009/9/main" objectType="CheckBox" lockText="1" noThreeD="1"/>
</file>

<file path=xl/ctrlProps/ctrlProp48.xml><?xml version="1.0" encoding="utf-8"?>
<formControlPr xmlns="http://schemas.microsoft.com/office/spreadsheetml/2009/9/main" objectType="CheckBox" lockText="1" noThreeD="1"/>
</file>

<file path=xl/ctrlProps/ctrlProp49.xml><?xml version="1.0" encoding="utf-8"?>
<formControlPr xmlns="http://schemas.microsoft.com/office/spreadsheetml/2009/9/main" objectType="CheckBox" lockText="1" noThreeD="1"/>
</file>

<file path=xl/ctrlProps/ctrlProp50.xml><?xml version="1.0" encoding="utf-8"?>
<formControlPr xmlns="http://schemas.microsoft.com/office/spreadsheetml/2009/9/main" objectType="CheckBox" lockText="1" noThreeD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666750</xdr:colOff>
          <xdr:row>115</xdr:row>
          <xdr:rowOff>28575</xdr:rowOff>
        </xdr:from>
        <xdr:to>
          <xdr:col>1</xdr:col>
          <xdr:colOff>695325</xdr:colOff>
          <xdr:row>116</xdr:row>
          <xdr:rowOff>47625</xdr:rowOff>
        </xdr:to>
        <xdr:sp macro="" textlink="">
          <xdr:nvSpPr>
            <xdr:cNvPr id="1122" name="Check Box 98" hidden="1">
              <a:extLst>
                <a:ext uri="{63B3BB69-23CF-44E3-9099-C40C66FF867C}">
                  <a14:compatExt spid="_x0000_s11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Fast-food / snack</a:t>
              </a:r>
              <a:endParaRPr lang="fr-FR"/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666750</xdr:colOff>
          <xdr:row>116</xdr:row>
          <xdr:rowOff>104775</xdr:rowOff>
        </xdr:from>
        <xdr:to>
          <xdr:col>1</xdr:col>
          <xdr:colOff>695325</xdr:colOff>
          <xdr:row>117</xdr:row>
          <xdr:rowOff>123825</xdr:rowOff>
        </xdr:to>
        <xdr:sp macro="" textlink="">
          <xdr:nvSpPr>
            <xdr:cNvPr id="1123" name="Check Box 99" hidden="1">
              <a:extLst>
                <a:ext uri="{63B3BB69-23CF-44E3-9099-C40C66FF867C}">
                  <a14:compatExt spid="_x0000_s11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Sandwicherie</a:t>
              </a:r>
              <a:endParaRPr lang="fr-FR"/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590550</xdr:colOff>
          <xdr:row>115</xdr:row>
          <xdr:rowOff>19050</xdr:rowOff>
        </xdr:from>
        <xdr:to>
          <xdr:col>4</xdr:col>
          <xdr:colOff>0</xdr:colOff>
          <xdr:row>116</xdr:row>
          <xdr:rowOff>38100</xdr:rowOff>
        </xdr:to>
        <xdr:sp macro="" textlink="">
          <xdr:nvSpPr>
            <xdr:cNvPr id="1124" name="Check Box 100" hidden="1">
              <a:extLst>
                <a:ext uri="{63B3BB69-23CF-44E3-9099-C40C66FF867C}">
                  <a14:compatExt spid="_x0000_s11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Cuisine étrangère</a:t>
              </a:r>
              <a:endParaRPr lang="fr-FR"/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609600</xdr:colOff>
          <xdr:row>116</xdr:row>
          <xdr:rowOff>123825</xdr:rowOff>
        </xdr:from>
        <xdr:to>
          <xdr:col>4</xdr:col>
          <xdr:colOff>19050</xdr:colOff>
          <xdr:row>117</xdr:row>
          <xdr:rowOff>142875</xdr:rowOff>
        </xdr:to>
        <xdr:sp macro="" textlink="">
          <xdr:nvSpPr>
            <xdr:cNvPr id="1125" name="Check Box 101" hidden="1">
              <a:extLst>
                <a:ext uri="{63B3BB69-23CF-44E3-9099-C40C66FF867C}">
                  <a14:compatExt spid="_x0000_s11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Traditionnel</a:t>
              </a:r>
              <a:endParaRPr lang="fr-FR"/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781050</xdr:colOff>
          <xdr:row>120</xdr:row>
          <xdr:rowOff>180975</xdr:rowOff>
        </xdr:from>
        <xdr:to>
          <xdr:col>3</xdr:col>
          <xdr:colOff>190500</xdr:colOff>
          <xdr:row>122</xdr:row>
          <xdr:rowOff>9525</xdr:rowOff>
        </xdr:to>
        <xdr:sp macro="" textlink="">
          <xdr:nvSpPr>
            <xdr:cNvPr id="1129" name="Check Box 105" hidden="1">
              <a:extLst>
                <a:ext uri="{63B3BB69-23CF-44E3-9099-C40C66FF867C}">
                  <a14:compatExt spid="_x0000_s11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Avant de manger</a:t>
              </a:r>
              <a:endParaRPr lang="fr-FR"/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581025</xdr:colOff>
          <xdr:row>121</xdr:row>
          <xdr:rowOff>9525</xdr:rowOff>
        </xdr:from>
        <xdr:to>
          <xdr:col>4</xdr:col>
          <xdr:colOff>790575</xdr:colOff>
          <xdr:row>122</xdr:row>
          <xdr:rowOff>28575</xdr:rowOff>
        </xdr:to>
        <xdr:sp macro="" textlink="">
          <xdr:nvSpPr>
            <xdr:cNvPr id="1130" name="Check Box 106" hidden="1">
              <a:extLst>
                <a:ext uri="{63B3BB69-23CF-44E3-9099-C40C66FF867C}">
                  <a14:compatExt spid="_x0000_s11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Après manger</a:t>
              </a:r>
              <a:endParaRPr lang="fr-FR"/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133350</xdr:colOff>
          <xdr:row>120</xdr:row>
          <xdr:rowOff>180975</xdr:rowOff>
        </xdr:from>
        <xdr:to>
          <xdr:col>6</xdr:col>
          <xdr:colOff>342900</xdr:colOff>
          <xdr:row>122</xdr:row>
          <xdr:rowOff>9525</xdr:rowOff>
        </xdr:to>
        <xdr:sp macro="" textlink="">
          <xdr:nvSpPr>
            <xdr:cNvPr id="1131" name="Check Box 107" hidden="1">
              <a:extLst>
                <a:ext uri="{63B3BB69-23CF-44E3-9099-C40C66FF867C}">
                  <a14:compatExt spid="_x0000_s11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Entre les repas</a:t>
              </a:r>
              <a:endParaRPr lang="fr-FR"/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</xdr:colOff>
          <xdr:row>125</xdr:row>
          <xdr:rowOff>9525</xdr:rowOff>
        </xdr:from>
        <xdr:to>
          <xdr:col>3</xdr:col>
          <xdr:colOff>161925</xdr:colOff>
          <xdr:row>126</xdr:row>
          <xdr:rowOff>0</xdr:rowOff>
        </xdr:to>
        <xdr:sp macro="" textlink="">
          <xdr:nvSpPr>
            <xdr:cNvPr id="1174" name="Option Button 150" hidden="1">
              <a:extLst>
                <a:ext uri="{63B3BB69-23CF-44E3-9099-C40C66FF867C}">
                  <a14:compatExt spid="_x0000_s11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Un gros mangeur</a:t>
              </a:r>
              <a:endParaRPr lang="fr-FR"/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485775</xdr:colOff>
          <xdr:row>125</xdr:row>
          <xdr:rowOff>9525</xdr:rowOff>
        </xdr:from>
        <xdr:to>
          <xdr:col>4</xdr:col>
          <xdr:colOff>638175</xdr:colOff>
          <xdr:row>126</xdr:row>
          <xdr:rowOff>0</xdr:rowOff>
        </xdr:to>
        <xdr:sp macro="" textlink="">
          <xdr:nvSpPr>
            <xdr:cNvPr id="1175" name="Option Button 151" hidden="1">
              <a:extLst>
                <a:ext uri="{63B3BB69-23CF-44E3-9099-C40C66FF867C}">
                  <a14:compatExt spid="_x0000_s11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Moyen mangeur</a:t>
              </a:r>
              <a:endParaRPr lang="fr-FR"/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85725</xdr:colOff>
          <xdr:row>125</xdr:row>
          <xdr:rowOff>9525</xdr:rowOff>
        </xdr:from>
        <xdr:to>
          <xdr:col>6</xdr:col>
          <xdr:colOff>238125</xdr:colOff>
          <xdr:row>126</xdr:row>
          <xdr:rowOff>0</xdr:rowOff>
        </xdr:to>
        <xdr:sp macro="" textlink="">
          <xdr:nvSpPr>
            <xdr:cNvPr id="1176" name="Option Button 152" hidden="1">
              <a:extLst>
                <a:ext uri="{63B3BB69-23CF-44E3-9099-C40C66FF867C}">
                  <a14:compatExt spid="_x0000_s11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Petit mangeur</a:t>
              </a:r>
              <a:endParaRPr lang="fr-FR"/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352425</xdr:colOff>
          <xdr:row>15</xdr:row>
          <xdr:rowOff>9524</xdr:rowOff>
        </xdr:from>
        <xdr:to>
          <xdr:col>2</xdr:col>
          <xdr:colOff>381000</xdr:colOff>
          <xdr:row>15</xdr:row>
          <xdr:rowOff>209550</xdr:rowOff>
        </xdr:to>
        <xdr:grpSp>
          <xdr:nvGrpSpPr>
            <xdr:cNvPr id="2" name="Groupe 1"/>
            <xdr:cNvGrpSpPr/>
          </xdr:nvGrpSpPr>
          <xdr:grpSpPr>
            <a:xfrm>
              <a:off x="1336675" y="3322107"/>
              <a:ext cx="832908" cy="200026"/>
              <a:chOff x="1333499" y="2895599"/>
              <a:chExt cx="828677" cy="200026"/>
            </a:xfrm>
          </xdr:grpSpPr>
          <xdr:sp macro="" textlink="">
            <xdr:nvSpPr>
              <xdr:cNvPr id="1187" name="Check Box 163" hidden="1">
                <a:extLst>
                  <a:ext uri="{63B3BB69-23CF-44E3-9099-C40C66FF867C}">
                    <a14:compatExt spid="_x0000_s1187"/>
                  </a:ext>
                </a:extLst>
              </xdr:cNvPr>
              <xdr:cNvSpPr/>
            </xdr:nvSpPr>
            <xdr:spPr>
              <a:xfrm>
                <a:off x="1333499" y="2895599"/>
                <a:ext cx="438150" cy="200025"/>
              </a:xfrm>
              <a:prstGeom prst="rect">
                <a:avLst/>
              </a:prstGeom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fr-FR" sz="800" b="0" i="0" u="none" strike="noStrike" baseline="0">
                    <a:solidFill>
                      <a:srgbClr val="000000"/>
                    </a:solidFill>
                    <a:latin typeface="Tahoma"/>
                    <a:ea typeface="Tahoma"/>
                    <a:cs typeface="Tahoma"/>
                  </a:rPr>
                  <a:t>Oui</a:t>
                </a:r>
                <a:endParaRPr lang="fr-FR"/>
              </a:p>
            </xdr:txBody>
          </xdr:sp>
          <xdr:sp macro="" textlink="">
            <xdr:nvSpPr>
              <xdr:cNvPr id="1188" name="Check Box 164" hidden="1">
                <a:extLst>
                  <a:ext uri="{63B3BB69-23CF-44E3-9099-C40C66FF867C}">
                    <a14:compatExt spid="_x0000_s1188"/>
                  </a:ext>
                </a:extLst>
              </xdr:cNvPr>
              <xdr:cNvSpPr/>
            </xdr:nvSpPr>
            <xdr:spPr>
              <a:xfrm>
                <a:off x="1724026" y="2895600"/>
                <a:ext cx="438150" cy="200025"/>
              </a:xfrm>
              <a:prstGeom prst="rect">
                <a:avLst/>
              </a:prstGeom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fr-FR" sz="800" b="0" i="0" u="none" strike="noStrike" baseline="0">
                    <a:solidFill>
                      <a:srgbClr val="000000"/>
                    </a:solidFill>
                    <a:latin typeface="Tahoma"/>
                    <a:ea typeface="Tahoma"/>
                    <a:cs typeface="Tahoma"/>
                  </a:rPr>
                  <a:t>Non</a:t>
                </a:r>
                <a:endParaRPr lang="fr-FR"/>
              </a:p>
            </xdr:txBody>
          </xdr:sp>
        </xdr:grp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17</xdr:row>
          <xdr:rowOff>0</xdr:rowOff>
        </xdr:from>
        <xdr:to>
          <xdr:col>3</xdr:col>
          <xdr:colOff>28575</xdr:colOff>
          <xdr:row>17</xdr:row>
          <xdr:rowOff>200026</xdr:rowOff>
        </xdr:to>
        <xdr:grpSp>
          <xdr:nvGrpSpPr>
            <xdr:cNvPr id="100" name="Groupe 99"/>
            <xdr:cNvGrpSpPr/>
          </xdr:nvGrpSpPr>
          <xdr:grpSpPr>
            <a:xfrm>
              <a:off x="1788583" y="3799417"/>
              <a:ext cx="832909" cy="200026"/>
              <a:chOff x="1333498" y="2895599"/>
              <a:chExt cx="828678" cy="200026"/>
            </a:xfrm>
          </xdr:grpSpPr>
          <xdr:sp macro="" textlink="">
            <xdr:nvSpPr>
              <xdr:cNvPr id="1189" name="Check Box 165" hidden="1">
                <a:extLst>
                  <a:ext uri="{63B3BB69-23CF-44E3-9099-C40C66FF867C}">
                    <a14:compatExt spid="_x0000_s1189"/>
                  </a:ext>
                </a:extLst>
              </xdr:cNvPr>
              <xdr:cNvSpPr/>
            </xdr:nvSpPr>
            <xdr:spPr>
              <a:xfrm>
                <a:off x="1333498" y="2895599"/>
                <a:ext cx="438150" cy="200025"/>
              </a:xfrm>
              <a:prstGeom prst="rect">
                <a:avLst/>
              </a:prstGeom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fr-FR" sz="800" b="0" i="0" u="none" strike="noStrike" baseline="0">
                    <a:solidFill>
                      <a:srgbClr val="000000"/>
                    </a:solidFill>
                    <a:latin typeface="Tahoma"/>
                    <a:ea typeface="Tahoma"/>
                    <a:cs typeface="Tahoma"/>
                  </a:rPr>
                  <a:t>Oui</a:t>
                </a:r>
                <a:endParaRPr lang="fr-FR"/>
              </a:p>
            </xdr:txBody>
          </xdr:sp>
          <xdr:sp macro="" textlink="">
            <xdr:nvSpPr>
              <xdr:cNvPr id="1190" name="Check Box 166" hidden="1">
                <a:extLst>
                  <a:ext uri="{63B3BB69-23CF-44E3-9099-C40C66FF867C}">
                    <a14:compatExt spid="_x0000_s1190"/>
                  </a:ext>
                </a:extLst>
              </xdr:cNvPr>
              <xdr:cNvSpPr/>
            </xdr:nvSpPr>
            <xdr:spPr>
              <a:xfrm>
                <a:off x="1724026" y="2895600"/>
                <a:ext cx="438150" cy="200025"/>
              </a:xfrm>
              <a:prstGeom prst="rect">
                <a:avLst/>
              </a:prstGeom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fr-FR" sz="800" b="0" i="0" u="none" strike="noStrike" baseline="0">
                    <a:solidFill>
                      <a:srgbClr val="000000"/>
                    </a:solidFill>
                    <a:latin typeface="Tahoma"/>
                    <a:ea typeface="Tahoma"/>
                    <a:cs typeface="Tahoma"/>
                  </a:rPr>
                  <a:t>Non</a:t>
                </a:r>
                <a:endParaRPr lang="fr-FR"/>
              </a:p>
            </xdr:txBody>
          </xdr:sp>
        </xdr:grp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18</xdr:row>
          <xdr:rowOff>0</xdr:rowOff>
        </xdr:from>
        <xdr:to>
          <xdr:col>3</xdr:col>
          <xdr:colOff>28575</xdr:colOff>
          <xdr:row>18</xdr:row>
          <xdr:rowOff>200026</xdr:rowOff>
        </xdr:to>
        <xdr:grpSp>
          <xdr:nvGrpSpPr>
            <xdr:cNvPr id="103" name="Groupe 102"/>
            <xdr:cNvGrpSpPr/>
          </xdr:nvGrpSpPr>
          <xdr:grpSpPr>
            <a:xfrm>
              <a:off x="1788583" y="4042833"/>
              <a:ext cx="832909" cy="200026"/>
              <a:chOff x="1333498" y="2895599"/>
              <a:chExt cx="828678" cy="200026"/>
            </a:xfrm>
          </xdr:grpSpPr>
          <xdr:sp macro="" textlink="">
            <xdr:nvSpPr>
              <xdr:cNvPr id="1191" name="Check Box 167" hidden="1">
                <a:extLst>
                  <a:ext uri="{63B3BB69-23CF-44E3-9099-C40C66FF867C}">
                    <a14:compatExt spid="_x0000_s1191"/>
                  </a:ext>
                </a:extLst>
              </xdr:cNvPr>
              <xdr:cNvSpPr/>
            </xdr:nvSpPr>
            <xdr:spPr>
              <a:xfrm>
                <a:off x="1333498" y="2895599"/>
                <a:ext cx="438150" cy="200025"/>
              </a:xfrm>
              <a:prstGeom prst="rect">
                <a:avLst/>
              </a:prstGeom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fr-FR" sz="800" b="0" i="0" u="none" strike="noStrike" baseline="0">
                    <a:solidFill>
                      <a:srgbClr val="000000"/>
                    </a:solidFill>
                    <a:latin typeface="Tahoma"/>
                    <a:ea typeface="Tahoma"/>
                    <a:cs typeface="Tahoma"/>
                  </a:rPr>
                  <a:t>Oui</a:t>
                </a:r>
                <a:endParaRPr lang="fr-FR"/>
              </a:p>
            </xdr:txBody>
          </xdr:sp>
          <xdr:sp macro="" textlink="">
            <xdr:nvSpPr>
              <xdr:cNvPr id="1192" name="Check Box 168" hidden="1">
                <a:extLst>
                  <a:ext uri="{63B3BB69-23CF-44E3-9099-C40C66FF867C}">
                    <a14:compatExt spid="_x0000_s1192"/>
                  </a:ext>
                </a:extLst>
              </xdr:cNvPr>
              <xdr:cNvSpPr/>
            </xdr:nvSpPr>
            <xdr:spPr>
              <a:xfrm>
                <a:off x="1724026" y="2895600"/>
                <a:ext cx="438150" cy="200025"/>
              </a:xfrm>
              <a:prstGeom prst="rect">
                <a:avLst/>
              </a:prstGeom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fr-FR" sz="800" b="0" i="0" u="none" strike="noStrike" baseline="0">
                    <a:solidFill>
                      <a:srgbClr val="000000"/>
                    </a:solidFill>
                    <a:latin typeface="Tahoma"/>
                    <a:ea typeface="Tahoma"/>
                    <a:cs typeface="Tahoma"/>
                  </a:rPr>
                  <a:t>Non</a:t>
                </a:r>
                <a:endParaRPr lang="fr-FR"/>
              </a:p>
            </xdr:txBody>
          </xdr:sp>
        </xdr:grp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0</xdr:colOff>
          <xdr:row>19</xdr:row>
          <xdr:rowOff>0</xdr:rowOff>
        </xdr:from>
        <xdr:to>
          <xdr:col>4</xdr:col>
          <xdr:colOff>28575</xdr:colOff>
          <xdr:row>19</xdr:row>
          <xdr:rowOff>200026</xdr:rowOff>
        </xdr:to>
        <xdr:grpSp>
          <xdr:nvGrpSpPr>
            <xdr:cNvPr id="106" name="Groupe 105"/>
            <xdr:cNvGrpSpPr/>
          </xdr:nvGrpSpPr>
          <xdr:grpSpPr>
            <a:xfrm>
              <a:off x="2592917" y="4286250"/>
              <a:ext cx="832908" cy="200026"/>
              <a:chOff x="1333499" y="2895599"/>
              <a:chExt cx="828677" cy="200026"/>
            </a:xfrm>
          </xdr:grpSpPr>
          <xdr:sp macro="" textlink="">
            <xdr:nvSpPr>
              <xdr:cNvPr id="1193" name="Check Box 169" hidden="1">
                <a:extLst>
                  <a:ext uri="{63B3BB69-23CF-44E3-9099-C40C66FF867C}">
                    <a14:compatExt spid="_x0000_s1193"/>
                  </a:ext>
                </a:extLst>
              </xdr:cNvPr>
              <xdr:cNvSpPr/>
            </xdr:nvSpPr>
            <xdr:spPr>
              <a:xfrm>
                <a:off x="1333499" y="2895599"/>
                <a:ext cx="438150" cy="200025"/>
              </a:xfrm>
              <a:prstGeom prst="rect">
                <a:avLst/>
              </a:prstGeom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fr-FR" sz="800" b="0" i="0" u="none" strike="noStrike" baseline="0">
                    <a:solidFill>
                      <a:srgbClr val="000000"/>
                    </a:solidFill>
                    <a:latin typeface="Tahoma"/>
                    <a:ea typeface="Tahoma"/>
                    <a:cs typeface="Tahoma"/>
                  </a:rPr>
                  <a:t>Oui</a:t>
                </a:r>
                <a:endParaRPr lang="fr-FR"/>
              </a:p>
            </xdr:txBody>
          </xdr:sp>
          <xdr:sp macro="" textlink="">
            <xdr:nvSpPr>
              <xdr:cNvPr id="1194" name="Check Box 170" hidden="1">
                <a:extLst>
                  <a:ext uri="{63B3BB69-23CF-44E3-9099-C40C66FF867C}">
                    <a14:compatExt spid="_x0000_s1194"/>
                  </a:ext>
                </a:extLst>
              </xdr:cNvPr>
              <xdr:cNvSpPr/>
            </xdr:nvSpPr>
            <xdr:spPr>
              <a:xfrm>
                <a:off x="1724026" y="2895600"/>
                <a:ext cx="438150" cy="200025"/>
              </a:xfrm>
              <a:prstGeom prst="rect">
                <a:avLst/>
              </a:prstGeom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fr-FR" sz="800" b="0" i="0" u="none" strike="noStrike" baseline="0">
                    <a:solidFill>
                      <a:srgbClr val="000000"/>
                    </a:solidFill>
                    <a:latin typeface="Tahoma"/>
                    <a:ea typeface="Tahoma"/>
                    <a:cs typeface="Tahoma"/>
                  </a:rPr>
                  <a:t>Non</a:t>
                </a:r>
                <a:endParaRPr lang="fr-FR"/>
              </a:p>
            </xdr:txBody>
          </xdr:sp>
        </xdr:grp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30</xdr:row>
          <xdr:rowOff>0</xdr:rowOff>
        </xdr:from>
        <xdr:to>
          <xdr:col>3</xdr:col>
          <xdr:colOff>28575</xdr:colOff>
          <xdr:row>31</xdr:row>
          <xdr:rowOff>9526</xdr:rowOff>
        </xdr:to>
        <xdr:grpSp>
          <xdr:nvGrpSpPr>
            <xdr:cNvPr id="109" name="Groupe 108"/>
            <xdr:cNvGrpSpPr/>
          </xdr:nvGrpSpPr>
          <xdr:grpSpPr>
            <a:xfrm>
              <a:off x="1788583" y="6582833"/>
              <a:ext cx="832909" cy="221193"/>
              <a:chOff x="1333498" y="2895597"/>
              <a:chExt cx="828678" cy="200025"/>
            </a:xfrm>
          </xdr:grpSpPr>
          <xdr:sp macro="" textlink="">
            <xdr:nvSpPr>
              <xdr:cNvPr id="1195" name="Check Box 171" hidden="1">
                <a:extLst>
                  <a:ext uri="{63B3BB69-23CF-44E3-9099-C40C66FF867C}">
                    <a14:compatExt spid="_x0000_s1195"/>
                  </a:ext>
                </a:extLst>
              </xdr:cNvPr>
              <xdr:cNvSpPr/>
            </xdr:nvSpPr>
            <xdr:spPr>
              <a:xfrm>
                <a:off x="1333498" y="2895597"/>
                <a:ext cx="438150" cy="200025"/>
              </a:xfrm>
              <a:prstGeom prst="rect">
                <a:avLst/>
              </a:prstGeom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fr-FR" sz="800" b="0" i="0" u="none" strike="noStrike" baseline="0">
                    <a:solidFill>
                      <a:srgbClr val="000000"/>
                    </a:solidFill>
                    <a:latin typeface="Tahoma"/>
                    <a:ea typeface="Tahoma"/>
                    <a:cs typeface="Tahoma"/>
                  </a:rPr>
                  <a:t>Oui</a:t>
                </a:r>
                <a:endParaRPr lang="fr-FR"/>
              </a:p>
            </xdr:txBody>
          </xdr:sp>
          <xdr:sp macro="" textlink="">
            <xdr:nvSpPr>
              <xdr:cNvPr id="1196" name="Check Box 172" hidden="1">
                <a:extLst>
                  <a:ext uri="{63B3BB69-23CF-44E3-9099-C40C66FF867C}">
                    <a14:compatExt spid="_x0000_s1196"/>
                  </a:ext>
                </a:extLst>
              </xdr:cNvPr>
              <xdr:cNvSpPr/>
            </xdr:nvSpPr>
            <xdr:spPr>
              <a:xfrm>
                <a:off x="1724026" y="2895597"/>
                <a:ext cx="438150" cy="200025"/>
              </a:xfrm>
              <a:prstGeom prst="rect">
                <a:avLst/>
              </a:prstGeom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fr-FR" sz="800" b="0" i="0" u="none" strike="noStrike" baseline="0">
                    <a:solidFill>
                      <a:srgbClr val="000000"/>
                    </a:solidFill>
                    <a:latin typeface="Tahoma"/>
                    <a:ea typeface="Tahoma"/>
                    <a:cs typeface="Tahoma"/>
                  </a:rPr>
                  <a:t>Non</a:t>
                </a:r>
                <a:endParaRPr lang="fr-FR"/>
              </a:p>
            </xdr:txBody>
          </xdr:sp>
        </xdr:grp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31</xdr:row>
          <xdr:rowOff>0</xdr:rowOff>
        </xdr:from>
        <xdr:to>
          <xdr:col>3</xdr:col>
          <xdr:colOff>28575</xdr:colOff>
          <xdr:row>32</xdr:row>
          <xdr:rowOff>9526</xdr:rowOff>
        </xdr:to>
        <xdr:grpSp>
          <xdr:nvGrpSpPr>
            <xdr:cNvPr id="112" name="Groupe 111"/>
            <xdr:cNvGrpSpPr/>
          </xdr:nvGrpSpPr>
          <xdr:grpSpPr>
            <a:xfrm>
              <a:off x="1788583" y="6794500"/>
              <a:ext cx="832909" cy="221193"/>
              <a:chOff x="1333498" y="2895597"/>
              <a:chExt cx="828678" cy="200025"/>
            </a:xfrm>
          </xdr:grpSpPr>
          <xdr:sp macro="" textlink="">
            <xdr:nvSpPr>
              <xdr:cNvPr id="1197" name="Check Box 173" hidden="1">
                <a:extLst>
                  <a:ext uri="{63B3BB69-23CF-44E3-9099-C40C66FF867C}">
                    <a14:compatExt spid="_x0000_s1197"/>
                  </a:ext>
                </a:extLst>
              </xdr:cNvPr>
              <xdr:cNvSpPr/>
            </xdr:nvSpPr>
            <xdr:spPr>
              <a:xfrm>
                <a:off x="1333498" y="2895597"/>
                <a:ext cx="438150" cy="200025"/>
              </a:xfrm>
              <a:prstGeom prst="rect">
                <a:avLst/>
              </a:prstGeom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fr-FR" sz="800" b="0" i="0" u="none" strike="noStrike" baseline="0">
                    <a:solidFill>
                      <a:srgbClr val="000000"/>
                    </a:solidFill>
                    <a:latin typeface="Tahoma"/>
                    <a:ea typeface="Tahoma"/>
                    <a:cs typeface="Tahoma"/>
                  </a:rPr>
                  <a:t>Oui</a:t>
                </a:r>
                <a:endParaRPr lang="fr-FR"/>
              </a:p>
            </xdr:txBody>
          </xdr:sp>
          <xdr:sp macro="" textlink="">
            <xdr:nvSpPr>
              <xdr:cNvPr id="1198" name="Check Box 174" hidden="1">
                <a:extLst>
                  <a:ext uri="{63B3BB69-23CF-44E3-9099-C40C66FF867C}">
                    <a14:compatExt spid="_x0000_s1198"/>
                  </a:ext>
                </a:extLst>
              </xdr:cNvPr>
              <xdr:cNvSpPr/>
            </xdr:nvSpPr>
            <xdr:spPr>
              <a:xfrm>
                <a:off x="1724026" y="2895597"/>
                <a:ext cx="438150" cy="200025"/>
              </a:xfrm>
              <a:prstGeom prst="rect">
                <a:avLst/>
              </a:prstGeom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fr-FR" sz="800" b="0" i="0" u="none" strike="noStrike" baseline="0">
                    <a:solidFill>
                      <a:srgbClr val="000000"/>
                    </a:solidFill>
                    <a:latin typeface="Tahoma"/>
                    <a:ea typeface="Tahoma"/>
                    <a:cs typeface="Tahoma"/>
                  </a:rPr>
                  <a:t>Non</a:t>
                </a:r>
                <a:endParaRPr lang="fr-FR"/>
              </a:p>
            </xdr:txBody>
          </xdr:sp>
        </xdr:grp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32</xdr:row>
          <xdr:rowOff>0</xdr:rowOff>
        </xdr:from>
        <xdr:to>
          <xdr:col>3</xdr:col>
          <xdr:colOff>28575</xdr:colOff>
          <xdr:row>33</xdr:row>
          <xdr:rowOff>9526</xdr:rowOff>
        </xdr:to>
        <xdr:grpSp>
          <xdr:nvGrpSpPr>
            <xdr:cNvPr id="115" name="Groupe 114"/>
            <xdr:cNvGrpSpPr/>
          </xdr:nvGrpSpPr>
          <xdr:grpSpPr>
            <a:xfrm>
              <a:off x="1788583" y="7006167"/>
              <a:ext cx="832909" cy="221192"/>
              <a:chOff x="1333498" y="2895597"/>
              <a:chExt cx="828678" cy="200025"/>
            </a:xfrm>
          </xdr:grpSpPr>
          <xdr:sp macro="" textlink="">
            <xdr:nvSpPr>
              <xdr:cNvPr id="1199" name="Check Box 175" hidden="1">
                <a:extLst>
                  <a:ext uri="{63B3BB69-23CF-44E3-9099-C40C66FF867C}">
                    <a14:compatExt spid="_x0000_s1199"/>
                  </a:ext>
                </a:extLst>
              </xdr:cNvPr>
              <xdr:cNvSpPr/>
            </xdr:nvSpPr>
            <xdr:spPr>
              <a:xfrm>
                <a:off x="1333498" y="2895597"/>
                <a:ext cx="438150" cy="200025"/>
              </a:xfrm>
              <a:prstGeom prst="rect">
                <a:avLst/>
              </a:prstGeom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fr-FR" sz="800" b="0" i="0" u="none" strike="noStrike" baseline="0">
                    <a:solidFill>
                      <a:srgbClr val="000000"/>
                    </a:solidFill>
                    <a:latin typeface="Tahoma"/>
                    <a:ea typeface="Tahoma"/>
                    <a:cs typeface="Tahoma"/>
                  </a:rPr>
                  <a:t>Oui</a:t>
                </a:r>
                <a:endParaRPr lang="fr-FR"/>
              </a:p>
            </xdr:txBody>
          </xdr:sp>
          <xdr:sp macro="" textlink="">
            <xdr:nvSpPr>
              <xdr:cNvPr id="1200" name="Check Box 176" hidden="1">
                <a:extLst>
                  <a:ext uri="{63B3BB69-23CF-44E3-9099-C40C66FF867C}">
                    <a14:compatExt spid="_x0000_s1200"/>
                  </a:ext>
                </a:extLst>
              </xdr:cNvPr>
              <xdr:cNvSpPr/>
            </xdr:nvSpPr>
            <xdr:spPr>
              <a:xfrm>
                <a:off x="1724026" y="2895597"/>
                <a:ext cx="438150" cy="200025"/>
              </a:xfrm>
              <a:prstGeom prst="rect">
                <a:avLst/>
              </a:prstGeom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fr-FR" sz="800" b="0" i="0" u="none" strike="noStrike" baseline="0">
                    <a:solidFill>
                      <a:srgbClr val="000000"/>
                    </a:solidFill>
                    <a:latin typeface="Tahoma"/>
                    <a:ea typeface="Tahoma"/>
                    <a:cs typeface="Tahoma"/>
                  </a:rPr>
                  <a:t>Non</a:t>
                </a:r>
                <a:endParaRPr lang="fr-FR"/>
              </a:p>
            </xdr:txBody>
          </xdr:sp>
        </xdr:grp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33</xdr:row>
          <xdr:rowOff>0</xdr:rowOff>
        </xdr:from>
        <xdr:to>
          <xdr:col>3</xdr:col>
          <xdr:colOff>28575</xdr:colOff>
          <xdr:row>34</xdr:row>
          <xdr:rowOff>9526</xdr:rowOff>
        </xdr:to>
        <xdr:grpSp>
          <xdr:nvGrpSpPr>
            <xdr:cNvPr id="118" name="Groupe 117"/>
            <xdr:cNvGrpSpPr/>
          </xdr:nvGrpSpPr>
          <xdr:grpSpPr>
            <a:xfrm>
              <a:off x="1788583" y="7217833"/>
              <a:ext cx="832909" cy="221193"/>
              <a:chOff x="1333498" y="2895597"/>
              <a:chExt cx="828678" cy="200025"/>
            </a:xfrm>
          </xdr:grpSpPr>
          <xdr:sp macro="" textlink="">
            <xdr:nvSpPr>
              <xdr:cNvPr id="1201" name="Check Box 177" hidden="1">
                <a:extLst>
                  <a:ext uri="{63B3BB69-23CF-44E3-9099-C40C66FF867C}">
                    <a14:compatExt spid="_x0000_s1201"/>
                  </a:ext>
                </a:extLst>
              </xdr:cNvPr>
              <xdr:cNvSpPr/>
            </xdr:nvSpPr>
            <xdr:spPr>
              <a:xfrm>
                <a:off x="1333498" y="2895597"/>
                <a:ext cx="438150" cy="200025"/>
              </a:xfrm>
              <a:prstGeom prst="rect">
                <a:avLst/>
              </a:prstGeom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fr-FR" sz="800" b="0" i="0" u="none" strike="noStrike" baseline="0">
                    <a:solidFill>
                      <a:srgbClr val="000000"/>
                    </a:solidFill>
                    <a:latin typeface="Tahoma"/>
                    <a:ea typeface="Tahoma"/>
                    <a:cs typeface="Tahoma"/>
                  </a:rPr>
                  <a:t>Oui</a:t>
                </a:r>
                <a:endParaRPr lang="fr-FR"/>
              </a:p>
            </xdr:txBody>
          </xdr:sp>
          <xdr:sp macro="" textlink="">
            <xdr:nvSpPr>
              <xdr:cNvPr id="1202" name="Check Box 178" hidden="1">
                <a:extLst>
                  <a:ext uri="{63B3BB69-23CF-44E3-9099-C40C66FF867C}">
                    <a14:compatExt spid="_x0000_s1202"/>
                  </a:ext>
                </a:extLst>
              </xdr:cNvPr>
              <xdr:cNvSpPr/>
            </xdr:nvSpPr>
            <xdr:spPr>
              <a:xfrm>
                <a:off x="1724026" y="2895597"/>
                <a:ext cx="438150" cy="200025"/>
              </a:xfrm>
              <a:prstGeom prst="rect">
                <a:avLst/>
              </a:prstGeom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fr-FR" sz="800" b="0" i="0" u="none" strike="noStrike" baseline="0">
                    <a:solidFill>
                      <a:srgbClr val="000000"/>
                    </a:solidFill>
                    <a:latin typeface="Tahoma"/>
                    <a:ea typeface="Tahoma"/>
                    <a:cs typeface="Tahoma"/>
                  </a:rPr>
                  <a:t>Non</a:t>
                </a:r>
                <a:endParaRPr lang="fr-FR"/>
              </a:p>
            </xdr:txBody>
          </xdr:sp>
        </xdr:grp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0</xdr:colOff>
          <xdr:row>30</xdr:row>
          <xdr:rowOff>0</xdr:rowOff>
        </xdr:from>
        <xdr:to>
          <xdr:col>6</xdr:col>
          <xdr:colOff>28575</xdr:colOff>
          <xdr:row>31</xdr:row>
          <xdr:rowOff>9526</xdr:rowOff>
        </xdr:to>
        <xdr:grpSp>
          <xdr:nvGrpSpPr>
            <xdr:cNvPr id="121" name="Groupe 120"/>
            <xdr:cNvGrpSpPr/>
          </xdr:nvGrpSpPr>
          <xdr:grpSpPr>
            <a:xfrm>
              <a:off x="4201583" y="6582833"/>
              <a:ext cx="832909" cy="221193"/>
              <a:chOff x="1333498" y="2895597"/>
              <a:chExt cx="828678" cy="200025"/>
            </a:xfrm>
          </xdr:grpSpPr>
          <xdr:sp macro="" textlink="">
            <xdr:nvSpPr>
              <xdr:cNvPr id="1203" name="Check Box 179" hidden="1">
                <a:extLst>
                  <a:ext uri="{63B3BB69-23CF-44E3-9099-C40C66FF867C}">
                    <a14:compatExt spid="_x0000_s1203"/>
                  </a:ext>
                </a:extLst>
              </xdr:cNvPr>
              <xdr:cNvSpPr/>
            </xdr:nvSpPr>
            <xdr:spPr>
              <a:xfrm>
                <a:off x="1333498" y="2895597"/>
                <a:ext cx="438150" cy="200025"/>
              </a:xfrm>
              <a:prstGeom prst="rect">
                <a:avLst/>
              </a:prstGeom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fr-FR" sz="800" b="0" i="0" u="none" strike="noStrike" baseline="0">
                    <a:solidFill>
                      <a:srgbClr val="000000"/>
                    </a:solidFill>
                    <a:latin typeface="Tahoma"/>
                    <a:ea typeface="Tahoma"/>
                    <a:cs typeface="Tahoma"/>
                  </a:rPr>
                  <a:t>Oui</a:t>
                </a:r>
                <a:endParaRPr lang="fr-FR"/>
              </a:p>
            </xdr:txBody>
          </xdr:sp>
          <xdr:sp macro="" textlink="">
            <xdr:nvSpPr>
              <xdr:cNvPr id="1204" name="Check Box 180" hidden="1">
                <a:extLst>
                  <a:ext uri="{63B3BB69-23CF-44E3-9099-C40C66FF867C}">
                    <a14:compatExt spid="_x0000_s1204"/>
                  </a:ext>
                </a:extLst>
              </xdr:cNvPr>
              <xdr:cNvSpPr/>
            </xdr:nvSpPr>
            <xdr:spPr>
              <a:xfrm>
                <a:off x="1724026" y="2895597"/>
                <a:ext cx="438150" cy="200025"/>
              </a:xfrm>
              <a:prstGeom prst="rect">
                <a:avLst/>
              </a:prstGeom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fr-FR" sz="800" b="0" i="0" u="none" strike="noStrike" baseline="0">
                    <a:solidFill>
                      <a:srgbClr val="000000"/>
                    </a:solidFill>
                    <a:latin typeface="Tahoma"/>
                    <a:ea typeface="Tahoma"/>
                    <a:cs typeface="Tahoma"/>
                  </a:rPr>
                  <a:t>Non</a:t>
                </a:r>
                <a:endParaRPr lang="fr-FR"/>
              </a:p>
            </xdr:txBody>
          </xdr:sp>
        </xdr:grp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190500</xdr:colOff>
          <xdr:row>35</xdr:row>
          <xdr:rowOff>0</xdr:rowOff>
        </xdr:from>
        <xdr:to>
          <xdr:col>3</xdr:col>
          <xdr:colOff>219075</xdr:colOff>
          <xdr:row>36</xdr:row>
          <xdr:rowOff>9526</xdr:rowOff>
        </xdr:to>
        <xdr:grpSp>
          <xdr:nvGrpSpPr>
            <xdr:cNvPr id="124" name="Groupe 123"/>
            <xdr:cNvGrpSpPr/>
          </xdr:nvGrpSpPr>
          <xdr:grpSpPr>
            <a:xfrm>
              <a:off x="1979083" y="7620000"/>
              <a:ext cx="832909" cy="200026"/>
              <a:chOff x="1333498" y="2895599"/>
              <a:chExt cx="828678" cy="200026"/>
            </a:xfrm>
          </xdr:grpSpPr>
          <xdr:sp macro="" textlink="">
            <xdr:nvSpPr>
              <xdr:cNvPr id="1205" name="Check Box 181" hidden="1">
                <a:extLst>
                  <a:ext uri="{63B3BB69-23CF-44E3-9099-C40C66FF867C}">
                    <a14:compatExt spid="_x0000_s1205"/>
                  </a:ext>
                </a:extLst>
              </xdr:cNvPr>
              <xdr:cNvSpPr/>
            </xdr:nvSpPr>
            <xdr:spPr>
              <a:xfrm>
                <a:off x="1333498" y="2895599"/>
                <a:ext cx="438150" cy="200025"/>
              </a:xfrm>
              <a:prstGeom prst="rect">
                <a:avLst/>
              </a:prstGeom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fr-FR" sz="800" b="0" i="0" u="none" strike="noStrike" baseline="0">
                    <a:solidFill>
                      <a:srgbClr val="000000"/>
                    </a:solidFill>
                    <a:latin typeface="Tahoma"/>
                    <a:ea typeface="Tahoma"/>
                    <a:cs typeface="Tahoma"/>
                  </a:rPr>
                  <a:t>Oui</a:t>
                </a:r>
                <a:endParaRPr lang="fr-FR"/>
              </a:p>
            </xdr:txBody>
          </xdr:sp>
          <xdr:sp macro="" textlink="">
            <xdr:nvSpPr>
              <xdr:cNvPr id="1206" name="Check Box 182" hidden="1">
                <a:extLst>
                  <a:ext uri="{63B3BB69-23CF-44E3-9099-C40C66FF867C}">
                    <a14:compatExt spid="_x0000_s1206"/>
                  </a:ext>
                </a:extLst>
              </xdr:cNvPr>
              <xdr:cNvSpPr/>
            </xdr:nvSpPr>
            <xdr:spPr>
              <a:xfrm>
                <a:off x="1724026" y="2895600"/>
                <a:ext cx="438150" cy="200025"/>
              </a:xfrm>
              <a:prstGeom prst="rect">
                <a:avLst/>
              </a:prstGeom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fr-FR" sz="800" b="0" i="0" u="none" strike="noStrike" baseline="0">
                    <a:solidFill>
                      <a:srgbClr val="000000"/>
                    </a:solidFill>
                    <a:latin typeface="Tahoma"/>
                    <a:ea typeface="Tahoma"/>
                    <a:cs typeface="Tahoma"/>
                  </a:rPr>
                  <a:t>Non</a:t>
                </a:r>
                <a:endParaRPr lang="fr-FR"/>
              </a:p>
            </xdr:txBody>
          </xdr:sp>
        </xdr:grp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0</xdr:colOff>
          <xdr:row>62</xdr:row>
          <xdr:rowOff>0</xdr:rowOff>
        </xdr:from>
        <xdr:to>
          <xdr:col>4</xdr:col>
          <xdr:colOff>28575</xdr:colOff>
          <xdr:row>62</xdr:row>
          <xdr:rowOff>200026</xdr:rowOff>
        </xdr:to>
        <xdr:grpSp>
          <xdr:nvGrpSpPr>
            <xdr:cNvPr id="127" name="Groupe 126"/>
            <xdr:cNvGrpSpPr/>
          </xdr:nvGrpSpPr>
          <xdr:grpSpPr>
            <a:xfrm>
              <a:off x="2592917" y="12827000"/>
              <a:ext cx="832908" cy="200026"/>
              <a:chOff x="1333499" y="2895599"/>
              <a:chExt cx="828677" cy="200026"/>
            </a:xfrm>
          </xdr:grpSpPr>
          <xdr:sp macro="" textlink="">
            <xdr:nvSpPr>
              <xdr:cNvPr id="1207" name="Check Box 183" hidden="1">
                <a:extLst>
                  <a:ext uri="{63B3BB69-23CF-44E3-9099-C40C66FF867C}">
                    <a14:compatExt spid="_x0000_s1207"/>
                  </a:ext>
                </a:extLst>
              </xdr:cNvPr>
              <xdr:cNvSpPr/>
            </xdr:nvSpPr>
            <xdr:spPr>
              <a:xfrm>
                <a:off x="1333499" y="2895599"/>
                <a:ext cx="438150" cy="200025"/>
              </a:xfrm>
              <a:prstGeom prst="rect">
                <a:avLst/>
              </a:prstGeom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fr-FR" sz="800" b="0" i="0" u="none" strike="noStrike" baseline="0">
                    <a:solidFill>
                      <a:srgbClr val="000000"/>
                    </a:solidFill>
                    <a:latin typeface="Tahoma"/>
                    <a:ea typeface="Tahoma"/>
                    <a:cs typeface="Tahoma"/>
                  </a:rPr>
                  <a:t>Oui</a:t>
                </a:r>
                <a:endParaRPr lang="fr-FR"/>
              </a:p>
            </xdr:txBody>
          </xdr:sp>
          <xdr:sp macro="" textlink="">
            <xdr:nvSpPr>
              <xdr:cNvPr id="1208" name="Check Box 184" hidden="1">
                <a:extLst>
                  <a:ext uri="{63B3BB69-23CF-44E3-9099-C40C66FF867C}">
                    <a14:compatExt spid="_x0000_s1208"/>
                  </a:ext>
                </a:extLst>
              </xdr:cNvPr>
              <xdr:cNvSpPr/>
            </xdr:nvSpPr>
            <xdr:spPr>
              <a:xfrm>
                <a:off x="1724026" y="2895600"/>
                <a:ext cx="438150" cy="200025"/>
              </a:xfrm>
              <a:prstGeom prst="rect">
                <a:avLst/>
              </a:prstGeom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fr-FR" sz="800" b="0" i="0" u="none" strike="noStrike" baseline="0">
                    <a:solidFill>
                      <a:srgbClr val="000000"/>
                    </a:solidFill>
                    <a:latin typeface="Tahoma"/>
                    <a:ea typeface="Tahoma"/>
                    <a:cs typeface="Tahoma"/>
                  </a:rPr>
                  <a:t>Non</a:t>
                </a:r>
                <a:endParaRPr lang="fr-FR"/>
              </a:p>
            </xdr:txBody>
          </xdr:sp>
        </xdr:grp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0</xdr:colOff>
          <xdr:row>86</xdr:row>
          <xdr:rowOff>0</xdr:rowOff>
        </xdr:from>
        <xdr:to>
          <xdr:col>4</xdr:col>
          <xdr:colOff>28575</xdr:colOff>
          <xdr:row>86</xdr:row>
          <xdr:rowOff>200026</xdr:rowOff>
        </xdr:to>
        <xdr:grpSp>
          <xdr:nvGrpSpPr>
            <xdr:cNvPr id="130" name="Groupe 129"/>
            <xdr:cNvGrpSpPr/>
          </xdr:nvGrpSpPr>
          <xdr:grpSpPr>
            <a:xfrm>
              <a:off x="2592917" y="17515417"/>
              <a:ext cx="832908" cy="200026"/>
              <a:chOff x="1333499" y="2895599"/>
              <a:chExt cx="828677" cy="200026"/>
            </a:xfrm>
          </xdr:grpSpPr>
          <xdr:sp macro="" textlink="">
            <xdr:nvSpPr>
              <xdr:cNvPr id="1209" name="Check Box 185" hidden="1">
                <a:extLst>
                  <a:ext uri="{63B3BB69-23CF-44E3-9099-C40C66FF867C}">
                    <a14:compatExt spid="_x0000_s1209"/>
                  </a:ext>
                </a:extLst>
              </xdr:cNvPr>
              <xdr:cNvSpPr/>
            </xdr:nvSpPr>
            <xdr:spPr>
              <a:xfrm>
                <a:off x="1333499" y="2895599"/>
                <a:ext cx="438150" cy="200025"/>
              </a:xfrm>
              <a:prstGeom prst="rect">
                <a:avLst/>
              </a:prstGeom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fr-FR" sz="800" b="0" i="0" u="none" strike="noStrike" baseline="0">
                    <a:solidFill>
                      <a:srgbClr val="000000"/>
                    </a:solidFill>
                    <a:latin typeface="Tahoma"/>
                    <a:ea typeface="Tahoma"/>
                    <a:cs typeface="Tahoma"/>
                  </a:rPr>
                  <a:t>Oui</a:t>
                </a:r>
                <a:endParaRPr lang="fr-FR"/>
              </a:p>
            </xdr:txBody>
          </xdr:sp>
          <xdr:sp macro="" textlink="">
            <xdr:nvSpPr>
              <xdr:cNvPr id="1210" name="Check Box 186" hidden="1">
                <a:extLst>
                  <a:ext uri="{63B3BB69-23CF-44E3-9099-C40C66FF867C}">
                    <a14:compatExt spid="_x0000_s1210"/>
                  </a:ext>
                </a:extLst>
              </xdr:cNvPr>
              <xdr:cNvSpPr/>
            </xdr:nvSpPr>
            <xdr:spPr>
              <a:xfrm>
                <a:off x="1724026" y="2895600"/>
                <a:ext cx="438150" cy="200025"/>
              </a:xfrm>
              <a:prstGeom prst="rect">
                <a:avLst/>
              </a:prstGeom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fr-FR" sz="800" b="0" i="0" u="none" strike="noStrike" baseline="0">
                    <a:solidFill>
                      <a:srgbClr val="000000"/>
                    </a:solidFill>
                    <a:latin typeface="Tahoma"/>
                    <a:ea typeface="Tahoma"/>
                    <a:cs typeface="Tahoma"/>
                  </a:rPr>
                  <a:t>Non</a:t>
                </a:r>
                <a:endParaRPr lang="fr-FR"/>
              </a:p>
            </xdr:txBody>
          </xdr:sp>
        </xdr:grp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0</xdr:colOff>
          <xdr:row>89</xdr:row>
          <xdr:rowOff>0</xdr:rowOff>
        </xdr:from>
        <xdr:to>
          <xdr:col>4</xdr:col>
          <xdr:colOff>28575</xdr:colOff>
          <xdr:row>89</xdr:row>
          <xdr:rowOff>200026</xdr:rowOff>
        </xdr:to>
        <xdr:grpSp>
          <xdr:nvGrpSpPr>
            <xdr:cNvPr id="133" name="Groupe 132"/>
            <xdr:cNvGrpSpPr/>
          </xdr:nvGrpSpPr>
          <xdr:grpSpPr>
            <a:xfrm>
              <a:off x="2592917" y="18245667"/>
              <a:ext cx="832908" cy="200026"/>
              <a:chOff x="1333499" y="2895599"/>
              <a:chExt cx="828677" cy="200026"/>
            </a:xfrm>
          </xdr:grpSpPr>
          <xdr:sp macro="" textlink="">
            <xdr:nvSpPr>
              <xdr:cNvPr id="1211" name="Check Box 187" hidden="1">
                <a:extLst>
                  <a:ext uri="{63B3BB69-23CF-44E3-9099-C40C66FF867C}">
                    <a14:compatExt spid="_x0000_s1211"/>
                  </a:ext>
                </a:extLst>
              </xdr:cNvPr>
              <xdr:cNvSpPr/>
            </xdr:nvSpPr>
            <xdr:spPr>
              <a:xfrm>
                <a:off x="1333499" y="2895599"/>
                <a:ext cx="438150" cy="200025"/>
              </a:xfrm>
              <a:prstGeom prst="rect">
                <a:avLst/>
              </a:prstGeom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fr-FR" sz="800" b="0" i="0" u="none" strike="noStrike" baseline="0">
                    <a:solidFill>
                      <a:srgbClr val="000000"/>
                    </a:solidFill>
                    <a:latin typeface="Tahoma"/>
                    <a:ea typeface="Tahoma"/>
                    <a:cs typeface="Tahoma"/>
                  </a:rPr>
                  <a:t>Oui</a:t>
                </a:r>
                <a:endParaRPr lang="fr-FR"/>
              </a:p>
            </xdr:txBody>
          </xdr:sp>
          <xdr:sp macro="" textlink="">
            <xdr:nvSpPr>
              <xdr:cNvPr id="1212" name="Check Box 188" hidden="1">
                <a:extLst>
                  <a:ext uri="{63B3BB69-23CF-44E3-9099-C40C66FF867C}">
                    <a14:compatExt spid="_x0000_s1212"/>
                  </a:ext>
                </a:extLst>
              </xdr:cNvPr>
              <xdr:cNvSpPr/>
            </xdr:nvSpPr>
            <xdr:spPr>
              <a:xfrm>
                <a:off x="1724026" y="2895600"/>
                <a:ext cx="438150" cy="200025"/>
              </a:xfrm>
              <a:prstGeom prst="rect">
                <a:avLst/>
              </a:prstGeom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fr-FR" sz="800" b="0" i="0" u="none" strike="noStrike" baseline="0">
                    <a:solidFill>
                      <a:srgbClr val="000000"/>
                    </a:solidFill>
                    <a:latin typeface="Tahoma"/>
                    <a:ea typeface="Tahoma"/>
                    <a:cs typeface="Tahoma"/>
                  </a:rPr>
                  <a:t>Non</a:t>
                </a:r>
                <a:endParaRPr lang="fr-FR"/>
              </a:p>
            </xdr:txBody>
          </xdr:sp>
        </xdr:grp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98</xdr:row>
          <xdr:rowOff>0</xdr:rowOff>
        </xdr:from>
        <xdr:to>
          <xdr:col>3</xdr:col>
          <xdr:colOff>28575</xdr:colOff>
          <xdr:row>99</xdr:row>
          <xdr:rowOff>9526</xdr:rowOff>
        </xdr:to>
        <xdr:grpSp>
          <xdr:nvGrpSpPr>
            <xdr:cNvPr id="136" name="Groupe 135"/>
            <xdr:cNvGrpSpPr/>
          </xdr:nvGrpSpPr>
          <xdr:grpSpPr>
            <a:xfrm>
              <a:off x="1788583" y="20235333"/>
              <a:ext cx="832909" cy="252943"/>
              <a:chOff x="1333498" y="2895711"/>
              <a:chExt cx="828678" cy="200039"/>
            </a:xfrm>
          </xdr:grpSpPr>
          <xdr:sp macro="" textlink="">
            <xdr:nvSpPr>
              <xdr:cNvPr id="1213" name="Check Box 189" hidden="1">
                <a:extLst>
                  <a:ext uri="{63B3BB69-23CF-44E3-9099-C40C66FF867C}">
                    <a14:compatExt spid="_x0000_s1213"/>
                  </a:ext>
                </a:extLst>
              </xdr:cNvPr>
              <xdr:cNvSpPr/>
            </xdr:nvSpPr>
            <xdr:spPr>
              <a:xfrm>
                <a:off x="1333498" y="2895711"/>
                <a:ext cx="438150" cy="200025"/>
              </a:xfrm>
              <a:prstGeom prst="rect">
                <a:avLst/>
              </a:prstGeom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fr-FR" sz="800" b="0" i="0" u="none" strike="noStrike" baseline="0">
                    <a:solidFill>
                      <a:srgbClr val="000000"/>
                    </a:solidFill>
                    <a:latin typeface="Tahoma"/>
                    <a:ea typeface="Tahoma"/>
                    <a:cs typeface="Tahoma"/>
                  </a:rPr>
                  <a:t>Oui</a:t>
                </a:r>
                <a:endParaRPr lang="fr-FR"/>
              </a:p>
            </xdr:txBody>
          </xdr:sp>
          <xdr:sp macro="" textlink="">
            <xdr:nvSpPr>
              <xdr:cNvPr id="1214" name="Check Box 190" hidden="1">
                <a:extLst>
                  <a:ext uri="{63B3BB69-23CF-44E3-9099-C40C66FF867C}">
                    <a14:compatExt spid="_x0000_s1214"/>
                  </a:ext>
                </a:extLst>
              </xdr:cNvPr>
              <xdr:cNvSpPr/>
            </xdr:nvSpPr>
            <xdr:spPr>
              <a:xfrm>
                <a:off x="1724026" y="2895725"/>
                <a:ext cx="438150" cy="200025"/>
              </a:xfrm>
              <a:prstGeom prst="rect">
                <a:avLst/>
              </a:prstGeom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fr-FR" sz="800" b="0" i="0" u="none" strike="noStrike" baseline="0">
                    <a:solidFill>
                      <a:srgbClr val="000000"/>
                    </a:solidFill>
                    <a:latin typeface="Tahoma"/>
                    <a:ea typeface="Tahoma"/>
                    <a:cs typeface="Tahoma"/>
                  </a:rPr>
                  <a:t>Non</a:t>
                </a:r>
                <a:endParaRPr lang="fr-FR"/>
              </a:p>
            </xdr:txBody>
          </xdr:sp>
        </xdr:grp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103</xdr:row>
          <xdr:rowOff>0</xdr:rowOff>
        </xdr:from>
        <xdr:to>
          <xdr:col>3</xdr:col>
          <xdr:colOff>28575</xdr:colOff>
          <xdr:row>104</xdr:row>
          <xdr:rowOff>0</xdr:rowOff>
        </xdr:to>
        <xdr:grpSp>
          <xdr:nvGrpSpPr>
            <xdr:cNvPr id="139" name="Groupe 138"/>
            <xdr:cNvGrpSpPr/>
          </xdr:nvGrpSpPr>
          <xdr:grpSpPr>
            <a:xfrm>
              <a:off x="1788583" y="21346583"/>
              <a:ext cx="832909" cy="190500"/>
              <a:chOff x="1333498" y="2895600"/>
              <a:chExt cx="828678" cy="200025"/>
            </a:xfrm>
          </xdr:grpSpPr>
          <xdr:sp macro="" textlink="">
            <xdr:nvSpPr>
              <xdr:cNvPr id="1215" name="Check Box 191" hidden="1">
                <a:extLst>
                  <a:ext uri="{63B3BB69-23CF-44E3-9099-C40C66FF867C}">
                    <a14:compatExt spid="_x0000_s1215"/>
                  </a:ext>
                </a:extLst>
              </xdr:cNvPr>
              <xdr:cNvSpPr/>
            </xdr:nvSpPr>
            <xdr:spPr>
              <a:xfrm>
                <a:off x="1333498" y="2895600"/>
                <a:ext cx="438150" cy="200025"/>
              </a:xfrm>
              <a:prstGeom prst="rect">
                <a:avLst/>
              </a:prstGeom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fr-FR" sz="800" b="0" i="0" u="none" strike="noStrike" baseline="0">
                    <a:solidFill>
                      <a:srgbClr val="000000"/>
                    </a:solidFill>
                    <a:latin typeface="Tahoma"/>
                    <a:ea typeface="Tahoma"/>
                    <a:cs typeface="Tahoma"/>
                  </a:rPr>
                  <a:t>Oui</a:t>
                </a:r>
                <a:endParaRPr lang="fr-FR"/>
              </a:p>
            </xdr:txBody>
          </xdr:sp>
          <xdr:sp macro="" textlink="">
            <xdr:nvSpPr>
              <xdr:cNvPr id="1216" name="Check Box 192" hidden="1">
                <a:extLst>
                  <a:ext uri="{63B3BB69-23CF-44E3-9099-C40C66FF867C}">
                    <a14:compatExt spid="_x0000_s1216"/>
                  </a:ext>
                </a:extLst>
              </xdr:cNvPr>
              <xdr:cNvSpPr/>
            </xdr:nvSpPr>
            <xdr:spPr>
              <a:xfrm>
                <a:off x="1724026" y="2895600"/>
                <a:ext cx="438150" cy="200025"/>
              </a:xfrm>
              <a:prstGeom prst="rect">
                <a:avLst/>
              </a:prstGeom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fr-FR" sz="800" b="0" i="0" u="none" strike="noStrike" baseline="0">
                    <a:solidFill>
                      <a:srgbClr val="000000"/>
                    </a:solidFill>
                    <a:latin typeface="Tahoma"/>
                    <a:ea typeface="Tahoma"/>
                    <a:cs typeface="Tahoma"/>
                  </a:rPr>
                  <a:t>Non</a:t>
                </a:r>
                <a:endParaRPr lang="fr-FR"/>
              </a:p>
            </xdr:txBody>
          </xdr:sp>
        </xdr:grp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178858</xdr:colOff>
          <xdr:row>75</xdr:row>
          <xdr:rowOff>22226</xdr:rowOff>
        </xdr:from>
        <xdr:to>
          <xdr:col>3</xdr:col>
          <xdr:colOff>207433</xdr:colOff>
          <xdr:row>76</xdr:row>
          <xdr:rowOff>31751</xdr:rowOff>
        </xdr:to>
        <xdr:grpSp>
          <xdr:nvGrpSpPr>
            <xdr:cNvPr id="142" name="Groupe 141"/>
            <xdr:cNvGrpSpPr/>
          </xdr:nvGrpSpPr>
          <xdr:grpSpPr>
            <a:xfrm>
              <a:off x="1967441" y="15431559"/>
              <a:ext cx="832909" cy="200025"/>
              <a:chOff x="1333498" y="2895599"/>
              <a:chExt cx="828678" cy="200026"/>
            </a:xfrm>
          </xdr:grpSpPr>
          <xdr:sp macro="" textlink="">
            <xdr:nvSpPr>
              <xdr:cNvPr id="1217" name="Check Box 193" hidden="1">
                <a:extLst>
                  <a:ext uri="{63B3BB69-23CF-44E3-9099-C40C66FF867C}">
                    <a14:compatExt spid="_x0000_s1217"/>
                  </a:ext>
                </a:extLst>
              </xdr:cNvPr>
              <xdr:cNvSpPr/>
            </xdr:nvSpPr>
            <xdr:spPr>
              <a:xfrm>
                <a:off x="1333498" y="2895599"/>
                <a:ext cx="438150" cy="200025"/>
              </a:xfrm>
              <a:prstGeom prst="rect">
                <a:avLst/>
              </a:prstGeom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fr-FR" sz="800" b="0" i="0" u="none" strike="noStrike" baseline="0">
                    <a:solidFill>
                      <a:srgbClr val="000000"/>
                    </a:solidFill>
                    <a:latin typeface="Tahoma"/>
                    <a:ea typeface="Tahoma"/>
                    <a:cs typeface="Tahoma"/>
                  </a:rPr>
                  <a:t>Oui</a:t>
                </a:r>
                <a:endParaRPr lang="fr-FR"/>
              </a:p>
            </xdr:txBody>
          </xdr:sp>
          <xdr:sp macro="" textlink="">
            <xdr:nvSpPr>
              <xdr:cNvPr id="1218" name="Check Box 194" hidden="1">
                <a:extLst>
                  <a:ext uri="{63B3BB69-23CF-44E3-9099-C40C66FF867C}">
                    <a14:compatExt spid="_x0000_s1218"/>
                  </a:ext>
                </a:extLst>
              </xdr:cNvPr>
              <xdr:cNvSpPr/>
            </xdr:nvSpPr>
            <xdr:spPr>
              <a:xfrm>
                <a:off x="1724026" y="2895600"/>
                <a:ext cx="438150" cy="200025"/>
              </a:xfrm>
              <a:prstGeom prst="rect">
                <a:avLst/>
              </a:prstGeom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fr-FR" sz="800" b="0" i="0" u="none" strike="noStrike" baseline="0">
                    <a:solidFill>
                      <a:srgbClr val="000000"/>
                    </a:solidFill>
                    <a:latin typeface="Tahoma"/>
                    <a:ea typeface="Tahoma"/>
                    <a:cs typeface="Tahoma"/>
                  </a:rPr>
                  <a:t>Non</a:t>
                </a:r>
                <a:endParaRPr lang="fr-FR"/>
              </a:p>
            </xdr:txBody>
          </xdr:sp>
        </xdr:grp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0</xdr:colOff>
          <xdr:row>127</xdr:row>
          <xdr:rowOff>0</xdr:rowOff>
        </xdr:from>
        <xdr:to>
          <xdr:col>4</xdr:col>
          <xdr:colOff>28575</xdr:colOff>
          <xdr:row>128</xdr:row>
          <xdr:rowOff>9526</xdr:rowOff>
        </xdr:to>
        <xdr:grpSp>
          <xdr:nvGrpSpPr>
            <xdr:cNvPr id="148" name="Groupe 147"/>
            <xdr:cNvGrpSpPr/>
          </xdr:nvGrpSpPr>
          <xdr:grpSpPr>
            <a:xfrm>
              <a:off x="2592917" y="25918583"/>
              <a:ext cx="832908" cy="200026"/>
              <a:chOff x="1333499" y="2895599"/>
              <a:chExt cx="828677" cy="200026"/>
            </a:xfrm>
          </xdr:grpSpPr>
          <xdr:sp macro="" textlink="">
            <xdr:nvSpPr>
              <xdr:cNvPr id="1221" name="Check Box 197" hidden="1">
                <a:extLst>
                  <a:ext uri="{63B3BB69-23CF-44E3-9099-C40C66FF867C}">
                    <a14:compatExt spid="_x0000_s1221"/>
                  </a:ext>
                </a:extLst>
              </xdr:cNvPr>
              <xdr:cNvSpPr/>
            </xdr:nvSpPr>
            <xdr:spPr>
              <a:xfrm>
                <a:off x="1333499" y="2895599"/>
                <a:ext cx="438150" cy="200025"/>
              </a:xfrm>
              <a:prstGeom prst="rect">
                <a:avLst/>
              </a:prstGeom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fr-FR" sz="800" b="0" i="0" u="none" strike="noStrike" baseline="0">
                    <a:solidFill>
                      <a:srgbClr val="000000"/>
                    </a:solidFill>
                    <a:latin typeface="Tahoma"/>
                    <a:ea typeface="Tahoma"/>
                    <a:cs typeface="Tahoma"/>
                  </a:rPr>
                  <a:t>Oui</a:t>
                </a:r>
                <a:endParaRPr lang="fr-FR"/>
              </a:p>
            </xdr:txBody>
          </xdr:sp>
          <xdr:sp macro="" textlink="">
            <xdr:nvSpPr>
              <xdr:cNvPr id="1222" name="Check Box 198" hidden="1">
                <a:extLst>
                  <a:ext uri="{63B3BB69-23CF-44E3-9099-C40C66FF867C}">
                    <a14:compatExt spid="_x0000_s1222"/>
                  </a:ext>
                </a:extLst>
              </xdr:cNvPr>
              <xdr:cNvSpPr/>
            </xdr:nvSpPr>
            <xdr:spPr>
              <a:xfrm>
                <a:off x="1724026" y="2895600"/>
                <a:ext cx="438150" cy="200025"/>
              </a:xfrm>
              <a:prstGeom prst="rect">
                <a:avLst/>
              </a:prstGeom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fr-FR" sz="800" b="0" i="0" u="none" strike="noStrike" baseline="0">
                    <a:solidFill>
                      <a:srgbClr val="000000"/>
                    </a:solidFill>
                    <a:latin typeface="Tahoma"/>
                    <a:ea typeface="Tahoma"/>
                    <a:cs typeface="Tahoma"/>
                  </a:rPr>
                  <a:t>Non</a:t>
                </a:r>
                <a:endParaRPr lang="fr-FR"/>
              </a:p>
            </xdr:txBody>
          </xdr:sp>
        </xdr:grp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0</xdr:colOff>
          <xdr:row>130</xdr:row>
          <xdr:rowOff>0</xdr:rowOff>
        </xdr:from>
        <xdr:to>
          <xdr:col>4</xdr:col>
          <xdr:colOff>28575</xdr:colOff>
          <xdr:row>131</xdr:row>
          <xdr:rowOff>9526</xdr:rowOff>
        </xdr:to>
        <xdr:grpSp>
          <xdr:nvGrpSpPr>
            <xdr:cNvPr id="151" name="Groupe 150"/>
            <xdr:cNvGrpSpPr/>
          </xdr:nvGrpSpPr>
          <xdr:grpSpPr>
            <a:xfrm>
              <a:off x="2592917" y="26490083"/>
              <a:ext cx="832908" cy="200026"/>
              <a:chOff x="1333499" y="2895599"/>
              <a:chExt cx="828677" cy="200026"/>
            </a:xfrm>
          </xdr:grpSpPr>
          <xdr:sp macro="" textlink="">
            <xdr:nvSpPr>
              <xdr:cNvPr id="1223" name="Check Box 199" hidden="1">
                <a:extLst>
                  <a:ext uri="{63B3BB69-23CF-44E3-9099-C40C66FF867C}">
                    <a14:compatExt spid="_x0000_s1223"/>
                  </a:ext>
                </a:extLst>
              </xdr:cNvPr>
              <xdr:cNvSpPr/>
            </xdr:nvSpPr>
            <xdr:spPr>
              <a:xfrm>
                <a:off x="1333499" y="2895599"/>
                <a:ext cx="438150" cy="200025"/>
              </a:xfrm>
              <a:prstGeom prst="rect">
                <a:avLst/>
              </a:prstGeom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fr-FR" sz="800" b="0" i="0" u="none" strike="noStrike" baseline="0">
                    <a:solidFill>
                      <a:srgbClr val="000000"/>
                    </a:solidFill>
                    <a:latin typeface="Tahoma"/>
                    <a:ea typeface="Tahoma"/>
                    <a:cs typeface="Tahoma"/>
                  </a:rPr>
                  <a:t>Oui</a:t>
                </a:r>
                <a:endParaRPr lang="fr-FR"/>
              </a:p>
            </xdr:txBody>
          </xdr:sp>
          <xdr:sp macro="" textlink="">
            <xdr:nvSpPr>
              <xdr:cNvPr id="1224" name="Check Box 200" hidden="1">
                <a:extLst>
                  <a:ext uri="{63B3BB69-23CF-44E3-9099-C40C66FF867C}">
                    <a14:compatExt spid="_x0000_s1224"/>
                  </a:ext>
                </a:extLst>
              </xdr:cNvPr>
              <xdr:cNvSpPr/>
            </xdr:nvSpPr>
            <xdr:spPr>
              <a:xfrm>
                <a:off x="1724026" y="2895600"/>
                <a:ext cx="438150" cy="200025"/>
              </a:xfrm>
              <a:prstGeom prst="rect">
                <a:avLst/>
              </a:prstGeom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fr-FR" sz="800" b="0" i="0" u="none" strike="noStrike" baseline="0">
                    <a:solidFill>
                      <a:srgbClr val="000000"/>
                    </a:solidFill>
                    <a:latin typeface="Tahoma"/>
                    <a:ea typeface="Tahoma"/>
                    <a:cs typeface="Tahoma"/>
                  </a:rPr>
                  <a:t>Non</a:t>
                </a:r>
                <a:endParaRPr lang="fr-FR"/>
              </a:p>
            </xdr:txBody>
          </xdr:sp>
        </xdr:grp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552450</xdr:colOff>
          <xdr:row>122</xdr:row>
          <xdr:rowOff>180975</xdr:rowOff>
        </xdr:from>
        <xdr:to>
          <xdr:col>3</xdr:col>
          <xdr:colOff>19050</xdr:colOff>
          <xdr:row>124</xdr:row>
          <xdr:rowOff>9525</xdr:rowOff>
        </xdr:to>
        <xdr:sp macro="" textlink="">
          <xdr:nvSpPr>
            <xdr:cNvPr id="1227" name="Check Box 203" hidden="1">
              <a:extLst>
                <a:ext uri="{63B3BB69-23CF-44E3-9099-C40C66FF867C}">
                  <a14:compatExt spid="_x0000_s12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Un plaisir</a:t>
              </a:r>
              <a:endParaRPr lang="fr-FR"/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581025</xdr:colOff>
          <xdr:row>123</xdr:row>
          <xdr:rowOff>0</xdr:rowOff>
        </xdr:from>
        <xdr:to>
          <xdr:col>4</xdr:col>
          <xdr:colOff>47625</xdr:colOff>
          <xdr:row>124</xdr:row>
          <xdr:rowOff>19050</xdr:rowOff>
        </xdr:to>
        <xdr:sp macro="" textlink="">
          <xdr:nvSpPr>
            <xdr:cNvPr id="1228" name="Check Box 204" hidden="1">
              <a:extLst>
                <a:ext uri="{63B3BB69-23CF-44E3-9099-C40C66FF867C}">
                  <a14:compatExt spid="_x0000_s12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Une nécessité</a:t>
              </a:r>
              <a:endParaRPr lang="fr-FR"/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228600</xdr:colOff>
          <xdr:row>75</xdr:row>
          <xdr:rowOff>180975</xdr:rowOff>
        </xdr:from>
        <xdr:to>
          <xdr:col>2</xdr:col>
          <xdr:colOff>257175</xdr:colOff>
          <xdr:row>79</xdr:row>
          <xdr:rowOff>1</xdr:rowOff>
        </xdr:to>
        <xdr:grpSp>
          <xdr:nvGrpSpPr>
            <xdr:cNvPr id="77" name="Groupe 76"/>
            <xdr:cNvGrpSpPr/>
          </xdr:nvGrpSpPr>
          <xdr:grpSpPr>
            <a:xfrm>
              <a:off x="1212850" y="15590308"/>
              <a:ext cx="832908" cy="581026"/>
              <a:chOff x="1333499" y="2895599"/>
              <a:chExt cx="828677" cy="200026"/>
            </a:xfrm>
          </xdr:grpSpPr>
          <xdr:sp macro="" textlink="">
            <xdr:nvSpPr>
              <xdr:cNvPr id="1229" name="Check Box 205" hidden="1">
                <a:extLst>
                  <a:ext uri="{63B3BB69-23CF-44E3-9099-C40C66FF867C}">
                    <a14:compatExt spid="_x0000_s1229"/>
                  </a:ext>
                </a:extLst>
              </xdr:cNvPr>
              <xdr:cNvSpPr/>
            </xdr:nvSpPr>
            <xdr:spPr>
              <a:xfrm>
                <a:off x="1333499" y="2895599"/>
                <a:ext cx="438150" cy="200025"/>
              </a:xfrm>
              <a:prstGeom prst="rect">
                <a:avLst/>
              </a:prstGeom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fr-FR" sz="800" b="0" i="0" u="none" strike="noStrike" baseline="0">
                    <a:solidFill>
                      <a:srgbClr val="000000"/>
                    </a:solidFill>
                    <a:latin typeface="Tahoma"/>
                    <a:ea typeface="Tahoma"/>
                    <a:cs typeface="Tahoma"/>
                  </a:rPr>
                  <a:t>Oui</a:t>
                </a:r>
                <a:endParaRPr lang="fr-FR"/>
              </a:p>
            </xdr:txBody>
          </xdr:sp>
          <xdr:sp macro="" textlink="">
            <xdr:nvSpPr>
              <xdr:cNvPr id="1230" name="Check Box 206" hidden="1">
                <a:extLst>
                  <a:ext uri="{63B3BB69-23CF-44E3-9099-C40C66FF867C}">
                    <a14:compatExt spid="_x0000_s1230"/>
                  </a:ext>
                </a:extLst>
              </xdr:cNvPr>
              <xdr:cNvSpPr/>
            </xdr:nvSpPr>
            <xdr:spPr>
              <a:xfrm>
                <a:off x="1724026" y="2895600"/>
                <a:ext cx="438150" cy="200025"/>
              </a:xfrm>
              <a:prstGeom prst="rect">
                <a:avLst/>
              </a:prstGeom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fr-FR" sz="800" b="0" i="0" u="none" strike="noStrike" baseline="0">
                    <a:solidFill>
                      <a:srgbClr val="000000"/>
                    </a:solidFill>
                    <a:latin typeface="Tahoma"/>
                    <a:ea typeface="Tahoma"/>
                    <a:cs typeface="Tahoma"/>
                  </a:rPr>
                  <a:t>Non</a:t>
                </a:r>
                <a:endParaRPr lang="fr-FR"/>
              </a:p>
            </xdr:txBody>
          </xdr:sp>
        </xdr:grp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3" Type="http://schemas.openxmlformats.org/officeDocument/2006/relationships/ctrlProp" Target="../ctrlProps/ctrlProp10.xml"/><Relationship Id="rId18" Type="http://schemas.openxmlformats.org/officeDocument/2006/relationships/ctrlProp" Target="../ctrlProps/ctrlProp15.xml"/><Relationship Id="rId26" Type="http://schemas.openxmlformats.org/officeDocument/2006/relationships/ctrlProp" Target="../ctrlProps/ctrlProp23.xml"/><Relationship Id="rId39" Type="http://schemas.openxmlformats.org/officeDocument/2006/relationships/ctrlProp" Target="../ctrlProps/ctrlProp36.xml"/><Relationship Id="rId3" Type="http://schemas.openxmlformats.org/officeDocument/2006/relationships/vmlDrawing" Target="../drawings/vmlDrawing1.vml"/><Relationship Id="rId21" Type="http://schemas.openxmlformats.org/officeDocument/2006/relationships/ctrlProp" Target="../ctrlProps/ctrlProp18.xml"/><Relationship Id="rId34" Type="http://schemas.openxmlformats.org/officeDocument/2006/relationships/ctrlProp" Target="../ctrlProps/ctrlProp31.xml"/><Relationship Id="rId42" Type="http://schemas.openxmlformats.org/officeDocument/2006/relationships/ctrlProp" Target="../ctrlProps/ctrlProp39.xml"/><Relationship Id="rId47" Type="http://schemas.openxmlformats.org/officeDocument/2006/relationships/ctrlProp" Target="../ctrlProps/ctrlProp44.xml"/><Relationship Id="rId50" Type="http://schemas.openxmlformats.org/officeDocument/2006/relationships/ctrlProp" Target="../ctrlProps/ctrlProp47.xml"/><Relationship Id="rId7" Type="http://schemas.openxmlformats.org/officeDocument/2006/relationships/ctrlProp" Target="../ctrlProps/ctrlProp4.xml"/><Relationship Id="rId12" Type="http://schemas.openxmlformats.org/officeDocument/2006/relationships/ctrlProp" Target="../ctrlProps/ctrlProp9.xml"/><Relationship Id="rId17" Type="http://schemas.openxmlformats.org/officeDocument/2006/relationships/ctrlProp" Target="../ctrlProps/ctrlProp14.xml"/><Relationship Id="rId25" Type="http://schemas.openxmlformats.org/officeDocument/2006/relationships/ctrlProp" Target="../ctrlProps/ctrlProp22.xml"/><Relationship Id="rId33" Type="http://schemas.openxmlformats.org/officeDocument/2006/relationships/ctrlProp" Target="../ctrlProps/ctrlProp30.xml"/><Relationship Id="rId38" Type="http://schemas.openxmlformats.org/officeDocument/2006/relationships/ctrlProp" Target="../ctrlProps/ctrlProp35.xml"/><Relationship Id="rId46" Type="http://schemas.openxmlformats.org/officeDocument/2006/relationships/ctrlProp" Target="../ctrlProps/ctrlProp43.xml"/><Relationship Id="rId2" Type="http://schemas.openxmlformats.org/officeDocument/2006/relationships/drawing" Target="../drawings/drawing1.xml"/><Relationship Id="rId16" Type="http://schemas.openxmlformats.org/officeDocument/2006/relationships/ctrlProp" Target="../ctrlProps/ctrlProp13.xml"/><Relationship Id="rId20" Type="http://schemas.openxmlformats.org/officeDocument/2006/relationships/ctrlProp" Target="../ctrlProps/ctrlProp17.xml"/><Relationship Id="rId29" Type="http://schemas.openxmlformats.org/officeDocument/2006/relationships/ctrlProp" Target="../ctrlProps/ctrlProp26.xml"/><Relationship Id="rId41" Type="http://schemas.openxmlformats.org/officeDocument/2006/relationships/ctrlProp" Target="../ctrlProps/ctrlProp38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11" Type="http://schemas.openxmlformats.org/officeDocument/2006/relationships/ctrlProp" Target="../ctrlProps/ctrlProp8.xml"/><Relationship Id="rId24" Type="http://schemas.openxmlformats.org/officeDocument/2006/relationships/ctrlProp" Target="../ctrlProps/ctrlProp21.xml"/><Relationship Id="rId32" Type="http://schemas.openxmlformats.org/officeDocument/2006/relationships/ctrlProp" Target="../ctrlProps/ctrlProp29.xml"/><Relationship Id="rId37" Type="http://schemas.openxmlformats.org/officeDocument/2006/relationships/ctrlProp" Target="../ctrlProps/ctrlProp34.xml"/><Relationship Id="rId40" Type="http://schemas.openxmlformats.org/officeDocument/2006/relationships/ctrlProp" Target="../ctrlProps/ctrlProp37.xml"/><Relationship Id="rId45" Type="http://schemas.openxmlformats.org/officeDocument/2006/relationships/ctrlProp" Target="../ctrlProps/ctrlProp42.xml"/><Relationship Id="rId53" Type="http://schemas.openxmlformats.org/officeDocument/2006/relationships/ctrlProp" Target="../ctrlProps/ctrlProp50.xml"/><Relationship Id="rId5" Type="http://schemas.openxmlformats.org/officeDocument/2006/relationships/ctrlProp" Target="../ctrlProps/ctrlProp2.xml"/><Relationship Id="rId15" Type="http://schemas.openxmlformats.org/officeDocument/2006/relationships/ctrlProp" Target="../ctrlProps/ctrlProp12.xml"/><Relationship Id="rId23" Type="http://schemas.openxmlformats.org/officeDocument/2006/relationships/ctrlProp" Target="../ctrlProps/ctrlProp20.xml"/><Relationship Id="rId28" Type="http://schemas.openxmlformats.org/officeDocument/2006/relationships/ctrlProp" Target="../ctrlProps/ctrlProp25.xml"/><Relationship Id="rId36" Type="http://schemas.openxmlformats.org/officeDocument/2006/relationships/ctrlProp" Target="../ctrlProps/ctrlProp33.xml"/><Relationship Id="rId49" Type="http://schemas.openxmlformats.org/officeDocument/2006/relationships/ctrlProp" Target="../ctrlProps/ctrlProp46.xml"/><Relationship Id="rId10" Type="http://schemas.openxmlformats.org/officeDocument/2006/relationships/ctrlProp" Target="../ctrlProps/ctrlProp7.xml"/><Relationship Id="rId19" Type="http://schemas.openxmlformats.org/officeDocument/2006/relationships/ctrlProp" Target="../ctrlProps/ctrlProp16.xml"/><Relationship Id="rId31" Type="http://schemas.openxmlformats.org/officeDocument/2006/relationships/ctrlProp" Target="../ctrlProps/ctrlProp28.xml"/><Relationship Id="rId44" Type="http://schemas.openxmlformats.org/officeDocument/2006/relationships/ctrlProp" Target="../ctrlProps/ctrlProp41.xml"/><Relationship Id="rId52" Type="http://schemas.openxmlformats.org/officeDocument/2006/relationships/ctrlProp" Target="../ctrlProps/ctrlProp49.xml"/><Relationship Id="rId4" Type="http://schemas.openxmlformats.org/officeDocument/2006/relationships/ctrlProp" Target="../ctrlProps/ctrlProp1.xml"/><Relationship Id="rId9" Type="http://schemas.openxmlformats.org/officeDocument/2006/relationships/ctrlProp" Target="../ctrlProps/ctrlProp6.xml"/><Relationship Id="rId14" Type="http://schemas.openxmlformats.org/officeDocument/2006/relationships/ctrlProp" Target="../ctrlProps/ctrlProp11.xml"/><Relationship Id="rId22" Type="http://schemas.openxmlformats.org/officeDocument/2006/relationships/ctrlProp" Target="../ctrlProps/ctrlProp19.xml"/><Relationship Id="rId27" Type="http://schemas.openxmlformats.org/officeDocument/2006/relationships/ctrlProp" Target="../ctrlProps/ctrlProp24.xml"/><Relationship Id="rId30" Type="http://schemas.openxmlformats.org/officeDocument/2006/relationships/ctrlProp" Target="../ctrlProps/ctrlProp27.xml"/><Relationship Id="rId35" Type="http://schemas.openxmlformats.org/officeDocument/2006/relationships/ctrlProp" Target="../ctrlProps/ctrlProp32.xml"/><Relationship Id="rId43" Type="http://schemas.openxmlformats.org/officeDocument/2006/relationships/ctrlProp" Target="../ctrlProps/ctrlProp40.xml"/><Relationship Id="rId48" Type="http://schemas.openxmlformats.org/officeDocument/2006/relationships/ctrlProp" Target="../ctrlProps/ctrlProp45.xml"/><Relationship Id="rId8" Type="http://schemas.openxmlformats.org/officeDocument/2006/relationships/ctrlProp" Target="../ctrlProps/ctrlProp5.xml"/><Relationship Id="rId51" Type="http://schemas.openxmlformats.org/officeDocument/2006/relationships/ctrlProp" Target="../ctrlProps/ctrlProp48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G327"/>
  <sheetViews>
    <sheetView showGridLines="0" tabSelected="1" showRuler="0" view="pageLayout" topLeftCell="A28" zoomScale="90" zoomScaleNormal="100" zoomScalePageLayoutView="90" workbookViewId="0">
      <selection activeCell="E37" sqref="E37"/>
    </sheetView>
  </sheetViews>
  <sheetFormatPr baseColWidth="10" defaultRowHeight="15" x14ac:dyDescent="0.25"/>
  <cols>
    <col min="1" max="1" width="14" style="1" customWidth="1"/>
    <col min="2" max="6" width="11.42578125" style="1"/>
    <col min="7" max="7" width="11" style="1" customWidth="1"/>
    <col min="8" max="16384" width="11.42578125" style="1"/>
  </cols>
  <sheetData>
    <row r="1" spans="1:7" ht="15.75" thickBot="1" x14ac:dyDescent="0.3"/>
    <row r="2" spans="1:7" x14ac:dyDescent="0.25">
      <c r="B2" s="140" t="s">
        <v>0</v>
      </c>
      <c r="C2" s="141"/>
      <c r="D2" s="141"/>
      <c r="E2" s="141"/>
      <c r="F2" s="142"/>
    </row>
    <row r="3" spans="1:7" x14ac:dyDescent="0.25">
      <c r="B3" s="143"/>
      <c r="C3" s="144"/>
      <c r="D3" s="144"/>
      <c r="E3" s="144"/>
      <c r="F3" s="145"/>
    </row>
    <row r="4" spans="1:7" ht="15.75" thickBot="1" x14ac:dyDescent="0.3">
      <c r="B4" s="146" t="s">
        <v>1</v>
      </c>
      <c r="C4" s="147"/>
      <c r="D4" s="148"/>
      <c r="E4" s="149"/>
      <c r="F4" s="150"/>
    </row>
    <row r="5" spans="1:7" x14ac:dyDescent="0.25">
      <c r="B5" s="2"/>
      <c r="C5" s="2"/>
      <c r="D5" s="2"/>
      <c r="E5" s="2"/>
      <c r="F5" s="2"/>
    </row>
    <row r="6" spans="1:7" ht="15.75" x14ac:dyDescent="0.25">
      <c r="A6" s="133" t="s">
        <v>19</v>
      </c>
      <c r="B6" s="134"/>
      <c r="C6" s="134"/>
      <c r="D6" s="134"/>
      <c r="E6" s="134"/>
      <c r="F6" s="134"/>
      <c r="G6" s="135"/>
    </row>
    <row r="7" spans="1:7" ht="18.75" customHeight="1" x14ac:dyDescent="0.25"/>
    <row r="8" spans="1:7" ht="18.75" customHeight="1" x14ac:dyDescent="0.25">
      <c r="A8" s="1" t="s">
        <v>2</v>
      </c>
      <c r="B8" s="138"/>
      <c r="C8" s="138"/>
      <c r="E8" s="151" t="s">
        <v>215</v>
      </c>
      <c r="F8" s="151"/>
      <c r="G8" s="54"/>
    </row>
    <row r="9" spans="1:7" ht="18.75" customHeight="1" x14ac:dyDescent="0.25">
      <c r="A9" s="1" t="s">
        <v>3</v>
      </c>
      <c r="B9" s="138"/>
      <c r="C9" s="138"/>
    </row>
    <row r="10" spans="1:7" ht="18.75" customHeight="1" x14ac:dyDescent="0.25">
      <c r="A10" s="137" t="s">
        <v>4</v>
      </c>
      <c r="B10" s="137"/>
      <c r="C10" s="49"/>
      <c r="F10" s="4" t="s">
        <v>5</v>
      </c>
      <c r="G10" s="51">
        <f ca="1">DATEDIF(C10,TODAY(),"Y")</f>
        <v>118</v>
      </c>
    </row>
    <row r="11" spans="1:7" ht="18.75" customHeight="1" x14ac:dyDescent="0.25"/>
    <row r="12" spans="1:7" ht="18.75" customHeight="1" x14ac:dyDescent="0.25">
      <c r="A12" s="1" t="s">
        <v>6</v>
      </c>
      <c r="B12" s="138"/>
      <c r="C12" s="138"/>
    </row>
    <row r="13" spans="1:7" ht="18.75" customHeight="1" x14ac:dyDescent="0.25">
      <c r="A13" s="137" t="s">
        <v>336</v>
      </c>
      <c r="B13" s="137"/>
      <c r="C13" s="92"/>
    </row>
    <row r="14" spans="1:7" ht="18.75" customHeight="1" x14ac:dyDescent="0.25">
      <c r="A14" s="1" t="s">
        <v>7</v>
      </c>
      <c r="C14" s="3"/>
    </row>
    <row r="16" spans="1:7" ht="19.5" customHeight="1" x14ac:dyDescent="0.25">
      <c r="A16" s="1" t="s">
        <v>311</v>
      </c>
    </row>
    <row r="17" spans="1:7" ht="19.5" customHeight="1" x14ac:dyDescent="0.25">
      <c r="A17" s="1" t="s">
        <v>13</v>
      </c>
      <c r="E17" s="3"/>
      <c r="G17" s="48"/>
    </row>
    <row r="18" spans="1:7" ht="19.5" customHeight="1" x14ac:dyDescent="0.25">
      <c r="A18" s="1" t="s">
        <v>14</v>
      </c>
      <c r="F18" s="1" t="s">
        <v>16</v>
      </c>
      <c r="G18" s="3"/>
    </row>
    <row r="19" spans="1:7" ht="19.5" customHeight="1" x14ac:dyDescent="0.25">
      <c r="A19" s="1" t="s">
        <v>15</v>
      </c>
      <c r="F19" s="1" t="s">
        <v>16</v>
      </c>
      <c r="G19" s="3"/>
    </row>
    <row r="20" spans="1:7" ht="19.5" customHeight="1" x14ac:dyDescent="0.25">
      <c r="A20" s="1" t="s">
        <v>17</v>
      </c>
    </row>
    <row r="21" spans="1:7" ht="19.5" customHeight="1" x14ac:dyDescent="0.25">
      <c r="A21" s="1" t="s">
        <v>18</v>
      </c>
      <c r="C21" s="138"/>
      <c r="D21" s="138"/>
      <c r="E21" s="138"/>
      <c r="F21" s="138"/>
      <c r="G21" s="138"/>
    </row>
    <row r="22" spans="1:7" ht="19.5" customHeight="1" x14ac:dyDescent="0.25">
      <c r="B22" s="6"/>
      <c r="C22" s="7"/>
      <c r="D22" s="7"/>
      <c r="E22" s="7"/>
      <c r="F22" s="7"/>
      <c r="G22" s="7"/>
    </row>
    <row r="23" spans="1:7" ht="15.75" x14ac:dyDescent="0.25">
      <c r="A23" s="133" t="s">
        <v>138</v>
      </c>
      <c r="B23" s="134"/>
      <c r="C23" s="134"/>
      <c r="D23" s="134"/>
      <c r="E23" s="134"/>
      <c r="F23" s="134"/>
      <c r="G23" s="135"/>
    </row>
    <row r="25" spans="1:7" x14ac:dyDescent="0.25">
      <c r="A25" s="1" t="s">
        <v>312</v>
      </c>
    </row>
    <row r="26" spans="1:7" x14ac:dyDescent="0.25">
      <c r="A26" s="138"/>
      <c r="B26" s="138"/>
      <c r="C26" s="138"/>
      <c r="D26" s="138"/>
      <c r="E26" s="138"/>
      <c r="F26" s="138"/>
      <c r="G26" s="138"/>
    </row>
    <row r="27" spans="1:7" x14ac:dyDescent="0.25">
      <c r="A27" s="138"/>
      <c r="B27" s="138"/>
      <c r="C27" s="138"/>
      <c r="D27" s="138"/>
      <c r="E27" s="138"/>
      <c r="F27" s="138"/>
      <c r="G27" s="138"/>
    </row>
    <row r="29" spans="1:7" ht="15.75" x14ac:dyDescent="0.25">
      <c r="A29" s="133" t="s">
        <v>20</v>
      </c>
      <c r="B29" s="134"/>
      <c r="C29" s="134"/>
      <c r="D29" s="134"/>
      <c r="E29" s="134"/>
      <c r="F29" s="134"/>
      <c r="G29" s="135"/>
    </row>
    <row r="30" spans="1:7" ht="16.5" customHeight="1" x14ac:dyDescent="0.25"/>
    <row r="31" spans="1:7" ht="16.5" customHeight="1" x14ac:dyDescent="0.25">
      <c r="A31" s="1" t="s">
        <v>21</v>
      </c>
      <c r="E31" s="1" t="s">
        <v>29</v>
      </c>
    </row>
    <row r="32" spans="1:7" ht="16.5" customHeight="1" x14ac:dyDescent="0.25">
      <c r="A32" s="1" t="s">
        <v>22</v>
      </c>
      <c r="E32" s="1" t="s">
        <v>16</v>
      </c>
      <c r="F32" s="3"/>
    </row>
    <row r="33" spans="1:7" ht="16.5" customHeight="1" x14ac:dyDescent="0.25">
      <c r="A33" s="1" t="s">
        <v>23</v>
      </c>
    </row>
    <row r="34" spans="1:7" ht="16.5" customHeight="1" x14ac:dyDescent="0.25">
      <c r="A34" s="1" t="s">
        <v>24</v>
      </c>
      <c r="D34" s="4" t="s">
        <v>339</v>
      </c>
    </row>
    <row r="36" spans="1:7" x14ac:dyDescent="0.25">
      <c r="A36" s="1" t="s">
        <v>313</v>
      </c>
    </row>
    <row r="37" spans="1:7" x14ac:dyDescent="0.25">
      <c r="D37" s="5"/>
    </row>
    <row r="38" spans="1:7" x14ac:dyDescent="0.25">
      <c r="A38" s="1" t="s">
        <v>28</v>
      </c>
    </row>
    <row r="39" spans="1:7" x14ac:dyDescent="0.25">
      <c r="A39" s="136"/>
      <c r="B39" s="136"/>
      <c r="C39" s="136"/>
      <c r="D39" s="136"/>
      <c r="E39" s="136"/>
      <c r="F39" s="136"/>
      <c r="G39" s="136"/>
    </row>
    <row r="40" spans="1:7" x14ac:dyDescent="0.25">
      <c r="A40" s="136"/>
      <c r="B40" s="136"/>
      <c r="C40" s="136"/>
      <c r="D40" s="136"/>
      <c r="E40" s="136"/>
      <c r="F40" s="136"/>
      <c r="G40" s="136"/>
    </row>
    <row r="41" spans="1:7" x14ac:dyDescent="0.25">
      <c r="A41" s="136"/>
      <c r="B41" s="136"/>
      <c r="C41" s="136"/>
      <c r="D41" s="136"/>
      <c r="E41" s="136"/>
      <c r="F41" s="136"/>
      <c r="G41" s="136"/>
    </row>
    <row r="42" spans="1:7" s="6" customFormat="1" x14ac:dyDescent="0.25">
      <c r="A42" s="69"/>
      <c r="B42" s="69"/>
      <c r="C42" s="69"/>
      <c r="D42" s="69"/>
      <c r="E42" s="69"/>
      <c r="F42" s="69"/>
      <c r="G42" s="69"/>
    </row>
    <row r="43" spans="1:7" s="6" customFormat="1" x14ac:dyDescent="0.25">
      <c r="A43" s="139" t="s">
        <v>338</v>
      </c>
      <c r="B43" s="139"/>
      <c r="C43" s="139"/>
      <c r="D43" s="139"/>
      <c r="E43" s="139"/>
      <c r="F43" s="139"/>
      <c r="G43" s="139"/>
    </row>
    <row r="44" spans="1:7" s="6" customFormat="1" x14ac:dyDescent="0.25">
      <c r="A44" s="139"/>
      <c r="B44" s="139"/>
      <c r="C44" s="139"/>
      <c r="D44" s="139"/>
      <c r="E44" s="139"/>
      <c r="F44" s="139"/>
      <c r="G44" s="139"/>
    </row>
    <row r="45" spans="1:7" s="6" customFormat="1" x14ac:dyDescent="0.25">
      <c r="A45" s="139"/>
      <c r="B45" s="139"/>
      <c r="C45" s="139"/>
      <c r="D45" s="139"/>
      <c r="E45" s="139"/>
      <c r="F45" s="139"/>
      <c r="G45" s="139"/>
    </row>
    <row r="46" spans="1:7" s="6" customFormat="1" x14ac:dyDescent="0.25">
      <c r="A46" s="139"/>
      <c r="B46" s="139"/>
      <c r="C46" s="139"/>
      <c r="D46" s="139"/>
      <c r="E46" s="139"/>
      <c r="F46" s="139"/>
      <c r="G46" s="139"/>
    </row>
    <row r="47" spans="1:7" s="6" customFormat="1" x14ac:dyDescent="0.25">
      <c r="A47" s="7"/>
      <c r="B47" s="7"/>
      <c r="C47" s="7"/>
      <c r="D47" s="7"/>
      <c r="E47" s="7"/>
      <c r="F47" s="7"/>
      <c r="G47" s="7"/>
    </row>
    <row r="48" spans="1:7" x14ac:dyDescent="0.25">
      <c r="A48" s="1" t="s">
        <v>25</v>
      </c>
      <c r="C48" s="136"/>
      <c r="D48" s="136"/>
      <c r="E48" s="136"/>
      <c r="F48" s="136"/>
      <c r="G48" s="136"/>
    </row>
    <row r="49" spans="1:7" x14ac:dyDescent="0.25">
      <c r="C49" s="136"/>
      <c r="D49" s="136"/>
      <c r="E49" s="136"/>
      <c r="F49" s="136"/>
      <c r="G49" s="136"/>
    </row>
    <row r="50" spans="1:7" x14ac:dyDescent="0.25">
      <c r="C50" s="136"/>
      <c r="D50" s="136"/>
      <c r="E50" s="136"/>
      <c r="F50" s="136"/>
      <c r="G50" s="136"/>
    </row>
    <row r="52" spans="1:7" x14ac:dyDescent="0.25">
      <c r="A52" s="1" t="s">
        <v>26</v>
      </c>
      <c r="C52" s="136"/>
      <c r="D52" s="136"/>
      <c r="E52" s="136"/>
      <c r="F52" s="136"/>
      <c r="G52" s="136"/>
    </row>
    <row r="53" spans="1:7" x14ac:dyDescent="0.25">
      <c r="C53" s="136"/>
      <c r="D53" s="136"/>
      <c r="E53" s="136"/>
      <c r="F53" s="136"/>
      <c r="G53" s="136"/>
    </row>
    <row r="54" spans="1:7" x14ac:dyDescent="0.25">
      <c r="C54" s="136"/>
      <c r="D54" s="136"/>
      <c r="E54" s="136"/>
      <c r="F54" s="136"/>
      <c r="G54" s="136"/>
    </row>
    <row r="56" spans="1:7" x14ac:dyDescent="0.25">
      <c r="A56" s="1" t="s">
        <v>27</v>
      </c>
      <c r="C56" s="136"/>
      <c r="D56" s="136"/>
      <c r="E56" s="136"/>
      <c r="F56" s="136"/>
      <c r="G56" s="136"/>
    </row>
    <row r="57" spans="1:7" x14ac:dyDescent="0.25">
      <c r="C57" s="136"/>
      <c r="D57" s="136"/>
      <c r="E57" s="136"/>
      <c r="F57" s="136"/>
      <c r="G57" s="136"/>
    </row>
    <row r="58" spans="1:7" x14ac:dyDescent="0.25">
      <c r="C58" s="136"/>
      <c r="D58" s="136"/>
      <c r="E58" s="136"/>
      <c r="F58" s="136"/>
      <c r="G58" s="136"/>
    </row>
    <row r="59" spans="1:7" x14ac:dyDescent="0.25">
      <c r="C59" s="10"/>
      <c r="D59" s="10"/>
      <c r="E59" s="10"/>
      <c r="F59" s="10"/>
      <c r="G59" s="10"/>
    </row>
    <row r="60" spans="1:7" ht="15.75" x14ac:dyDescent="0.25">
      <c r="A60" s="133" t="s">
        <v>30</v>
      </c>
      <c r="B60" s="134"/>
      <c r="C60" s="134"/>
      <c r="D60" s="134"/>
      <c r="E60" s="134"/>
      <c r="F60" s="134"/>
      <c r="G60" s="135"/>
    </row>
    <row r="62" spans="1:7" ht="18.75" customHeight="1" x14ac:dyDescent="0.25">
      <c r="A62" s="1" t="s">
        <v>31</v>
      </c>
      <c r="B62" s="50"/>
    </row>
    <row r="63" spans="1:7" ht="18.75" customHeight="1" x14ac:dyDescent="0.25">
      <c r="A63" s="1" t="s">
        <v>32</v>
      </c>
    </row>
    <row r="64" spans="1:7" ht="18.75" customHeight="1" x14ac:dyDescent="0.25">
      <c r="A64" s="1" t="s">
        <v>33</v>
      </c>
      <c r="C64" s="138"/>
      <c r="D64" s="138"/>
      <c r="E64" s="138"/>
      <c r="F64" s="138"/>
      <c r="G64" s="138"/>
    </row>
    <row r="66" spans="1:7" x14ac:dyDescent="0.25">
      <c r="A66" s="1" t="s">
        <v>34</v>
      </c>
      <c r="B66" s="136"/>
      <c r="C66" s="136"/>
      <c r="D66" s="136"/>
      <c r="E66" s="136"/>
      <c r="F66" s="136"/>
      <c r="G66" s="136"/>
    </row>
    <row r="67" spans="1:7" x14ac:dyDescent="0.25">
      <c r="B67" s="136"/>
      <c r="C67" s="136"/>
      <c r="D67" s="136"/>
      <c r="E67" s="136"/>
      <c r="F67" s="136"/>
      <c r="G67" s="136"/>
    </row>
    <row r="68" spans="1:7" x14ac:dyDescent="0.25">
      <c r="B68" s="136"/>
      <c r="C68" s="136"/>
      <c r="D68" s="136"/>
      <c r="E68" s="136"/>
      <c r="F68" s="136"/>
      <c r="G68" s="136"/>
    </row>
    <row r="69" spans="1:7" x14ac:dyDescent="0.25">
      <c r="B69" s="136"/>
      <c r="C69" s="136"/>
      <c r="D69" s="136"/>
      <c r="E69" s="136"/>
      <c r="F69" s="136"/>
      <c r="G69" s="136"/>
    </row>
    <row r="70" spans="1:7" x14ac:dyDescent="0.25">
      <c r="B70" s="136"/>
      <c r="C70" s="136"/>
      <c r="D70" s="136"/>
      <c r="E70" s="136"/>
      <c r="F70" s="136"/>
      <c r="G70" s="136"/>
    </row>
    <row r="71" spans="1:7" x14ac:dyDescent="0.25">
      <c r="B71" s="136"/>
      <c r="C71" s="136"/>
      <c r="D71" s="136"/>
      <c r="E71" s="136"/>
      <c r="F71" s="136"/>
      <c r="G71" s="136"/>
    </row>
    <row r="72" spans="1:7" x14ac:dyDescent="0.25">
      <c r="B72" s="136"/>
      <c r="C72" s="136"/>
      <c r="D72" s="136"/>
      <c r="E72" s="136"/>
      <c r="F72" s="136"/>
      <c r="G72" s="136"/>
    </row>
    <row r="74" spans="1:7" x14ac:dyDescent="0.25">
      <c r="A74" s="1" t="s">
        <v>35</v>
      </c>
      <c r="B74" s="50"/>
      <c r="E74" s="4" t="s">
        <v>36</v>
      </c>
      <c r="F74" s="53" t="e">
        <f>B62/(B74*B74)</f>
        <v>#DIV/0!</v>
      </c>
      <c r="G74" s="1" t="e">
        <f>IF(F74&lt;18.5,"Maigreur",IF(F74&lt;25,"Norme",IF(F74&lt;35,"Obésité I",IF(F74&lt;40,"Obésité II","Obésité III"))))</f>
        <v>#DIV/0!</v>
      </c>
    </row>
    <row r="75" spans="1:7" x14ac:dyDescent="0.25">
      <c r="B75" s="10"/>
      <c r="E75" s="87"/>
      <c r="F75" s="89"/>
    </row>
    <row r="76" spans="1:7" x14ac:dyDescent="0.25">
      <c r="A76" s="1" t="s">
        <v>73</v>
      </c>
      <c r="D76" s="154" t="s">
        <v>70</v>
      </c>
      <c r="E76" s="154"/>
      <c r="F76" s="138"/>
      <c r="G76" s="138"/>
    </row>
    <row r="77" spans="1:7" x14ac:dyDescent="0.25">
      <c r="D77" s="78"/>
      <c r="E77" s="78"/>
    </row>
    <row r="78" spans="1:7" x14ac:dyDescent="0.25">
      <c r="A78" s="1" t="s">
        <v>306</v>
      </c>
      <c r="D78" s="78"/>
      <c r="E78" s="10"/>
    </row>
    <row r="80" spans="1:7" x14ac:dyDescent="0.25">
      <c r="A80" s="1" t="s">
        <v>74</v>
      </c>
      <c r="B80" s="138"/>
      <c r="C80" s="138"/>
      <c r="D80" s="138"/>
      <c r="E80" s="138"/>
      <c r="F80" s="138"/>
      <c r="G80" s="138"/>
    </row>
    <row r="81" spans="1:7" x14ac:dyDescent="0.25">
      <c r="B81" s="138"/>
      <c r="C81" s="138"/>
      <c r="D81" s="138"/>
      <c r="E81" s="138"/>
      <c r="F81" s="138"/>
      <c r="G81" s="138"/>
    </row>
    <row r="82" spans="1:7" x14ac:dyDescent="0.25">
      <c r="B82" s="138"/>
      <c r="C82" s="138"/>
      <c r="D82" s="138"/>
      <c r="E82" s="138"/>
      <c r="F82" s="138"/>
      <c r="G82" s="138"/>
    </row>
    <row r="83" spans="1:7" x14ac:dyDescent="0.25">
      <c r="B83" s="138"/>
      <c r="C83" s="138"/>
      <c r="D83" s="138"/>
      <c r="E83" s="138"/>
      <c r="F83" s="138"/>
      <c r="G83" s="138"/>
    </row>
    <row r="85" spans="1:7" ht="15.75" x14ac:dyDescent="0.25">
      <c r="A85" s="157" t="s">
        <v>309</v>
      </c>
      <c r="B85" s="158"/>
      <c r="C85" s="158"/>
      <c r="D85" s="158"/>
      <c r="E85" s="158"/>
      <c r="F85" s="158"/>
      <c r="G85" s="159"/>
    </row>
    <row r="87" spans="1:7" ht="18.75" customHeight="1" x14ac:dyDescent="0.25">
      <c r="A87" s="1" t="s">
        <v>37</v>
      </c>
    </row>
    <row r="88" spans="1:7" ht="18.75" customHeight="1" x14ac:dyDescent="0.25">
      <c r="A88" s="1" t="s">
        <v>279</v>
      </c>
      <c r="C88" s="136"/>
      <c r="D88" s="136"/>
      <c r="E88" s="136"/>
      <c r="F88" s="136"/>
      <c r="G88" s="136"/>
    </row>
    <row r="89" spans="1:7" ht="18.75" customHeight="1" x14ac:dyDescent="0.25">
      <c r="C89" s="136"/>
      <c r="D89" s="136"/>
      <c r="E89" s="136"/>
      <c r="F89" s="136"/>
      <c r="G89" s="136"/>
    </row>
    <row r="90" spans="1:7" ht="18.75" customHeight="1" x14ac:dyDescent="0.25">
      <c r="A90" s="1" t="s">
        <v>38</v>
      </c>
    </row>
    <row r="91" spans="1:7" ht="18.75" customHeight="1" x14ac:dyDescent="0.25">
      <c r="A91" s="1" t="s">
        <v>39</v>
      </c>
      <c r="D91" s="136"/>
      <c r="E91" s="136"/>
      <c r="F91" s="136"/>
      <c r="G91" s="136"/>
    </row>
    <row r="92" spans="1:7" ht="18.75" customHeight="1" x14ac:dyDescent="0.25">
      <c r="A92" s="1" t="s">
        <v>40</v>
      </c>
      <c r="D92" s="136"/>
      <c r="E92" s="136"/>
      <c r="F92" s="136"/>
      <c r="G92" s="136"/>
    </row>
    <row r="93" spans="1:7" ht="18.75" customHeight="1" x14ac:dyDescent="0.25">
      <c r="A93" s="1" t="s">
        <v>328</v>
      </c>
      <c r="D93" s="86"/>
      <c r="E93" s="69"/>
      <c r="F93" s="69"/>
      <c r="G93" s="69"/>
    </row>
    <row r="96" spans="1:7" ht="15.75" x14ac:dyDescent="0.25">
      <c r="A96" s="133" t="s">
        <v>41</v>
      </c>
      <c r="B96" s="134"/>
      <c r="C96" s="134"/>
      <c r="D96" s="134"/>
      <c r="E96" s="134"/>
      <c r="F96" s="134"/>
      <c r="G96" s="135"/>
    </row>
    <row r="98" spans="1:7" ht="18.75" customHeight="1" x14ac:dyDescent="0.25">
      <c r="A98" s="1" t="s">
        <v>307</v>
      </c>
      <c r="D98" s="3"/>
    </row>
    <row r="99" spans="1:7" ht="18.75" customHeight="1" x14ac:dyDescent="0.25">
      <c r="A99" s="1" t="s">
        <v>308</v>
      </c>
    </row>
    <row r="100" spans="1:7" ht="18.75" customHeight="1" x14ac:dyDescent="0.25">
      <c r="A100" s="1" t="s">
        <v>46</v>
      </c>
      <c r="C100" s="3"/>
    </row>
    <row r="101" spans="1:7" ht="18.75" customHeight="1" x14ac:dyDescent="0.25">
      <c r="A101" s="1" t="s">
        <v>47</v>
      </c>
      <c r="B101" s="138"/>
      <c r="C101" s="138"/>
      <c r="D101" s="155" t="s">
        <v>57</v>
      </c>
      <c r="E101" s="155"/>
      <c r="F101" s="138"/>
      <c r="G101" s="138"/>
    </row>
    <row r="103" spans="1:7" x14ac:dyDescent="0.25">
      <c r="A103" s="1" t="s">
        <v>58</v>
      </c>
      <c r="D103" s="3"/>
    </row>
    <row r="104" spans="1:7" x14ac:dyDescent="0.25">
      <c r="A104" s="1" t="s">
        <v>59</v>
      </c>
      <c r="E104" s="1" t="s">
        <v>16</v>
      </c>
      <c r="F104" s="3"/>
    </row>
    <row r="105" spans="1:7" ht="15" customHeight="1" x14ac:dyDescent="0.25"/>
    <row r="106" spans="1:7" x14ac:dyDescent="0.25">
      <c r="A106" s="139" t="s">
        <v>338</v>
      </c>
      <c r="B106" s="139"/>
      <c r="C106" s="139"/>
      <c r="D106" s="139"/>
      <c r="E106" s="139"/>
      <c r="F106" s="139"/>
      <c r="G106" s="139"/>
    </row>
    <row r="107" spans="1:7" x14ac:dyDescent="0.25">
      <c r="A107" s="139"/>
      <c r="B107" s="139"/>
      <c r="C107" s="139"/>
      <c r="D107" s="139"/>
      <c r="E107" s="139"/>
      <c r="F107" s="139"/>
      <c r="G107" s="139"/>
    </row>
    <row r="108" spans="1:7" x14ac:dyDescent="0.25">
      <c r="A108" s="139"/>
      <c r="B108" s="139"/>
      <c r="C108" s="139"/>
      <c r="D108" s="139"/>
      <c r="E108" s="139"/>
      <c r="F108" s="139"/>
      <c r="G108" s="139"/>
    </row>
    <row r="110" spans="1:7" x14ac:dyDescent="0.25">
      <c r="A110" s="1" t="s">
        <v>60</v>
      </c>
      <c r="C110" s="3"/>
      <c r="E110" s="3"/>
    </row>
    <row r="111" spans="1:7" x14ac:dyDescent="0.25">
      <c r="C111" s="3"/>
      <c r="E111" s="3"/>
    </row>
    <row r="113" spans="1:7" x14ac:dyDescent="0.25">
      <c r="E113" s="84"/>
      <c r="F113" s="84"/>
      <c r="G113" s="84"/>
    </row>
    <row r="114" spans="1:7" x14ac:dyDescent="0.25">
      <c r="A114" s="1" t="s">
        <v>75</v>
      </c>
      <c r="D114" s="138"/>
      <c r="E114" s="138"/>
    </row>
    <row r="115" spans="1:7" x14ac:dyDescent="0.25">
      <c r="A115" s="1" t="s">
        <v>77</v>
      </c>
    </row>
    <row r="120" spans="1:7" x14ac:dyDescent="0.25">
      <c r="A120" s="1" t="s">
        <v>298</v>
      </c>
      <c r="E120" s="138"/>
      <c r="F120" s="138"/>
    </row>
    <row r="122" spans="1:7" x14ac:dyDescent="0.25">
      <c r="A122" s="1" t="s">
        <v>78</v>
      </c>
    </row>
    <row r="124" spans="1:7" x14ac:dyDescent="0.25">
      <c r="A124" s="1" t="s">
        <v>79</v>
      </c>
    </row>
    <row r="126" spans="1:7" x14ac:dyDescent="0.25">
      <c r="A126" s="1" t="s">
        <v>80</v>
      </c>
    </row>
    <row r="128" spans="1:7" x14ac:dyDescent="0.25">
      <c r="A128" s="1" t="s">
        <v>81</v>
      </c>
    </row>
    <row r="129" spans="1:7" x14ac:dyDescent="0.25">
      <c r="A129" s="1" t="s">
        <v>314</v>
      </c>
      <c r="C129" s="138"/>
      <c r="D129" s="138"/>
    </row>
    <row r="131" spans="1:7" x14ac:dyDescent="0.25">
      <c r="A131" s="1" t="s">
        <v>85</v>
      </c>
    </row>
    <row r="132" spans="1:7" x14ac:dyDescent="0.25">
      <c r="A132" s="1" t="s">
        <v>86</v>
      </c>
      <c r="C132" s="3"/>
      <c r="E132" s="1" t="s">
        <v>90</v>
      </c>
      <c r="F132" s="138"/>
      <c r="G132" s="138"/>
    </row>
    <row r="134" spans="1:7" x14ac:dyDescent="0.25">
      <c r="A134" s="1" t="s">
        <v>275</v>
      </c>
    </row>
    <row r="135" spans="1:7" x14ac:dyDescent="0.25">
      <c r="A135" s="138"/>
      <c r="B135" s="138"/>
      <c r="C135" s="138"/>
      <c r="D135" s="138"/>
      <c r="E135" s="138"/>
      <c r="F135" s="138"/>
      <c r="G135" s="138"/>
    </row>
    <row r="136" spans="1:7" x14ac:dyDescent="0.25">
      <c r="A136" s="138"/>
      <c r="B136" s="138"/>
      <c r="C136" s="138"/>
      <c r="D136" s="138"/>
      <c r="E136" s="138"/>
      <c r="F136" s="138"/>
      <c r="G136" s="138"/>
    </row>
    <row r="137" spans="1:7" x14ac:dyDescent="0.25">
      <c r="A137" s="1" t="s">
        <v>346</v>
      </c>
    </row>
    <row r="138" spans="1:7" x14ac:dyDescent="0.25">
      <c r="A138" s="139" t="s">
        <v>345</v>
      </c>
      <c r="B138" s="152"/>
      <c r="C138" s="152"/>
      <c r="D138" s="152"/>
      <c r="E138" s="152"/>
      <c r="F138" s="152"/>
      <c r="G138" s="152"/>
    </row>
    <row r="139" spans="1:7" x14ac:dyDescent="0.25">
      <c r="A139" s="152"/>
      <c r="B139" s="152"/>
      <c r="C139" s="152"/>
      <c r="D139" s="152"/>
      <c r="E139" s="152"/>
      <c r="F139" s="152"/>
      <c r="G139" s="152"/>
    </row>
    <row r="140" spans="1:7" x14ac:dyDescent="0.25">
      <c r="A140" s="152"/>
      <c r="B140" s="152"/>
      <c r="C140" s="152"/>
      <c r="D140" s="152"/>
      <c r="E140" s="152"/>
      <c r="F140" s="152"/>
      <c r="G140" s="152"/>
    </row>
    <row r="141" spans="1:7" x14ac:dyDescent="0.25">
      <c r="A141" s="152"/>
      <c r="B141" s="152"/>
      <c r="C141" s="152"/>
      <c r="D141" s="152"/>
      <c r="E141" s="152"/>
      <c r="F141" s="152"/>
      <c r="G141" s="152"/>
    </row>
    <row r="142" spans="1:7" x14ac:dyDescent="0.25">
      <c r="A142" s="152"/>
      <c r="B142" s="152"/>
      <c r="C142" s="152"/>
      <c r="D142" s="152"/>
      <c r="E142" s="152"/>
      <c r="F142" s="152"/>
      <c r="G142" s="152"/>
    </row>
    <row r="143" spans="1:7" x14ac:dyDescent="0.25">
      <c r="A143" s="152"/>
      <c r="B143" s="152"/>
      <c r="C143" s="152"/>
      <c r="D143" s="152"/>
      <c r="E143" s="152"/>
      <c r="F143" s="152"/>
      <c r="G143" s="152"/>
    </row>
    <row r="145" spans="1:7" ht="15.75" x14ac:dyDescent="0.25">
      <c r="A145" s="133" t="s">
        <v>94</v>
      </c>
      <c r="B145" s="134"/>
      <c r="C145" s="134"/>
      <c r="D145" s="134"/>
      <c r="E145" s="134"/>
      <c r="F145" s="134"/>
      <c r="G145" s="135"/>
    </row>
    <row r="146" spans="1:7" x14ac:dyDescent="0.25">
      <c r="A146" s="153" t="s">
        <v>95</v>
      </c>
      <c r="B146" s="153"/>
      <c r="C146" s="153"/>
      <c r="D146" s="153"/>
      <c r="E146" s="153"/>
      <c r="F146" s="153"/>
      <c r="G146" s="153"/>
    </row>
    <row r="148" spans="1:7" x14ac:dyDescent="0.25">
      <c r="A148" s="1" t="s">
        <v>96</v>
      </c>
      <c r="B148" s="3"/>
      <c r="D148" s="4" t="s">
        <v>99</v>
      </c>
      <c r="E148" s="3"/>
      <c r="F148" s="4" t="s">
        <v>165</v>
      </c>
      <c r="G148" s="3"/>
    </row>
    <row r="149" spans="1:7" x14ac:dyDescent="0.25">
      <c r="A149" s="1" t="s">
        <v>97</v>
      </c>
      <c r="B149" s="3"/>
      <c r="D149" s="4"/>
    </row>
    <row r="150" spans="1:7" x14ac:dyDescent="0.25">
      <c r="A150" s="1" t="s">
        <v>98</v>
      </c>
      <c r="B150" s="3"/>
      <c r="D150" s="4" t="s">
        <v>99</v>
      </c>
      <c r="E150" s="3"/>
    </row>
    <row r="151" spans="1:7" x14ac:dyDescent="0.25">
      <c r="A151" s="1" t="s">
        <v>100</v>
      </c>
      <c r="B151" s="3"/>
      <c r="D151" s="4" t="s">
        <v>99</v>
      </c>
      <c r="E151" s="3"/>
    </row>
    <row r="152" spans="1:7" x14ac:dyDescent="0.25">
      <c r="A152" s="1" t="s">
        <v>101</v>
      </c>
      <c r="B152" s="3"/>
      <c r="D152" s="4" t="s">
        <v>280</v>
      </c>
      <c r="E152" s="3"/>
      <c r="F152" s="4" t="s">
        <v>288</v>
      </c>
      <c r="G152" s="52">
        <f>5*E152</f>
        <v>0</v>
      </c>
    </row>
    <row r="153" spans="1:7" x14ac:dyDescent="0.25">
      <c r="A153" s="1" t="s">
        <v>102</v>
      </c>
      <c r="B153" s="3"/>
      <c r="D153" s="4" t="s">
        <v>280</v>
      </c>
      <c r="E153" s="3">
        <v>0</v>
      </c>
      <c r="F153" s="4" t="s">
        <v>288</v>
      </c>
      <c r="G153" s="52">
        <f>5*E153</f>
        <v>0</v>
      </c>
    </row>
    <row r="155" spans="1:7" x14ac:dyDescent="0.25">
      <c r="A155" s="139" t="s">
        <v>103</v>
      </c>
      <c r="B155" s="152"/>
      <c r="C155" s="152"/>
      <c r="D155" s="152"/>
      <c r="E155" s="152"/>
      <c r="F155" s="152"/>
      <c r="G155" s="152"/>
    </row>
    <row r="156" spans="1:7" x14ac:dyDescent="0.25">
      <c r="A156" s="152"/>
      <c r="B156" s="152"/>
      <c r="C156" s="152"/>
      <c r="D156" s="152"/>
      <c r="E156" s="152"/>
      <c r="F156" s="152"/>
      <c r="G156" s="152"/>
    </row>
    <row r="157" spans="1:7" x14ac:dyDescent="0.25">
      <c r="A157" s="152"/>
      <c r="B157" s="152"/>
      <c r="C157" s="152"/>
      <c r="D157" s="152"/>
      <c r="E157" s="152"/>
      <c r="F157" s="152"/>
      <c r="G157" s="152"/>
    </row>
    <row r="158" spans="1:7" x14ac:dyDescent="0.25">
      <c r="A158" s="153" t="s">
        <v>104</v>
      </c>
      <c r="B158" s="153"/>
      <c r="C158" s="153"/>
      <c r="D158" s="153"/>
      <c r="E158" s="153"/>
      <c r="F158" s="153"/>
      <c r="G158" s="153"/>
    </row>
    <row r="160" spans="1:7" x14ac:dyDescent="0.25">
      <c r="A160" s="1" t="s">
        <v>105</v>
      </c>
      <c r="B160" s="3"/>
      <c r="D160" s="93" t="s">
        <v>327</v>
      </c>
      <c r="E160" s="3"/>
    </row>
    <row r="161" spans="1:7" x14ac:dyDescent="0.25">
      <c r="A161" s="1" t="s">
        <v>106</v>
      </c>
      <c r="B161" s="3"/>
      <c r="C161" s="93" t="s">
        <v>152</v>
      </c>
      <c r="D161" s="3"/>
      <c r="E161" s="52" t="str">
        <f>IF(D161="A",15,IF(D161="B",30,IF(D161="C",45,IF(D161="D",60,IF(D161="E",75,IF(D161="F",90,IF(D161="G",120,"")))))))</f>
        <v/>
      </c>
    </row>
    <row r="162" spans="1:7" x14ac:dyDescent="0.25">
      <c r="A162" s="1" t="s">
        <v>107</v>
      </c>
      <c r="B162" s="3"/>
      <c r="C162" s="4" t="s">
        <v>280</v>
      </c>
      <c r="D162" s="3"/>
      <c r="E162" s="52">
        <f>5*D162</f>
        <v>0</v>
      </c>
    </row>
    <row r="163" spans="1:7" x14ac:dyDescent="0.25">
      <c r="A163" s="1" t="s">
        <v>325</v>
      </c>
      <c r="B163" s="3"/>
      <c r="C163" s="1" t="s">
        <v>326</v>
      </c>
      <c r="D163" s="3"/>
    </row>
    <row r="164" spans="1:7" x14ac:dyDescent="0.25">
      <c r="A164" s="1" t="s">
        <v>108</v>
      </c>
      <c r="B164" s="3"/>
    </row>
    <row r="166" spans="1:7" x14ac:dyDescent="0.25">
      <c r="A166" s="139" t="s">
        <v>103</v>
      </c>
      <c r="B166" s="152"/>
      <c r="C166" s="152"/>
      <c r="D166" s="152"/>
      <c r="E166" s="152"/>
      <c r="F166" s="152"/>
      <c r="G166" s="152"/>
    </row>
    <row r="167" spans="1:7" x14ac:dyDescent="0.25">
      <c r="A167" s="152"/>
      <c r="B167" s="152"/>
      <c r="C167" s="152"/>
      <c r="D167" s="152"/>
      <c r="E167" s="152"/>
      <c r="F167" s="152"/>
      <c r="G167" s="152"/>
    </row>
    <row r="168" spans="1:7" x14ac:dyDescent="0.25">
      <c r="A168" s="152"/>
      <c r="B168" s="152"/>
      <c r="C168" s="152"/>
      <c r="D168" s="152"/>
      <c r="E168" s="152"/>
      <c r="F168" s="152"/>
      <c r="G168" s="152"/>
    </row>
    <row r="169" spans="1:7" x14ac:dyDescent="0.25">
      <c r="A169" s="153" t="s">
        <v>109</v>
      </c>
      <c r="B169" s="153"/>
      <c r="C169" s="153"/>
      <c r="D169" s="153"/>
      <c r="E169" s="153"/>
      <c r="F169" s="153"/>
      <c r="G169" s="153"/>
    </row>
    <row r="171" spans="1:7" x14ac:dyDescent="0.25">
      <c r="A171" s="1" t="s">
        <v>110</v>
      </c>
      <c r="B171" s="3"/>
      <c r="D171" s="93" t="s">
        <v>252</v>
      </c>
      <c r="E171" s="3"/>
    </row>
    <row r="172" spans="1:7" x14ac:dyDescent="0.25">
      <c r="A172" s="1" t="s">
        <v>111</v>
      </c>
      <c r="B172" s="3"/>
    </row>
    <row r="173" spans="1:7" x14ac:dyDescent="0.25">
      <c r="A173" s="1" t="s">
        <v>331</v>
      </c>
      <c r="B173" s="3"/>
    </row>
    <row r="174" spans="1:7" x14ac:dyDescent="0.25">
      <c r="A174" s="1" t="s">
        <v>112</v>
      </c>
      <c r="B174" s="3"/>
    </row>
    <row r="175" spans="1:7" x14ac:dyDescent="0.25">
      <c r="A175" s="1" t="s">
        <v>113</v>
      </c>
      <c r="B175" s="3"/>
    </row>
    <row r="176" spans="1:7" x14ac:dyDescent="0.25">
      <c r="A176" s="1" t="s">
        <v>114</v>
      </c>
      <c r="B176" s="3"/>
      <c r="C176" s="4" t="s">
        <v>143</v>
      </c>
      <c r="D176" s="3"/>
    </row>
    <row r="177" spans="1:7" x14ac:dyDescent="0.25">
      <c r="A177" s="1" t="s">
        <v>115</v>
      </c>
      <c r="B177" s="3"/>
      <c r="C177" s="4" t="s">
        <v>99</v>
      </c>
      <c r="D177" s="3"/>
      <c r="E177" s="1" t="s">
        <v>148</v>
      </c>
      <c r="F177" s="3"/>
      <c r="G177" s="52" t="str">
        <f>IF(F177="A",13,IF(F177="B",25,IF(F177="C",38,IF(F177="D",50,IF(F177="E",63,IF(F177="F",75,IF(F177="G",90,"")))))))</f>
        <v/>
      </c>
    </row>
    <row r="178" spans="1:7" x14ac:dyDescent="0.25">
      <c r="A178" s="1" t="s">
        <v>320</v>
      </c>
      <c r="B178" s="3"/>
      <c r="E178" s="1" t="s">
        <v>321</v>
      </c>
      <c r="F178" s="3"/>
      <c r="G178" s="52" t="str">
        <f>IF(F178="A",15,IF(F178="B",30,IF(F178="C",40,IF(F178="D",50,IF(F178="E",60,IF(F178="F",70,IF(F178="G",80,"")))))))</f>
        <v/>
      </c>
    </row>
    <row r="180" spans="1:7" x14ac:dyDescent="0.25">
      <c r="A180" s="139" t="s">
        <v>103</v>
      </c>
      <c r="B180" s="152"/>
      <c r="C180" s="152"/>
      <c r="D180" s="152"/>
      <c r="E180" s="152"/>
      <c r="F180" s="152"/>
      <c r="G180" s="152"/>
    </row>
    <row r="181" spans="1:7" x14ac:dyDescent="0.25">
      <c r="A181" s="152"/>
      <c r="B181" s="152"/>
      <c r="C181" s="152"/>
      <c r="D181" s="152"/>
      <c r="E181" s="152"/>
      <c r="F181" s="152"/>
      <c r="G181" s="152"/>
    </row>
    <row r="182" spans="1:7" x14ac:dyDescent="0.25">
      <c r="A182" s="152"/>
      <c r="B182" s="152"/>
      <c r="C182" s="152"/>
      <c r="D182" s="152"/>
      <c r="E182" s="152"/>
      <c r="F182" s="152"/>
      <c r="G182" s="152"/>
    </row>
    <row r="184" spans="1:7" x14ac:dyDescent="0.25">
      <c r="A184" s="153" t="s">
        <v>116</v>
      </c>
      <c r="B184" s="153"/>
      <c r="C184" s="153"/>
      <c r="D184" s="153"/>
      <c r="E184" s="153"/>
      <c r="F184" s="153"/>
      <c r="G184" s="153"/>
    </row>
    <row r="186" spans="1:7" x14ac:dyDescent="0.25">
      <c r="A186" s="1" t="s">
        <v>118</v>
      </c>
      <c r="B186" s="3"/>
      <c r="C186" s="4" t="s">
        <v>99</v>
      </c>
      <c r="D186" s="3"/>
      <c r="E186" s="1" t="s">
        <v>144</v>
      </c>
      <c r="F186" s="3"/>
      <c r="G186" s="52" t="str">
        <f>IF(F186="A",30,IF(F186="B",60,IF(F186="C",80,IF(F186="D",125,""))))</f>
        <v/>
      </c>
    </row>
    <row r="187" spans="1:7" x14ac:dyDescent="0.25">
      <c r="A187" s="1" t="s">
        <v>117</v>
      </c>
      <c r="B187" s="3"/>
      <c r="E187" s="1" t="s">
        <v>150</v>
      </c>
      <c r="F187" s="3"/>
      <c r="G187" s="52" t="str">
        <f>IF(F187="A",50,IF(F187="B",100,IF(F187="C",150,IF(F187="D",200,IF(F187="E",250,IF(F187="F",300,IF(F187="G",350,"")))))))</f>
        <v/>
      </c>
    </row>
    <row r="188" spans="1:7" x14ac:dyDescent="0.25">
      <c r="A188" s="1" t="s">
        <v>119</v>
      </c>
      <c r="B188" s="3"/>
      <c r="E188" s="1" t="s">
        <v>283</v>
      </c>
      <c r="F188" s="3"/>
      <c r="G188" s="52" t="str">
        <f>IF(F188="A",50,IF(F188="B",100,IF(F188="C",150,IF(F188="D",200,IF(F188="E",250,IF(F188="F",300,IF(F188="G",350,"")))))))</f>
        <v/>
      </c>
    </row>
    <row r="189" spans="1:7" x14ac:dyDescent="0.25">
      <c r="A189" s="1" t="s">
        <v>120</v>
      </c>
      <c r="B189" s="3"/>
      <c r="E189" s="1" t="s">
        <v>284</v>
      </c>
      <c r="F189" s="3"/>
      <c r="G189" s="52" t="str">
        <f>IF(F189="A",50,IF(F189="B",100,IF(F189="C",150,IF(F189="D",200,IF(F189="E",250,IF(F189="F",300,IF(F189="G",350,"")))))))</f>
        <v/>
      </c>
    </row>
    <row r="191" spans="1:7" x14ac:dyDescent="0.25">
      <c r="A191" s="139" t="s">
        <v>103</v>
      </c>
      <c r="B191" s="152"/>
      <c r="C191" s="152"/>
      <c r="D191" s="152"/>
      <c r="E191" s="152"/>
      <c r="F191" s="152"/>
      <c r="G191" s="152"/>
    </row>
    <row r="192" spans="1:7" x14ac:dyDescent="0.25">
      <c r="A192" s="152"/>
      <c r="B192" s="152"/>
      <c r="C192" s="152"/>
      <c r="D192" s="152"/>
      <c r="E192" s="152"/>
      <c r="F192" s="152"/>
      <c r="G192" s="152"/>
    </row>
    <row r="193" spans="1:7" x14ac:dyDescent="0.25">
      <c r="A193" s="152"/>
      <c r="B193" s="152"/>
      <c r="C193" s="152"/>
      <c r="D193" s="152"/>
      <c r="E193" s="152"/>
      <c r="F193" s="152"/>
      <c r="G193" s="152"/>
    </row>
    <row r="194" spans="1:7" x14ac:dyDescent="0.25">
      <c r="A194" s="9"/>
      <c r="B194" s="9"/>
      <c r="C194" s="9"/>
      <c r="D194" s="9"/>
      <c r="E194" s="9"/>
      <c r="F194" s="9"/>
      <c r="G194" s="9"/>
    </row>
    <row r="195" spans="1:7" x14ac:dyDescent="0.25">
      <c r="A195" s="153" t="s">
        <v>121</v>
      </c>
      <c r="B195" s="153"/>
      <c r="C195" s="153"/>
      <c r="D195" s="153"/>
      <c r="E195" s="153"/>
      <c r="F195" s="153"/>
      <c r="G195" s="153"/>
    </row>
    <row r="197" spans="1:7" x14ac:dyDescent="0.25">
      <c r="A197" s="1" t="s">
        <v>122</v>
      </c>
      <c r="B197" s="3"/>
      <c r="C197" s="1" t="s">
        <v>322</v>
      </c>
      <c r="D197" s="3"/>
      <c r="E197" s="1" t="s">
        <v>324</v>
      </c>
      <c r="F197" s="3"/>
    </row>
    <row r="198" spans="1:7" x14ac:dyDescent="0.25">
      <c r="A198" s="1" t="s">
        <v>123</v>
      </c>
      <c r="B198" s="3"/>
      <c r="C198" s="1" t="s">
        <v>323</v>
      </c>
      <c r="D198" s="3"/>
      <c r="E198" s="1" t="s">
        <v>147</v>
      </c>
      <c r="F198" s="3"/>
      <c r="G198" s="52" t="str">
        <f>IF(F198="A",10,IF(F198="B",20,IF(F198="C",30,IF(F198="D",40,IF(F198="E",50,IF(F198="F",60,IF(F198="G",70,"")))))))</f>
        <v/>
      </c>
    </row>
    <row r="199" spans="1:7" x14ac:dyDescent="0.25">
      <c r="A199" s="1" t="s">
        <v>124</v>
      </c>
      <c r="B199" s="3"/>
      <c r="E199" s="1" t="s">
        <v>147</v>
      </c>
      <c r="F199" s="3"/>
      <c r="G199" s="52" t="str">
        <f>IF(F199="A",25,IF(F199="B",50,IF(F199="C",75,IF(F199="D",100,IF(F199="E",125,IF(F199="F",150,IF(F199="G",175,"")))))))</f>
        <v/>
      </c>
    </row>
    <row r="200" spans="1:7" x14ac:dyDescent="0.25">
      <c r="A200" s="1" t="s">
        <v>125</v>
      </c>
      <c r="B200" s="3"/>
      <c r="E200" s="1" t="s">
        <v>149</v>
      </c>
      <c r="F200" s="3"/>
      <c r="G200" s="52" t="str">
        <f>IF(F200="A",50,IF(F200="B",100,IF(F200="C",138,IF(F200="D",175,IF(F200="E",228,IF(F200="F",280,IF(F200="G",330,"")))))))</f>
        <v/>
      </c>
    </row>
    <row r="202" spans="1:7" x14ac:dyDescent="0.25">
      <c r="A202" s="139" t="s">
        <v>103</v>
      </c>
      <c r="B202" s="152"/>
      <c r="C202" s="152"/>
      <c r="D202" s="152"/>
      <c r="E202" s="152"/>
      <c r="F202" s="152"/>
      <c r="G202" s="152"/>
    </row>
    <row r="203" spans="1:7" x14ac:dyDescent="0.25">
      <c r="A203" s="152"/>
      <c r="B203" s="152"/>
      <c r="C203" s="152"/>
      <c r="D203" s="152"/>
      <c r="E203" s="152"/>
      <c r="F203" s="152"/>
      <c r="G203" s="152"/>
    </row>
    <row r="204" spans="1:7" x14ac:dyDescent="0.25">
      <c r="A204" s="152"/>
      <c r="B204" s="152"/>
      <c r="C204" s="152"/>
      <c r="D204" s="152"/>
      <c r="E204" s="152"/>
      <c r="F204" s="152"/>
      <c r="G204" s="152"/>
    </row>
    <row r="206" spans="1:7" x14ac:dyDescent="0.25">
      <c r="A206" s="153" t="s">
        <v>126</v>
      </c>
      <c r="B206" s="153"/>
      <c r="C206" s="153"/>
      <c r="D206" s="153"/>
      <c r="E206" s="153"/>
      <c r="F206" s="153"/>
      <c r="G206" s="153"/>
    </row>
    <row r="208" spans="1:7" x14ac:dyDescent="0.25">
      <c r="A208" s="1" t="s">
        <v>127</v>
      </c>
      <c r="B208" s="3"/>
    </row>
    <row r="209" spans="1:7" x14ac:dyDescent="0.25">
      <c r="A209" s="1" t="s">
        <v>128</v>
      </c>
      <c r="B209" s="3"/>
      <c r="E209" s="1" t="s">
        <v>287</v>
      </c>
      <c r="F209" s="3"/>
      <c r="G209" s="52">
        <f>20*F209</f>
        <v>0</v>
      </c>
    </row>
    <row r="210" spans="1:7" x14ac:dyDescent="0.25">
      <c r="A210" s="1" t="s">
        <v>129</v>
      </c>
      <c r="B210" s="3"/>
      <c r="C210" s="4" t="s">
        <v>99</v>
      </c>
      <c r="D210" s="3"/>
      <c r="E210" s="1" t="s">
        <v>153</v>
      </c>
      <c r="F210" s="3"/>
      <c r="G210" s="52">
        <f>10*F210</f>
        <v>0</v>
      </c>
    </row>
    <row r="211" spans="1:7" x14ac:dyDescent="0.25">
      <c r="A211" s="1" t="s">
        <v>310</v>
      </c>
      <c r="B211" s="3"/>
    </row>
    <row r="212" spans="1:7" x14ac:dyDescent="0.25">
      <c r="A212" s="1" t="s">
        <v>295</v>
      </c>
      <c r="B212" s="3"/>
      <c r="C212" s="4" t="s">
        <v>99</v>
      </c>
      <c r="D212" s="3"/>
      <c r="E212" s="1" t="s">
        <v>146</v>
      </c>
      <c r="F212" s="3"/>
      <c r="G212" s="52" t="str">
        <f>IF(F212="A",10,IF(F212="B",30,""))</f>
        <v/>
      </c>
    </row>
    <row r="214" spans="1:7" ht="15" customHeight="1" x14ac:dyDescent="0.25">
      <c r="A214" s="139" t="s">
        <v>103</v>
      </c>
      <c r="B214" s="139"/>
      <c r="C214" s="139"/>
      <c r="D214" s="139"/>
      <c r="E214" s="139"/>
      <c r="F214" s="139"/>
      <c r="G214" s="139"/>
    </row>
    <row r="215" spans="1:7" x14ac:dyDescent="0.25">
      <c r="A215" s="139"/>
      <c r="B215" s="139"/>
      <c r="C215" s="139"/>
      <c r="D215" s="139"/>
      <c r="E215" s="139"/>
      <c r="F215" s="139"/>
      <c r="G215" s="139"/>
    </row>
    <row r="216" spans="1:7" x14ac:dyDescent="0.25">
      <c r="A216" s="139"/>
      <c r="B216" s="139"/>
      <c r="C216" s="139"/>
      <c r="D216" s="139"/>
      <c r="E216" s="139"/>
      <c r="F216" s="139"/>
      <c r="G216" s="139"/>
    </row>
    <row r="217" spans="1:7" x14ac:dyDescent="0.25">
      <c r="A217" s="139"/>
      <c r="B217" s="139"/>
      <c r="C217" s="139"/>
      <c r="D217" s="139"/>
      <c r="E217" s="139"/>
      <c r="F217" s="139"/>
      <c r="G217" s="139"/>
    </row>
    <row r="218" spans="1:7" x14ac:dyDescent="0.25">
      <c r="A218" s="153" t="s">
        <v>131</v>
      </c>
      <c r="B218" s="153"/>
      <c r="C218" s="153"/>
      <c r="D218" s="153"/>
      <c r="E218" s="153"/>
      <c r="F218" s="153"/>
      <c r="G218" s="153"/>
    </row>
    <row r="220" spans="1:7" x14ac:dyDescent="0.25">
      <c r="A220" s="1" t="s">
        <v>132</v>
      </c>
      <c r="B220" s="3"/>
      <c r="C220" s="1" t="s">
        <v>99</v>
      </c>
      <c r="D220" s="3"/>
      <c r="E220" s="1" t="s">
        <v>151</v>
      </c>
      <c r="F220" s="3"/>
      <c r="G220" s="52" t="str">
        <f>IF(F220="A",10,IF(F220="B",20,IF(F220="C",30,"")))</f>
        <v/>
      </c>
    </row>
    <row r="221" spans="1:7" x14ac:dyDescent="0.25">
      <c r="C221" s="1" t="s">
        <v>133</v>
      </c>
      <c r="D221" s="3"/>
    </row>
    <row r="222" spans="1:7" x14ac:dyDescent="0.25">
      <c r="A222" s="1" t="s">
        <v>134</v>
      </c>
      <c r="B222" s="3"/>
      <c r="C222" s="1" t="s">
        <v>133</v>
      </c>
      <c r="D222" s="3"/>
      <c r="E222" s="1" t="s">
        <v>145</v>
      </c>
      <c r="F222" s="3"/>
      <c r="G222" s="52" t="str">
        <f>IF(F222="A",5,IF(F222="B",10,IF(F222="C",15,IF(F222="D",20,IF(F222="E",25,IF(F222="F",30,IF(F222="G",35,"")))))))</f>
        <v/>
      </c>
    </row>
    <row r="223" spans="1:7" x14ac:dyDescent="0.25">
      <c r="A223" s="1" t="s">
        <v>135</v>
      </c>
      <c r="B223" s="3"/>
      <c r="C223" s="1" t="s">
        <v>99</v>
      </c>
      <c r="D223" s="3"/>
    </row>
    <row r="224" spans="1:7" x14ac:dyDescent="0.25">
      <c r="C224" s="1" t="s">
        <v>133</v>
      </c>
      <c r="D224" s="3"/>
    </row>
    <row r="225" spans="1:7" x14ac:dyDescent="0.25">
      <c r="A225" s="1" t="s">
        <v>136</v>
      </c>
      <c r="B225" s="3"/>
      <c r="C225" s="1" t="s">
        <v>133</v>
      </c>
      <c r="D225" s="3"/>
    </row>
    <row r="226" spans="1:7" x14ac:dyDescent="0.25">
      <c r="A226" s="1" t="s">
        <v>270</v>
      </c>
      <c r="B226" s="3"/>
      <c r="C226" s="1" t="s">
        <v>133</v>
      </c>
      <c r="D226" s="3"/>
    </row>
    <row r="227" spans="1:7" x14ac:dyDescent="0.25">
      <c r="A227" s="1" t="s">
        <v>137</v>
      </c>
      <c r="B227" s="3"/>
    </row>
    <row r="229" spans="1:7" ht="15" customHeight="1" x14ac:dyDescent="0.25">
      <c r="A229" s="139" t="s">
        <v>103</v>
      </c>
      <c r="B229" s="139"/>
      <c r="C229" s="139"/>
      <c r="D229" s="139"/>
      <c r="E229" s="139"/>
      <c r="F229" s="139"/>
      <c r="G229" s="139"/>
    </row>
    <row r="230" spans="1:7" x14ac:dyDescent="0.25">
      <c r="A230" s="139"/>
      <c r="B230" s="139"/>
      <c r="C230" s="139"/>
      <c r="D230" s="139"/>
      <c r="E230" s="139"/>
      <c r="F230" s="139"/>
      <c r="G230" s="139"/>
    </row>
    <row r="231" spans="1:7" x14ac:dyDescent="0.25">
      <c r="A231" s="139"/>
      <c r="B231" s="139"/>
      <c r="C231" s="139"/>
      <c r="D231" s="139"/>
      <c r="E231" s="139"/>
      <c r="F231" s="139"/>
      <c r="G231" s="139"/>
    </row>
    <row r="232" spans="1:7" x14ac:dyDescent="0.25">
      <c r="A232" s="139"/>
      <c r="B232" s="139"/>
      <c r="C232" s="139"/>
      <c r="D232" s="139"/>
      <c r="E232" s="139"/>
      <c r="F232" s="139"/>
      <c r="G232" s="139"/>
    </row>
    <row r="233" spans="1:7" x14ac:dyDescent="0.25">
      <c r="A233" s="153" t="s">
        <v>138</v>
      </c>
      <c r="B233" s="153"/>
      <c r="C233" s="153"/>
      <c r="D233" s="153"/>
      <c r="E233" s="153"/>
      <c r="F233" s="153"/>
      <c r="G233" s="153"/>
    </row>
    <row r="234" spans="1:7" x14ac:dyDescent="0.25">
      <c r="A234" s="1" t="s">
        <v>261</v>
      </c>
      <c r="B234" s="3"/>
    </row>
    <row r="235" spans="1:7" x14ac:dyDescent="0.25">
      <c r="A235" s="1" t="s">
        <v>289</v>
      </c>
      <c r="B235" s="3"/>
      <c r="C235" s="107" t="s">
        <v>334</v>
      </c>
      <c r="D235" s="3"/>
      <c r="E235" s="1" t="s">
        <v>335</v>
      </c>
      <c r="F235" s="3"/>
      <c r="G235" s="52" t="str">
        <f>IF(F235="A",50,IF(F235="B",100,IF(F235="C",155,IF(F235="D",210,IF(F235="E",270,IF(F235="F",430,IF(F235="G",500,"")))))))</f>
        <v/>
      </c>
    </row>
    <row r="236" spans="1:7" x14ac:dyDescent="0.25">
      <c r="A236" s="1" t="s">
        <v>139</v>
      </c>
      <c r="B236" s="3"/>
      <c r="D236" s="106"/>
    </row>
    <row r="237" spans="1:7" x14ac:dyDescent="0.25">
      <c r="A237" s="1" t="s">
        <v>140</v>
      </c>
      <c r="B237" s="3"/>
    </row>
    <row r="238" spans="1:7" x14ac:dyDescent="0.25">
      <c r="A238" s="1" t="s">
        <v>141</v>
      </c>
      <c r="B238" s="3"/>
    </row>
    <row r="239" spans="1:7" x14ac:dyDescent="0.25">
      <c r="A239" s="1" t="s">
        <v>142</v>
      </c>
      <c r="B239" s="3"/>
    </row>
    <row r="241" spans="1:7" ht="15" customHeight="1" x14ac:dyDescent="0.25">
      <c r="A241" s="139" t="s">
        <v>103</v>
      </c>
      <c r="B241" s="139"/>
      <c r="C241" s="139"/>
      <c r="D241" s="139"/>
      <c r="E241" s="139"/>
      <c r="F241" s="139"/>
      <c r="G241" s="139"/>
    </row>
    <row r="242" spans="1:7" x14ac:dyDescent="0.25">
      <c r="A242" s="139"/>
      <c r="B242" s="139"/>
      <c r="C242" s="139"/>
      <c r="D242" s="139"/>
      <c r="E242" s="139"/>
      <c r="F242" s="139"/>
      <c r="G242" s="139"/>
    </row>
    <row r="243" spans="1:7" x14ac:dyDescent="0.25">
      <c r="A243" s="139"/>
      <c r="B243" s="139"/>
      <c r="C243" s="139"/>
      <c r="D243" s="139"/>
      <c r="E243" s="139"/>
      <c r="F243" s="139"/>
      <c r="G243" s="139"/>
    </row>
    <row r="244" spans="1:7" x14ac:dyDescent="0.25">
      <c r="A244" s="77"/>
      <c r="B244" s="77"/>
      <c r="C244" s="77"/>
      <c r="D244" s="77"/>
      <c r="E244" s="77"/>
      <c r="F244" s="77"/>
      <c r="G244" s="77"/>
    </row>
    <row r="245" spans="1:7" x14ac:dyDescent="0.25">
      <c r="A245" s="77"/>
      <c r="B245" s="77"/>
      <c r="C245" s="77"/>
      <c r="D245" s="77"/>
      <c r="E245" s="77"/>
      <c r="F245" s="77"/>
      <c r="G245" s="77"/>
    </row>
    <row r="246" spans="1:7" x14ac:dyDescent="0.25">
      <c r="A246" s="88" t="s">
        <v>315</v>
      </c>
      <c r="B246" s="77"/>
      <c r="C246" s="77"/>
      <c r="D246" s="77"/>
      <c r="E246" s="77"/>
      <c r="F246" s="77"/>
      <c r="G246" s="77"/>
    </row>
    <row r="247" spans="1:7" x14ac:dyDescent="0.25">
      <c r="A247" s="156"/>
      <c r="B247" s="156"/>
      <c r="C247" s="156"/>
      <c r="D247" s="156"/>
      <c r="E247" s="156"/>
      <c r="F247" s="156"/>
      <c r="G247" s="156"/>
    </row>
    <row r="248" spans="1:7" x14ac:dyDescent="0.25">
      <c r="A248" s="156"/>
      <c r="B248" s="156"/>
      <c r="C248" s="156"/>
      <c r="D248" s="156"/>
      <c r="E248" s="156"/>
      <c r="F248" s="156"/>
      <c r="G248" s="156"/>
    </row>
    <row r="249" spans="1:7" x14ac:dyDescent="0.25">
      <c r="A249" s="156"/>
      <c r="B249" s="156"/>
      <c r="C249" s="156"/>
      <c r="D249" s="156"/>
      <c r="E249" s="156"/>
      <c r="F249" s="156"/>
      <c r="G249" s="156"/>
    </row>
    <row r="250" spans="1:7" x14ac:dyDescent="0.25">
      <c r="A250" s="156"/>
      <c r="B250" s="156"/>
      <c r="C250" s="156"/>
      <c r="D250" s="156"/>
      <c r="E250" s="156"/>
      <c r="F250" s="156"/>
      <c r="G250" s="156"/>
    </row>
    <row r="251" spans="1:7" x14ac:dyDescent="0.25">
      <c r="A251" s="156"/>
      <c r="B251" s="156"/>
      <c r="C251" s="156"/>
      <c r="D251" s="156"/>
      <c r="E251" s="156"/>
      <c r="F251" s="156"/>
      <c r="G251" s="156"/>
    </row>
    <row r="252" spans="1:7" x14ac:dyDescent="0.25">
      <c r="A252" s="77"/>
      <c r="B252" s="77"/>
      <c r="C252" s="77"/>
      <c r="D252" s="77"/>
      <c r="E252" s="77"/>
      <c r="F252" s="77"/>
      <c r="G252" s="77"/>
    </row>
    <row r="253" spans="1:7" x14ac:dyDescent="0.25">
      <c r="A253" s="88" t="s">
        <v>318</v>
      </c>
      <c r="B253" s="77"/>
      <c r="C253" s="77"/>
      <c r="D253" s="77"/>
      <c r="E253" s="77"/>
      <c r="F253" s="77"/>
      <c r="G253" s="77"/>
    </row>
    <row r="254" spans="1:7" x14ac:dyDescent="0.25">
      <c r="A254" s="156"/>
      <c r="B254" s="156"/>
      <c r="C254" s="156"/>
      <c r="D254" s="156"/>
      <c r="E254" s="156"/>
      <c r="F254" s="156"/>
      <c r="G254" s="156"/>
    </row>
    <row r="255" spans="1:7" x14ac:dyDescent="0.25">
      <c r="A255" s="156"/>
      <c r="B255" s="156"/>
      <c r="C255" s="156"/>
      <c r="D255" s="156"/>
      <c r="E255" s="156"/>
      <c r="F255" s="156"/>
      <c r="G255" s="156"/>
    </row>
    <row r="256" spans="1:7" x14ac:dyDescent="0.25">
      <c r="A256" s="156"/>
      <c r="B256" s="156"/>
      <c r="C256" s="156"/>
      <c r="D256" s="156"/>
      <c r="E256" s="156"/>
      <c r="F256" s="156"/>
      <c r="G256" s="156"/>
    </row>
    <row r="257" spans="1:7" x14ac:dyDescent="0.25">
      <c r="A257" s="156"/>
      <c r="B257" s="156"/>
      <c r="C257" s="156"/>
      <c r="D257" s="156"/>
      <c r="E257" s="156"/>
      <c r="F257" s="156"/>
      <c r="G257" s="156"/>
    </row>
    <row r="258" spans="1:7" x14ac:dyDescent="0.25">
      <c r="A258" s="77"/>
      <c r="B258" s="77"/>
      <c r="C258" s="77"/>
      <c r="D258" s="77"/>
      <c r="E258" s="77"/>
      <c r="F258" s="77"/>
      <c r="G258" s="77"/>
    </row>
    <row r="259" spans="1:7" x14ac:dyDescent="0.25">
      <c r="A259" s="88" t="s">
        <v>319</v>
      </c>
      <c r="B259" s="77"/>
      <c r="C259" s="77"/>
      <c r="D259" s="77"/>
      <c r="E259" s="91"/>
      <c r="F259" s="77"/>
      <c r="G259" s="77"/>
    </row>
    <row r="260" spans="1:7" x14ac:dyDescent="0.25">
      <c r="A260" s="85"/>
      <c r="B260" s="85"/>
      <c r="C260" s="85"/>
      <c r="D260" s="85"/>
      <c r="E260" s="85"/>
      <c r="F260" s="85"/>
      <c r="G260" s="85"/>
    </row>
    <row r="261" spans="1:7" x14ac:dyDescent="0.25">
      <c r="A261" s="85" t="s">
        <v>317</v>
      </c>
      <c r="B261" s="85"/>
      <c r="C261" s="85"/>
      <c r="D261" s="85"/>
      <c r="E261" s="85"/>
      <c r="F261" s="85"/>
      <c r="G261" s="85"/>
    </row>
    <row r="262" spans="1:7" x14ac:dyDescent="0.25">
      <c r="A262" s="156"/>
      <c r="B262" s="156"/>
      <c r="C262" s="156"/>
      <c r="D262" s="156"/>
      <c r="E262" s="156"/>
      <c r="F262" s="156"/>
      <c r="G262" s="156"/>
    </row>
    <row r="263" spans="1:7" x14ac:dyDescent="0.25">
      <c r="A263" s="156"/>
      <c r="B263" s="156"/>
      <c r="C263" s="156"/>
      <c r="D263" s="156"/>
      <c r="E263" s="156"/>
      <c r="F263" s="156"/>
      <c r="G263" s="156"/>
    </row>
    <row r="264" spans="1:7" x14ac:dyDescent="0.25">
      <c r="A264" s="156"/>
      <c r="B264" s="156"/>
      <c r="C264" s="156"/>
      <c r="D264" s="156"/>
      <c r="E264" s="156"/>
      <c r="F264" s="156"/>
      <c r="G264" s="156"/>
    </row>
    <row r="265" spans="1:7" x14ac:dyDescent="0.25">
      <c r="A265" s="156"/>
      <c r="B265" s="156"/>
      <c r="C265" s="156"/>
      <c r="D265" s="156"/>
      <c r="E265" s="156"/>
      <c r="F265" s="156"/>
      <c r="G265" s="156"/>
    </row>
    <row r="266" spans="1:7" x14ac:dyDescent="0.25">
      <c r="A266" s="90"/>
      <c r="B266" s="90"/>
      <c r="C266" s="90"/>
      <c r="D266" s="90"/>
      <c r="E266" s="90"/>
      <c r="F266" s="90"/>
      <c r="G266" s="90"/>
    </row>
    <row r="267" spans="1:7" x14ac:dyDescent="0.25">
      <c r="A267" s="90" t="s">
        <v>316</v>
      </c>
      <c r="B267" s="90"/>
      <c r="C267" s="90"/>
      <c r="D267" s="90"/>
      <c r="E267" s="90"/>
      <c r="F267" s="90"/>
      <c r="G267" s="90"/>
    </row>
    <row r="268" spans="1:7" x14ac:dyDescent="0.25">
      <c r="A268" s="156"/>
      <c r="B268" s="156"/>
      <c r="C268" s="156"/>
      <c r="D268" s="156"/>
      <c r="E268" s="156"/>
      <c r="F268" s="156"/>
      <c r="G268" s="156"/>
    </row>
    <row r="269" spans="1:7" x14ac:dyDescent="0.25">
      <c r="A269" s="156"/>
      <c r="B269" s="156"/>
      <c r="C269" s="156"/>
      <c r="D269" s="156"/>
      <c r="E269" s="156"/>
      <c r="F269" s="156"/>
      <c r="G269" s="156"/>
    </row>
    <row r="270" spans="1:7" x14ac:dyDescent="0.25">
      <c r="A270" s="156"/>
      <c r="B270" s="156"/>
      <c r="C270" s="156"/>
      <c r="D270" s="156"/>
      <c r="E270" s="156"/>
      <c r="F270" s="156"/>
      <c r="G270" s="156"/>
    </row>
    <row r="271" spans="1:7" x14ac:dyDescent="0.25">
      <c r="A271" s="156"/>
      <c r="B271" s="156"/>
      <c r="C271" s="156"/>
      <c r="D271" s="156"/>
      <c r="E271" s="156"/>
      <c r="F271" s="156"/>
      <c r="G271" s="156"/>
    </row>
    <row r="272" spans="1:7" x14ac:dyDescent="0.25">
      <c r="A272" s="85"/>
      <c r="B272" s="85"/>
      <c r="C272" s="85"/>
      <c r="D272" s="85"/>
      <c r="E272" s="85"/>
      <c r="F272" s="85"/>
      <c r="G272" s="85"/>
    </row>
    <row r="273" spans="1:7" x14ac:dyDescent="0.25">
      <c r="A273" s="173" t="s">
        <v>299</v>
      </c>
      <c r="B273" s="174"/>
      <c r="C273" s="174"/>
      <c r="D273" s="174"/>
      <c r="E273" s="174"/>
      <c r="F273" s="174"/>
      <c r="G273" s="175"/>
    </row>
    <row r="274" spans="1:7" x14ac:dyDescent="0.25">
      <c r="A274" s="176"/>
      <c r="B274" s="177"/>
      <c r="C274" s="177"/>
      <c r="D274" s="177"/>
      <c r="E274" s="177"/>
      <c r="F274" s="177"/>
      <c r="G274" s="178"/>
    </row>
    <row r="275" spans="1:7" x14ac:dyDescent="0.25">
      <c r="A275" s="176"/>
      <c r="B275" s="177"/>
      <c r="C275" s="177"/>
      <c r="D275" s="177"/>
      <c r="E275" s="177"/>
      <c r="F275" s="177"/>
      <c r="G275" s="178"/>
    </row>
    <row r="276" spans="1:7" x14ac:dyDescent="0.25">
      <c r="A276" s="176"/>
      <c r="B276" s="177"/>
      <c r="C276" s="177"/>
      <c r="D276" s="177"/>
      <c r="E276" s="177"/>
      <c r="F276" s="177"/>
      <c r="G276" s="178"/>
    </row>
    <row r="277" spans="1:7" x14ac:dyDescent="0.25">
      <c r="A277" s="176"/>
      <c r="B277" s="177"/>
      <c r="C277" s="177"/>
      <c r="D277" s="177"/>
      <c r="E277" s="177"/>
      <c r="F277" s="177"/>
      <c r="G277" s="178"/>
    </row>
    <row r="278" spans="1:7" x14ac:dyDescent="0.25">
      <c r="A278" s="176"/>
      <c r="B278" s="177"/>
      <c r="C278" s="177"/>
      <c r="D278" s="177"/>
      <c r="E278" s="177"/>
      <c r="F278" s="177"/>
      <c r="G278" s="178"/>
    </row>
    <row r="279" spans="1:7" x14ac:dyDescent="0.25">
      <c r="A279" s="179"/>
      <c r="B279" s="180"/>
      <c r="C279" s="180"/>
      <c r="D279" s="180"/>
      <c r="E279" s="180"/>
      <c r="F279" s="180"/>
      <c r="G279" s="181"/>
    </row>
    <row r="281" spans="1:7" x14ac:dyDescent="0.25">
      <c r="A281" s="163" t="s">
        <v>296</v>
      </c>
      <c r="B281" s="164"/>
      <c r="C281" s="164"/>
      <c r="D281" s="164"/>
      <c r="E281" s="164"/>
      <c r="F281" s="164"/>
      <c r="G281" s="165"/>
    </row>
    <row r="282" spans="1:7" x14ac:dyDescent="0.25">
      <c r="A282" s="166"/>
      <c r="B282" s="167"/>
      <c r="C282" s="167"/>
      <c r="D282" s="167"/>
      <c r="E282" s="167"/>
      <c r="F282" s="167"/>
      <c r="G282" s="168"/>
    </row>
    <row r="283" spans="1:7" x14ac:dyDescent="0.25">
      <c r="A283" s="166"/>
      <c r="B283" s="167"/>
      <c r="C283" s="167"/>
      <c r="D283" s="167"/>
      <c r="E283" s="167"/>
      <c r="F283" s="167"/>
      <c r="G283" s="168"/>
    </row>
    <row r="284" spans="1:7" x14ac:dyDescent="0.25">
      <c r="A284" s="166"/>
      <c r="B284" s="167"/>
      <c r="C284" s="167"/>
      <c r="D284" s="167"/>
      <c r="E284" s="167"/>
      <c r="F284" s="167"/>
      <c r="G284" s="168"/>
    </row>
    <row r="285" spans="1:7" x14ac:dyDescent="0.25">
      <c r="A285" s="166"/>
      <c r="B285" s="167"/>
      <c r="C285" s="167"/>
      <c r="D285" s="167"/>
      <c r="E285" s="167"/>
      <c r="F285" s="167"/>
      <c r="G285" s="168"/>
    </row>
    <row r="286" spans="1:7" x14ac:dyDescent="0.25">
      <c r="A286" s="169"/>
      <c r="B286" s="170"/>
      <c r="C286" s="170"/>
      <c r="D286" s="170"/>
      <c r="E286" s="170"/>
      <c r="F286" s="170"/>
      <c r="G286" s="171"/>
    </row>
    <row r="288" spans="1:7" x14ac:dyDescent="0.25">
      <c r="A288" s="163" t="s">
        <v>337</v>
      </c>
      <c r="B288" s="164"/>
      <c r="C288" s="164"/>
      <c r="D288" s="164"/>
      <c r="E288" s="164"/>
      <c r="F288" s="164"/>
      <c r="G288" s="165"/>
    </row>
    <row r="289" spans="1:7" x14ac:dyDescent="0.25">
      <c r="A289" s="172"/>
      <c r="B289" s="167"/>
      <c r="C289" s="167"/>
      <c r="D289" s="167"/>
      <c r="E289" s="167"/>
      <c r="F289" s="167"/>
      <c r="G289" s="168"/>
    </row>
    <row r="290" spans="1:7" x14ac:dyDescent="0.25">
      <c r="A290" s="166"/>
      <c r="B290" s="167"/>
      <c r="C290" s="167"/>
      <c r="D290" s="167"/>
      <c r="E290" s="167"/>
      <c r="F290" s="167"/>
      <c r="G290" s="168"/>
    </row>
    <row r="291" spans="1:7" x14ac:dyDescent="0.25">
      <c r="A291" s="166"/>
      <c r="B291" s="167"/>
      <c r="C291" s="167"/>
      <c r="D291" s="167"/>
      <c r="E291" s="167"/>
      <c r="F291" s="167"/>
      <c r="G291" s="168"/>
    </row>
    <row r="292" spans="1:7" x14ac:dyDescent="0.25">
      <c r="A292" s="169"/>
      <c r="B292" s="170"/>
      <c r="C292" s="170"/>
      <c r="D292" s="170"/>
      <c r="E292" s="170"/>
      <c r="F292" s="170"/>
      <c r="G292" s="171"/>
    </row>
    <row r="293" spans="1:7" x14ac:dyDescent="0.25">
      <c r="A293" s="70"/>
      <c r="B293" s="70"/>
      <c r="C293" s="70"/>
      <c r="D293" s="70"/>
      <c r="E293" s="70"/>
      <c r="F293" s="70"/>
      <c r="G293" s="70"/>
    </row>
    <row r="294" spans="1:7" ht="15.75" thickBot="1" x14ac:dyDescent="0.3">
      <c r="A294" s="85"/>
      <c r="B294" s="85"/>
      <c r="C294" s="85"/>
      <c r="D294" s="85"/>
      <c r="E294" s="85"/>
      <c r="F294" s="85"/>
      <c r="G294" s="85"/>
    </row>
    <row r="295" spans="1:7" ht="15" customHeight="1" x14ac:dyDescent="0.25">
      <c r="A295" s="160" t="s">
        <v>341</v>
      </c>
      <c r="B295" s="161"/>
      <c r="C295" s="161"/>
      <c r="D295" s="161"/>
      <c r="E295" s="161"/>
      <c r="F295" s="161"/>
      <c r="G295" s="162"/>
    </row>
    <row r="296" spans="1:7" x14ac:dyDescent="0.25">
      <c r="A296" s="118"/>
      <c r="B296" s="117"/>
      <c r="C296" s="117"/>
      <c r="D296" s="117"/>
      <c r="E296" s="117"/>
      <c r="F296" s="117"/>
      <c r="G296" s="119"/>
    </row>
    <row r="297" spans="1:7" x14ac:dyDescent="0.25">
      <c r="A297" s="120" t="s">
        <v>342</v>
      </c>
      <c r="B297" s="121"/>
      <c r="C297" s="121"/>
      <c r="D297" s="121"/>
      <c r="E297" s="121"/>
      <c r="F297" s="121"/>
      <c r="G297" s="122"/>
    </row>
    <row r="298" spans="1:7" x14ac:dyDescent="0.25">
      <c r="A298" s="123">
        <f>B66</f>
        <v>0</v>
      </c>
      <c r="B298" s="124"/>
      <c r="C298" s="124"/>
      <c r="D298" s="124"/>
      <c r="E298" s="124"/>
      <c r="F298" s="124"/>
      <c r="G298" s="125"/>
    </row>
    <row r="299" spans="1:7" x14ac:dyDescent="0.25">
      <c r="A299" s="123"/>
      <c r="B299" s="124"/>
      <c r="C299" s="124"/>
      <c r="D299" s="124"/>
      <c r="E299" s="124"/>
      <c r="F299" s="124"/>
      <c r="G299" s="125"/>
    </row>
    <row r="300" spans="1:7" x14ac:dyDescent="0.25">
      <c r="A300" s="123"/>
      <c r="B300" s="124"/>
      <c r="C300" s="124"/>
      <c r="D300" s="124"/>
      <c r="E300" s="124"/>
      <c r="F300" s="124"/>
      <c r="G300" s="125"/>
    </row>
    <row r="301" spans="1:7" x14ac:dyDescent="0.25">
      <c r="A301" s="123"/>
      <c r="B301" s="124"/>
      <c r="C301" s="124"/>
      <c r="D301" s="124"/>
      <c r="E301" s="124"/>
      <c r="F301" s="124"/>
      <c r="G301" s="125"/>
    </row>
    <row r="302" spans="1:7" x14ac:dyDescent="0.25">
      <c r="A302" s="123"/>
      <c r="B302" s="124"/>
      <c r="C302" s="124"/>
      <c r="D302" s="124"/>
      <c r="E302" s="124"/>
      <c r="F302" s="124"/>
      <c r="G302" s="125"/>
    </row>
    <row r="303" spans="1:7" x14ac:dyDescent="0.25">
      <c r="A303" s="123"/>
      <c r="B303" s="124"/>
      <c r="C303" s="124"/>
      <c r="D303" s="124"/>
      <c r="E303" s="124"/>
      <c r="F303" s="124"/>
      <c r="G303" s="125"/>
    </row>
    <row r="304" spans="1:7" x14ac:dyDescent="0.25">
      <c r="A304" s="120" t="s">
        <v>343</v>
      </c>
      <c r="B304" s="121"/>
      <c r="C304" s="121"/>
      <c r="D304" s="121"/>
      <c r="E304" s="121"/>
      <c r="F304" s="121"/>
      <c r="G304" s="122"/>
    </row>
    <row r="305" spans="1:7" x14ac:dyDescent="0.25">
      <c r="A305" s="123">
        <f>C88</f>
        <v>0</v>
      </c>
      <c r="B305" s="124"/>
      <c r="C305" s="124"/>
      <c r="D305" s="124"/>
      <c r="E305" s="124"/>
      <c r="F305" s="124"/>
      <c r="G305" s="125"/>
    </row>
    <row r="306" spans="1:7" x14ac:dyDescent="0.25">
      <c r="A306" s="123"/>
      <c r="B306" s="124"/>
      <c r="C306" s="124"/>
      <c r="D306" s="124"/>
      <c r="E306" s="124"/>
      <c r="F306" s="124"/>
      <c r="G306" s="125"/>
    </row>
    <row r="307" spans="1:7" x14ac:dyDescent="0.25">
      <c r="A307" s="123"/>
      <c r="B307" s="124"/>
      <c r="C307" s="124"/>
      <c r="D307" s="124"/>
      <c r="E307" s="124"/>
      <c r="F307" s="124"/>
      <c r="G307" s="125"/>
    </row>
    <row r="308" spans="1:7" x14ac:dyDescent="0.25">
      <c r="A308" s="123"/>
      <c r="B308" s="124"/>
      <c r="C308" s="124"/>
      <c r="D308" s="124"/>
      <c r="E308" s="124"/>
      <c r="F308" s="124"/>
      <c r="G308" s="125"/>
    </row>
    <row r="309" spans="1:7" x14ac:dyDescent="0.25">
      <c r="A309" s="123"/>
      <c r="B309" s="124"/>
      <c r="C309" s="124"/>
      <c r="D309" s="124"/>
      <c r="E309" s="124"/>
      <c r="F309" s="124"/>
      <c r="G309" s="125"/>
    </row>
    <row r="310" spans="1:7" x14ac:dyDescent="0.25">
      <c r="A310" s="130" t="s">
        <v>340</v>
      </c>
      <c r="B310" s="131"/>
      <c r="C310" s="131"/>
      <c r="D310" s="131"/>
      <c r="E310" s="131"/>
      <c r="F310" s="131"/>
      <c r="G310" s="132"/>
    </row>
    <row r="311" spans="1:7" x14ac:dyDescent="0.25">
      <c r="A311" s="123" t="str">
        <f>A138</f>
        <v xml:space="preserve">
</v>
      </c>
      <c r="B311" s="124"/>
      <c r="C311" s="124"/>
      <c r="D311" s="124"/>
      <c r="E311" s="124"/>
      <c r="F311" s="124"/>
      <c r="G311" s="125"/>
    </row>
    <row r="312" spans="1:7" x14ac:dyDescent="0.25">
      <c r="A312" s="123"/>
      <c r="B312" s="124"/>
      <c r="C312" s="124"/>
      <c r="D312" s="124"/>
      <c r="E312" s="124"/>
      <c r="F312" s="124"/>
      <c r="G312" s="125"/>
    </row>
    <row r="313" spans="1:7" x14ac:dyDescent="0.25">
      <c r="A313" s="123"/>
      <c r="B313" s="124"/>
      <c r="C313" s="124"/>
      <c r="D313" s="124"/>
      <c r="E313" s="124"/>
      <c r="F313" s="124"/>
      <c r="G313" s="125"/>
    </row>
    <row r="314" spans="1:7" x14ac:dyDescent="0.25">
      <c r="A314" s="123"/>
      <c r="B314" s="124"/>
      <c r="C314" s="124"/>
      <c r="D314" s="124"/>
      <c r="E314" s="124"/>
      <c r="F314" s="124"/>
      <c r="G314" s="125"/>
    </row>
    <row r="315" spans="1:7" x14ac:dyDescent="0.25">
      <c r="A315" s="123"/>
      <c r="B315" s="124"/>
      <c r="C315" s="124"/>
      <c r="D315" s="124"/>
      <c r="E315" s="124"/>
      <c r="F315" s="124"/>
      <c r="G315" s="125"/>
    </row>
    <row r="316" spans="1:7" x14ac:dyDescent="0.25">
      <c r="A316" s="129" t="s">
        <v>347</v>
      </c>
      <c r="B316" s="121"/>
      <c r="C316" s="121"/>
      <c r="D316" s="121"/>
      <c r="E316" s="121"/>
      <c r="F316" s="121"/>
      <c r="G316" s="122"/>
    </row>
    <row r="317" spans="1:7" ht="195" customHeight="1" x14ac:dyDescent="0.25">
      <c r="A317" s="129" t="s">
        <v>348</v>
      </c>
      <c r="B317" s="121"/>
      <c r="C317" s="121"/>
      <c r="D317" s="121"/>
      <c r="E317" s="121"/>
      <c r="F317" s="121"/>
      <c r="G317" s="122"/>
    </row>
    <row r="318" spans="1:7" x14ac:dyDescent="0.25">
      <c r="A318" s="129"/>
      <c r="B318" s="121"/>
      <c r="C318" s="121"/>
      <c r="D318" s="121"/>
      <c r="E318" s="121"/>
      <c r="F318" s="121"/>
      <c r="G318" s="122"/>
    </row>
    <row r="319" spans="1:7" x14ac:dyDescent="0.25">
      <c r="A319" s="129"/>
      <c r="B319" s="121"/>
      <c r="C319" s="121"/>
      <c r="D319" s="121"/>
      <c r="E319" s="121"/>
      <c r="F319" s="121"/>
      <c r="G319" s="122"/>
    </row>
    <row r="320" spans="1:7" x14ac:dyDescent="0.25">
      <c r="A320" s="129"/>
      <c r="B320" s="121"/>
      <c r="C320" s="121"/>
      <c r="D320" s="121"/>
      <c r="E320" s="121"/>
      <c r="F320" s="121"/>
      <c r="G320" s="122"/>
    </row>
    <row r="321" spans="1:7" x14ac:dyDescent="0.25">
      <c r="A321" s="129"/>
      <c r="B321" s="121"/>
      <c r="C321" s="121"/>
      <c r="D321" s="121"/>
      <c r="E321" s="121"/>
      <c r="F321" s="121"/>
      <c r="G321" s="122"/>
    </row>
    <row r="322" spans="1:7" x14ac:dyDescent="0.25">
      <c r="A322" s="129"/>
      <c r="B322" s="121"/>
      <c r="C322" s="121"/>
      <c r="D322" s="121"/>
      <c r="E322" s="121"/>
      <c r="F322" s="121"/>
      <c r="G322" s="122"/>
    </row>
    <row r="323" spans="1:7" x14ac:dyDescent="0.25">
      <c r="A323" s="129"/>
      <c r="B323" s="121"/>
      <c r="C323" s="121"/>
      <c r="D323" s="121"/>
      <c r="E323" s="121"/>
      <c r="F323" s="121"/>
      <c r="G323" s="122"/>
    </row>
    <row r="324" spans="1:7" x14ac:dyDescent="0.25">
      <c r="A324" s="129"/>
      <c r="B324" s="121"/>
      <c r="C324" s="121"/>
      <c r="D324" s="121"/>
      <c r="E324" s="121"/>
      <c r="F324" s="121"/>
      <c r="G324" s="122"/>
    </row>
    <row r="325" spans="1:7" x14ac:dyDescent="0.25">
      <c r="A325" s="120" t="s">
        <v>344</v>
      </c>
      <c r="B325" s="121"/>
      <c r="C325" s="121"/>
      <c r="D325" s="121"/>
      <c r="E325" s="121"/>
      <c r="F325" s="121"/>
      <c r="G325" s="122"/>
    </row>
    <row r="326" spans="1:7" x14ac:dyDescent="0.25">
      <c r="A326" s="123"/>
      <c r="B326" s="124"/>
      <c r="C326" s="124"/>
      <c r="D326" s="124"/>
      <c r="E326" s="124"/>
      <c r="F326" s="124"/>
      <c r="G326" s="125"/>
    </row>
    <row r="327" spans="1:7" ht="15.75" thickBot="1" x14ac:dyDescent="0.3">
      <c r="A327" s="126"/>
      <c r="B327" s="127"/>
      <c r="C327" s="127"/>
      <c r="D327" s="127"/>
      <c r="E327" s="127"/>
      <c r="F327" s="127"/>
      <c r="G327" s="128"/>
    </row>
  </sheetData>
  <mergeCells count="75">
    <mergeCell ref="A295:G295"/>
    <mergeCell ref="A169:G169"/>
    <mergeCell ref="A180:G182"/>
    <mergeCell ref="A184:G184"/>
    <mergeCell ref="A191:G193"/>
    <mergeCell ref="A195:G195"/>
    <mergeCell ref="A281:G286"/>
    <mergeCell ref="A288:G292"/>
    <mergeCell ref="A202:G204"/>
    <mergeCell ref="A206:G206"/>
    <mergeCell ref="A273:G279"/>
    <mergeCell ref="A229:G232"/>
    <mergeCell ref="A214:G217"/>
    <mergeCell ref="A241:G243"/>
    <mergeCell ref="A233:G233"/>
    <mergeCell ref="A218:G218"/>
    <mergeCell ref="A247:G251"/>
    <mergeCell ref="A254:G257"/>
    <mergeCell ref="A262:G265"/>
    <mergeCell ref="A268:G271"/>
    <mergeCell ref="C52:G54"/>
    <mergeCell ref="A60:G60"/>
    <mergeCell ref="C64:G64"/>
    <mergeCell ref="B101:C101"/>
    <mergeCell ref="F76:G76"/>
    <mergeCell ref="D92:G92"/>
    <mergeCell ref="A96:G96"/>
    <mergeCell ref="B66:G72"/>
    <mergeCell ref="A85:G85"/>
    <mergeCell ref="D91:G91"/>
    <mergeCell ref="C88:G89"/>
    <mergeCell ref="B80:G83"/>
    <mergeCell ref="D76:E76"/>
    <mergeCell ref="D101:E101"/>
    <mergeCell ref="F101:G101"/>
    <mergeCell ref="C56:G58"/>
    <mergeCell ref="E120:F120"/>
    <mergeCell ref="A106:G108"/>
    <mergeCell ref="A166:G168"/>
    <mergeCell ref="D114:E114"/>
    <mergeCell ref="C129:D129"/>
    <mergeCell ref="A135:G136"/>
    <mergeCell ref="A138:G143"/>
    <mergeCell ref="F132:G132"/>
    <mergeCell ref="A145:G145"/>
    <mergeCell ref="A155:G157"/>
    <mergeCell ref="A146:G146"/>
    <mergeCell ref="A158:G158"/>
    <mergeCell ref="B2:F3"/>
    <mergeCell ref="B4:C4"/>
    <mergeCell ref="D4:F4"/>
    <mergeCell ref="B9:C9"/>
    <mergeCell ref="B8:C8"/>
    <mergeCell ref="E8:F8"/>
    <mergeCell ref="A6:G6"/>
    <mergeCell ref="A29:G29"/>
    <mergeCell ref="C48:G50"/>
    <mergeCell ref="A10:B10"/>
    <mergeCell ref="A13:B13"/>
    <mergeCell ref="A26:G27"/>
    <mergeCell ref="A39:G41"/>
    <mergeCell ref="A43:G46"/>
    <mergeCell ref="B12:C12"/>
    <mergeCell ref="C21:G21"/>
    <mergeCell ref="A23:G23"/>
    <mergeCell ref="A325:G325"/>
    <mergeCell ref="A326:G327"/>
    <mergeCell ref="A316:G316"/>
    <mergeCell ref="A317:G324"/>
    <mergeCell ref="A297:G297"/>
    <mergeCell ref="A304:G304"/>
    <mergeCell ref="A310:G310"/>
    <mergeCell ref="A311:G315"/>
    <mergeCell ref="A305:G309"/>
    <mergeCell ref="A298:G303"/>
  </mergeCells>
  <pageMargins left="0.7" right="0.7" top="0.75" bottom="0.75" header="0.3" footer="0.3"/>
  <pageSetup paperSize="9" orientation="portrait" horizontalDpi="300" verticalDpi="300" r:id="rId1"/>
  <headerFooter>
    <oddFooter>&amp;L&amp;"Times New Roman,Normal"&amp;10 2018&amp;C&amp;"Times New Roman,Normal"&amp;10Julie De Brito diététicienne&amp;R&amp;"Times New Roman,Normal"&amp;10&amp;P</oddFooter>
  </headerFooter>
  <ignoredErrors>
    <ignoredError sqref="G187" formula="1"/>
  </ignoredErrors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122" r:id="rId4" name="Check Box 98">
              <controlPr defaultSize="0" autoFill="0" autoLine="0" autoPict="0">
                <anchor moveWithCells="1">
                  <from>
                    <xdr:col>0</xdr:col>
                    <xdr:colOff>666750</xdr:colOff>
                    <xdr:row>115</xdr:row>
                    <xdr:rowOff>28575</xdr:rowOff>
                  </from>
                  <to>
                    <xdr:col>1</xdr:col>
                    <xdr:colOff>695325</xdr:colOff>
                    <xdr:row>116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3" r:id="rId5" name="Check Box 99">
              <controlPr defaultSize="0" autoFill="0" autoLine="0" autoPict="0">
                <anchor moveWithCells="1">
                  <from>
                    <xdr:col>0</xdr:col>
                    <xdr:colOff>666750</xdr:colOff>
                    <xdr:row>116</xdr:row>
                    <xdr:rowOff>104775</xdr:rowOff>
                  </from>
                  <to>
                    <xdr:col>1</xdr:col>
                    <xdr:colOff>695325</xdr:colOff>
                    <xdr:row>117</xdr:row>
                    <xdr:rowOff>123825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4" r:id="rId6" name="Check Box 100">
              <controlPr defaultSize="0" autoFill="0" autoLine="0" autoPict="0">
                <anchor moveWithCells="1">
                  <from>
                    <xdr:col>2</xdr:col>
                    <xdr:colOff>590550</xdr:colOff>
                    <xdr:row>115</xdr:row>
                    <xdr:rowOff>19050</xdr:rowOff>
                  </from>
                  <to>
                    <xdr:col>4</xdr:col>
                    <xdr:colOff>0</xdr:colOff>
                    <xdr:row>116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5" r:id="rId7" name="Check Box 101">
              <controlPr defaultSize="0" autoFill="0" autoLine="0" autoPict="0">
                <anchor moveWithCells="1">
                  <from>
                    <xdr:col>2</xdr:col>
                    <xdr:colOff>609600</xdr:colOff>
                    <xdr:row>116</xdr:row>
                    <xdr:rowOff>123825</xdr:rowOff>
                  </from>
                  <to>
                    <xdr:col>4</xdr:col>
                    <xdr:colOff>19050</xdr:colOff>
                    <xdr:row>117</xdr:row>
                    <xdr:rowOff>142875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9" r:id="rId8" name="Check Box 105">
              <controlPr defaultSize="0" autoFill="0" autoLine="0" autoPict="0">
                <anchor moveWithCells="1">
                  <from>
                    <xdr:col>1</xdr:col>
                    <xdr:colOff>781050</xdr:colOff>
                    <xdr:row>120</xdr:row>
                    <xdr:rowOff>180975</xdr:rowOff>
                  </from>
                  <to>
                    <xdr:col>3</xdr:col>
                    <xdr:colOff>190500</xdr:colOff>
                    <xdr:row>122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0" r:id="rId9" name="Check Box 106">
              <controlPr defaultSize="0" autoFill="0" autoLine="0" autoPict="0">
                <anchor moveWithCells="1">
                  <from>
                    <xdr:col>3</xdr:col>
                    <xdr:colOff>581025</xdr:colOff>
                    <xdr:row>121</xdr:row>
                    <xdr:rowOff>9525</xdr:rowOff>
                  </from>
                  <to>
                    <xdr:col>4</xdr:col>
                    <xdr:colOff>790575</xdr:colOff>
                    <xdr:row>122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1" r:id="rId10" name="Check Box 107">
              <controlPr defaultSize="0" autoFill="0" autoLine="0" autoPict="0">
                <anchor moveWithCells="1">
                  <from>
                    <xdr:col>5</xdr:col>
                    <xdr:colOff>133350</xdr:colOff>
                    <xdr:row>120</xdr:row>
                    <xdr:rowOff>180975</xdr:rowOff>
                  </from>
                  <to>
                    <xdr:col>6</xdr:col>
                    <xdr:colOff>342900</xdr:colOff>
                    <xdr:row>122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4" r:id="rId11" name="Option Button 150">
              <controlPr defaultSize="0" autoFill="0" autoLine="0" autoPict="0">
                <anchor moveWithCells="1">
                  <from>
                    <xdr:col>2</xdr:col>
                    <xdr:colOff>9525</xdr:colOff>
                    <xdr:row>125</xdr:row>
                    <xdr:rowOff>9525</xdr:rowOff>
                  </from>
                  <to>
                    <xdr:col>3</xdr:col>
                    <xdr:colOff>161925</xdr:colOff>
                    <xdr:row>126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5" r:id="rId12" name="Option Button 151">
              <controlPr defaultSize="0" autoFill="0" autoLine="0" autoPict="0">
                <anchor moveWithCells="1">
                  <from>
                    <xdr:col>3</xdr:col>
                    <xdr:colOff>485775</xdr:colOff>
                    <xdr:row>125</xdr:row>
                    <xdr:rowOff>9525</xdr:rowOff>
                  </from>
                  <to>
                    <xdr:col>4</xdr:col>
                    <xdr:colOff>638175</xdr:colOff>
                    <xdr:row>126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6" r:id="rId13" name="Option Button 152">
              <controlPr defaultSize="0" autoFill="0" autoLine="0" autoPict="0">
                <anchor moveWithCells="1">
                  <from>
                    <xdr:col>5</xdr:col>
                    <xdr:colOff>85725</xdr:colOff>
                    <xdr:row>125</xdr:row>
                    <xdr:rowOff>9525</xdr:rowOff>
                  </from>
                  <to>
                    <xdr:col>6</xdr:col>
                    <xdr:colOff>238125</xdr:colOff>
                    <xdr:row>126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7" r:id="rId14" name="Check Box 163">
              <controlPr defaultSize="0" autoFill="0" autoLine="0" autoPict="0">
                <anchor moveWithCells="1">
                  <from>
                    <xdr:col>1</xdr:col>
                    <xdr:colOff>352425</xdr:colOff>
                    <xdr:row>15</xdr:row>
                    <xdr:rowOff>9525</xdr:rowOff>
                  </from>
                  <to>
                    <xdr:col>1</xdr:col>
                    <xdr:colOff>790575</xdr:colOff>
                    <xdr:row>15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8" r:id="rId15" name="Check Box 164">
              <controlPr defaultSize="0" autoFill="0" autoLine="0" autoPict="0">
                <anchor moveWithCells="1">
                  <from>
                    <xdr:col>1</xdr:col>
                    <xdr:colOff>742950</xdr:colOff>
                    <xdr:row>15</xdr:row>
                    <xdr:rowOff>9525</xdr:rowOff>
                  </from>
                  <to>
                    <xdr:col>2</xdr:col>
                    <xdr:colOff>381000</xdr:colOff>
                    <xdr:row>15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9" r:id="rId16" name="Check Box 165">
              <controlPr defaultSize="0" autoFill="0" autoLine="0" autoPict="0">
                <anchor moveWithCells="1">
                  <from>
                    <xdr:col>2</xdr:col>
                    <xdr:colOff>0</xdr:colOff>
                    <xdr:row>17</xdr:row>
                    <xdr:rowOff>0</xdr:rowOff>
                  </from>
                  <to>
                    <xdr:col>2</xdr:col>
                    <xdr:colOff>438150</xdr:colOff>
                    <xdr:row>17</xdr:row>
                    <xdr:rowOff>200025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0" r:id="rId17" name="Check Box 166">
              <controlPr defaultSize="0" autoFill="0" autoLine="0" autoPict="0">
                <anchor moveWithCells="1">
                  <from>
                    <xdr:col>2</xdr:col>
                    <xdr:colOff>390525</xdr:colOff>
                    <xdr:row>17</xdr:row>
                    <xdr:rowOff>0</xdr:rowOff>
                  </from>
                  <to>
                    <xdr:col>3</xdr:col>
                    <xdr:colOff>28575</xdr:colOff>
                    <xdr:row>17</xdr:row>
                    <xdr:rowOff>200025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1" r:id="rId18" name="Check Box 167">
              <controlPr defaultSize="0" autoFill="0" autoLine="0" autoPict="0">
                <anchor moveWithCells="1">
                  <from>
                    <xdr:col>2</xdr:col>
                    <xdr:colOff>0</xdr:colOff>
                    <xdr:row>18</xdr:row>
                    <xdr:rowOff>0</xdr:rowOff>
                  </from>
                  <to>
                    <xdr:col>2</xdr:col>
                    <xdr:colOff>438150</xdr:colOff>
                    <xdr:row>18</xdr:row>
                    <xdr:rowOff>200025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2" r:id="rId19" name="Check Box 168">
              <controlPr defaultSize="0" autoFill="0" autoLine="0" autoPict="0">
                <anchor moveWithCells="1">
                  <from>
                    <xdr:col>2</xdr:col>
                    <xdr:colOff>390525</xdr:colOff>
                    <xdr:row>18</xdr:row>
                    <xdr:rowOff>0</xdr:rowOff>
                  </from>
                  <to>
                    <xdr:col>3</xdr:col>
                    <xdr:colOff>28575</xdr:colOff>
                    <xdr:row>18</xdr:row>
                    <xdr:rowOff>200025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3" r:id="rId20" name="Check Box 169">
              <controlPr defaultSize="0" autoFill="0" autoLine="0" autoPict="0">
                <anchor moveWithCells="1">
                  <from>
                    <xdr:col>3</xdr:col>
                    <xdr:colOff>0</xdr:colOff>
                    <xdr:row>19</xdr:row>
                    <xdr:rowOff>0</xdr:rowOff>
                  </from>
                  <to>
                    <xdr:col>3</xdr:col>
                    <xdr:colOff>438150</xdr:colOff>
                    <xdr:row>19</xdr:row>
                    <xdr:rowOff>200025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4" r:id="rId21" name="Check Box 170">
              <controlPr defaultSize="0" autoFill="0" autoLine="0" autoPict="0">
                <anchor moveWithCells="1">
                  <from>
                    <xdr:col>3</xdr:col>
                    <xdr:colOff>390525</xdr:colOff>
                    <xdr:row>19</xdr:row>
                    <xdr:rowOff>0</xdr:rowOff>
                  </from>
                  <to>
                    <xdr:col>4</xdr:col>
                    <xdr:colOff>28575</xdr:colOff>
                    <xdr:row>19</xdr:row>
                    <xdr:rowOff>200025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5" r:id="rId22" name="Check Box 171">
              <controlPr defaultSize="0" autoFill="0" autoLine="0" autoPict="0">
                <anchor moveWithCells="1">
                  <from>
                    <xdr:col>2</xdr:col>
                    <xdr:colOff>0</xdr:colOff>
                    <xdr:row>30</xdr:row>
                    <xdr:rowOff>0</xdr:rowOff>
                  </from>
                  <to>
                    <xdr:col>2</xdr:col>
                    <xdr:colOff>438150</xdr:colOff>
                    <xdr:row>31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6" r:id="rId23" name="Check Box 172">
              <controlPr defaultSize="0" autoFill="0" autoLine="0" autoPict="0">
                <anchor moveWithCells="1">
                  <from>
                    <xdr:col>2</xdr:col>
                    <xdr:colOff>390525</xdr:colOff>
                    <xdr:row>30</xdr:row>
                    <xdr:rowOff>0</xdr:rowOff>
                  </from>
                  <to>
                    <xdr:col>3</xdr:col>
                    <xdr:colOff>28575</xdr:colOff>
                    <xdr:row>31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7" r:id="rId24" name="Check Box 173">
              <controlPr defaultSize="0" autoFill="0" autoLine="0" autoPict="0">
                <anchor moveWithCells="1">
                  <from>
                    <xdr:col>2</xdr:col>
                    <xdr:colOff>0</xdr:colOff>
                    <xdr:row>31</xdr:row>
                    <xdr:rowOff>0</xdr:rowOff>
                  </from>
                  <to>
                    <xdr:col>2</xdr:col>
                    <xdr:colOff>438150</xdr:colOff>
                    <xdr:row>32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8" r:id="rId25" name="Check Box 174">
              <controlPr defaultSize="0" autoFill="0" autoLine="0" autoPict="0">
                <anchor moveWithCells="1">
                  <from>
                    <xdr:col>2</xdr:col>
                    <xdr:colOff>390525</xdr:colOff>
                    <xdr:row>31</xdr:row>
                    <xdr:rowOff>0</xdr:rowOff>
                  </from>
                  <to>
                    <xdr:col>3</xdr:col>
                    <xdr:colOff>28575</xdr:colOff>
                    <xdr:row>32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9" r:id="rId26" name="Check Box 175">
              <controlPr defaultSize="0" autoFill="0" autoLine="0" autoPict="0">
                <anchor moveWithCells="1">
                  <from>
                    <xdr:col>2</xdr:col>
                    <xdr:colOff>0</xdr:colOff>
                    <xdr:row>32</xdr:row>
                    <xdr:rowOff>0</xdr:rowOff>
                  </from>
                  <to>
                    <xdr:col>2</xdr:col>
                    <xdr:colOff>438150</xdr:colOff>
                    <xdr:row>33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0" r:id="rId27" name="Check Box 176">
              <controlPr defaultSize="0" autoFill="0" autoLine="0" autoPict="0">
                <anchor moveWithCells="1">
                  <from>
                    <xdr:col>2</xdr:col>
                    <xdr:colOff>390525</xdr:colOff>
                    <xdr:row>32</xdr:row>
                    <xdr:rowOff>0</xdr:rowOff>
                  </from>
                  <to>
                    <xdr:col>3</xdr:col>
                    <xdr:colOff>28575</xdr:colOff>
                    <xdr:row>33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1" r:id="rId28" name="Check Box 177">
              <controlPr defaultSize="0" autoFill="0" autoLine="0" autoPict="0">
                <anchor moveWithCells="1">
                  <from>
                    <xdr:col>2</xdr:col>
                    <xdr:colOff>0</xdr:colOff>
                    <xdr:row>33</xdr:row>
                    <xdr:rowOff>0</xdr:rowOff>
                  </from>
                  <to>
                    <xdr:col>2</xdr:col>
                    <xdr:colOff>438150</xdr:colOff>
                    <xdr:row>34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2" r:id="rId29" name="Check Box 178">
              <controlPr defaultSize="0" autoFill="0" autoLine="0" autoPict="0">
                <anchor moveWithCells="1">
                  <from>
                    <xdr:col>2</xdr:col>
                    <xdr:colOff>390525</xdr:colOff>
                    <xdr:row>33</xdr:row>
                    <xdr:rowOff>0</xdr:rowOff>
                  </from>
                  <to>
                    <xdr:col>3</xdr:col>
                    <xdr:colOff>28575</xdr:colOff>
                    <xdr:row>34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3" r:id="rId30" name="Check Box 179">
              <controlPr defaultSize="0" autoFill="0" autoLine="0" autoPict="0">
                <anchor moveWithCells="1">
                  <from>
                    <xdr:col>5</xdr:col>
                    <xdr:colOff>0</xdr:colOff>
                    <xdr:row>30</xdr:row>
                    <xdr:rowOff>0</xdr:rowOff>
                  </from>
                  <to>
                    <xdr:col>5</xdr:col>
                    <xdr:colOff>438150</xdr:colOff>
                    <xdr:row>31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4" r:id="rId31" name="Check Box 180">
              <controlPr defaultSize="0" autoFill="0" autoLine="0" autoPict="0">
                <anchor moveWithCells="1">
                  <from>
                    <xdr:col>5</xdr:col>
                    <xdr:colOff>390525</xdr:colOff>
                    <xdr:row>30</xdr:row>
                    <xdr:rowOff>0</xdr:rowOff>
                  </from>
                  <to>
                    <xdr:col>6</xdr:col>
                    <xdr:colOff>28575</xdr:colOff>
                    <xdr:row>31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5" r:id="rId32" name="Check Box 181">
              <controlPr defaultSize="0" autoFill="0" autoLine="0" autoPict="0">
                <anchor moveWithCells="1">
                  <from>
                    <xdr:col>2</xdr:col>
                    <xdr:colOff>190500</xdr:colOff>
                    <xdr:row>35</xdr:row>
                    <xdr:rowOff>0</xdr:rowOff>
                  </from>
                  <to>
                    <xdr:col>2</xdr:col>
                    <xdr:colOff>628650</xdr:colOff>
                    <xdr:row>36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6" r:id="rId33" name="Check Box 182">
              <controlPr defaultSize="0" autoFill="0" autoLine="0" autoPict="0">
                <anchor moveWithCells="1">
                  <from>
                    <xdr:col>2</xdr:col>
                    <xdr:colOff>581025</xdr:colOff>
                    <xdr:row>35</xdr:row>
                    <xdr:rowOff>0</xdr:rowOff>
                  </from>
                  <to>
                    <xdr:col>3</xdr:col>
                    <xdr:colOff>219075</xdr:colOff>
                    <xdr:row>36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7" r:id="rId34" name="Check Box 183">
              <controlPr defaultSize="0" autoFill="0" autoLine="0" autoPict="0">
                <anchor moveWithCells="1">
                  <from>
                    <xdr:col>3</xdr:col>
                    <xdr:colOff>0</xdr:colOff>
                    <xdr:row>62</xdr:row>
                    <xdr:rowOff>0</xdr:rowOff>
                  </from>
                  <to>
                    <xdr:col>3</xdr:col>
                    <xdr:colOff>438150</xdr:colOff>
                    <xdr:row>62</xdr:row>
                    <xdr:rowOff>200025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8" r:id="rId35" name="Check Box 184">
              <controlPr defaultSize="0" autoFill="0" autoLine="0" autoPict="0">
                <anchor moveWithCells="1">
                  <from>
                    <xdr:col>3</xdr:col>
                    <xdr:colOff>390525</xdr:colOff>
                    <xdr:row>62</xdr:row>
                    <xdr:rowOff>0</xdr:rowOff>
                  </from>
                  <to>
                    <xdr:col>4</xdr:col>
                    <xdr:colOff>28575</xdr:colOff>
                    <xdr:row>62</xdr:row>
                    <xdr:rowOff>200025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9" r:id="rId36" name="Check Box 185">
              <controlPr defaultSize="0" autoFill="0" autoLine="0" autoPict="0">
                <anchor moveWithCells="1">
                  <from>
                    <xdr:col>3</xdr:col>
                    <xdr:colOff>0</xdr:colOff>
                    <xdr:row>86</xdr:row>
                    <xdr:rowOff>0</xdr:rowOff>
                  </from>
                  <to>
                    <xdr:col>3</xdr:col>
                    <xdr:colOff>438150</xdr:colOff>
                    <xdr:row>86</xdr:row>
                    <xdr:rowOff>200025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0" r:id="rId37" name="Check Box 186">
              <controlPr defaultSize="0" autoFill="0" autoLine="0" autoPict="0">
                <anchor moveWithCells="1">
                  <from>
                    <xdr:col>3</xdr:col>
                    <xdr:colOff>390525</xdr:colOff>
                    <xdr:row>86</xdr:row>
                    <xdr:rowOff>0</xdr:rowOff>
                  </from>
                  <to>
                    <xdr:col>4</xdr:col>
                    <xdr:colOff>28575</xdr:colOff>
                    <xdr:row>86</xdr:row>
                    <xdr:rowOff>200025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1" r:id="rId38" name="Check Box 187">
              <controlPr defaultSize="0" autoFill="0" autoLine="0" autoPict="0">
                <anchor moveWithCells="1">
                  <from>
                    <xdr:col>3</xdr:col>
                    <xdr:colOff>0</xdr:colOff>
                    <xdr:row>89</xdr:row>
                    <xdr:rowOff>0</xdr:rowOff>
                  </from>
                  <to>
                    <xdr:col>3</xdr:col>
                    <xdr:colOff>438150</xdr:colOff>
                    <xdr:row>89</xdr:row>
                    <xdr:rowOff>200025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2" r:id="rId39" name="Check Box 188">
              <controlPr defaultSize="0" autoFill="0" autoLine="0" autoPict="0">
                <anchor moveWithCells="1">
                  <from>
                    <xdr:col>3</xdr:col>
                    <xdr:colOff>390525</xdr:colOff>
                    <xdr:row>89</xdr:row>
                    <xdr:rowOff>0</xdr:rowOff>
                  </from>
                  <to>
                    <xdr:col>4</xdr:col>
                    <xdr:colOff>28575</xdr:colOff>
                    <xdr:row>89</xdr:row>
                    <xdr:rowOff>200025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3" r:id="rId40" name="Check Box 189">
              <controlPr defaultSize="0" autoFill="0" autoLine="0" autoPict="0">
                <anchor moveWithCells="1">
                  <from>
                    <xdr:col>2</xdr:col>
                    <xdr:colOff>0</xdr:colOff>
                    <xdr:row>98</xdr:row>
                    <xdr:rowOff>0</xdr:rowOff>
                  </from>
                  <to>
                    <xdr:col>2</xdr:col>
                    <xdr:colOff>438150</xdr:colOff>
                    <xdr:row>99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4" r:id="rId41" name="Check Box 190">
              <controlPr defaultSize="0" autoFill="0" autoLine="0" autoPict="0">
                <anchor moveWithCells="1">
                  <from>
                    <xdr:col>2</xdr:col>
                    <xdr:colOff>390525</xdr:colOff>
                    <xdr:row>98</xdr:row>
                    <xdr:rowOff>0</xdr:rowOff>
                  </from>
                  <to>
                    <xdr:col>3</xdr:col>
                    <xdr:colOff>28575</xdr:colOff>
                    <xdr:row>99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5" r:id="rId42" name="Check Box 191">
              <controlPr defaultSize="0" autoFill="0" autoLine="0" autoPict="0">
                <anchor moveWithCells="1">
                  <from>
                    <xdr:col>2</xdr:col>
                    <xdr:colOff>0</xdr:colOff>
                    <xdr:row>103</xdr:row>
                    <xdr:rowOff>0</xdr:rowOff>
                  </from>
                  <to>
                    <xdr:col>2</xdr:col>
                    <xdr:colOff>438150</xdr:colOff>
                    <xdr:row>104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6" r:id="rId43" name="Check Box 192">
              <controlPr defaultSize="0" autoFill="0" autoLine="0" autoPict="0">
                <anchor moveWithCells="1">
                  <from>
                    <xdr:col>2</xdr:col>
                    <xdr:colOff>390525</xdr:colOff>
                    <xdr:row>103</xdr:row>
                    <xdr:rowOff>0</xdr:rowOff>
                  </from>
                  <to>
                    <xdr:col>3</xdr:col>
                    <xdr:colOff>28575</xdr:colOff>
                    <xdr:row>104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7" r:id="rId44" name="Check Box 193">
              <controlPr defaultSize="0" autoFill="0" autoLine="0" autoPict="0">
                <anchor moveWithCells="1">
                  <from>
                    <xdr:col>2</xdr:col>
                    <xdr:colOff>180975</xdr:colOff>
                    <xdr:row>75</xdr:row>
                    <xdr:rowOff>19050</xdr:rowOff>
                  </from>
                  <to>
                    <xdr:col>2</xdr:col>
                    <xdr:colOff>619125</xdr:colOff>
                    <xdr:row>76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8" r:id="rId45" name="Check Box 194">
              <controlPr defaultSize="0" autoFill="0" autoLine="0" autoPict="0">
                <anchor moveWithCells="1">
                  <from>
                    <xdr:col>2</xdr:col>
                    <xdr:colOff>571500</xdr:colOff>
                    <xdr:row>75</xdr:row>
                    <xdr:rowOff>19050</xdr:rowOff>
                  </from>
                  <to>
                    <xdr:col>3</xdr:col>
                    <xdr:colOff>209550</xdr:colOff>
                    <xdr:row>76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1" r:id="rId46" name="Check Box 197">
              <controlPr defaultSize="0" autoFill="0" autoLine="0" autoPict="0">
                <anchor moveWithCells="1">
                  <from>
                    <xdr:col>3</xdr:col>
                    <xdr:colOff>0</xdr:colOff>
                    <xdr:row>127</xdr:row>
                    <xdr:rowOff>0</xdr:rowOff>
                  </from>
                  <to>
                    <xdr:col>3</xdr:col>
                    <xdr:colOff>438150</xdr:colOff>
                    <xdr:row>128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2" r:id="rId47" name="Check Box 198">
              <controlPr defaultSize="0" autoFill="0" autoLine="0" autoPict="0">
                <anchor moveWithCells="1">
                  <from>
                    <xdr:col>3</xdr:col>
                    <xdr:colOff>390525</xdr:colOff>
                    <xdr:row>127</xdr:row>
                    <xdr:rowOff>0</xdr:rowOff>
                  </from>
                  <to>
                    <xdr:col>4</xdr:col>
                    <xdr:colOff>28575</xdr:colOff>
                    <xdr:row>128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3" r:id="rId48" name="Check Box 199">
              <controlPr defaultSize="0" autoFill="0" autoLine="0" autoPict="0">
                <anchor moveWithCells="1">
                  <from>
                    <xdr:col>3</xdr:col>
                    <xdr:colOff>0</xdr:colOff>
                    <xdr:row>130</xdr:row>
                    <xdr:rowOff>0</xdr:rowOff>
                  </from>
                  <to>
                    <xdr:col>3</xdr:col>
                    <xdr:colOff>438150</xdr:colOff>
                    <xdr:row>131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4" r:id="rId49" name="Check Box 200">
              <controlPr defaultSize="0" autoFill="0" autoLine="0" autoPict="0">
                <anchor moveWithCells="1">
                  <from>
                    <xdr:col>3</xdr:col>
                    <xdr:colOff>390525</xdr:colOff>
                    <xdr:row>130</xdr:row>
                    <xdr:rowOff>0</xdr:rowOff>
                  </from>
                  <to>
                    <xdr:col>4</xdr:col>
                    <xdr:colOff>28575</xdr:colOff>
                    <xdr:row>131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7" r:id="rId50" name="Check Box 203">
              <controlPr defaultSize="0" autoFill="0" autoLine="0" autoPict="0">
                <anchor moveWithCells="1">
                  <from>
                    <xdr:col>1</xdr:col>
                    <xdr:colOff>552450</xdr:colOff>
                    <xdr:row>122</xdr:row>
                    <xdr:rowOff>180975</xdr:rowOff>
                  </from>
                  <to>
                    <xdr:col>3</xdr:col>
                    <xdr:colOff>19050</xdr:colOff>
                    <xdr:row>124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8" r:id="rId51" name="Check Box 204">
              <controlPr defaultSize="0" autoFill="0" autoLine="0" autoPict="0">
                <anchor moveWithCells="1">
                  <from>
                    <xdr:col>2</xdr:col>
                    <xdr:colOff>581025</xdr:colOff>
                    <xdr:row>123</xdr:row>
                    <xdr:rowOff>0</xdr:rowOff>
                  </from>
                  <to>
                    <xdr:col>4</xdr:col>
                    <xdr:colOff>47625</xdr:colOff>
                    <xdr:row>124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9" r:id="rId52" name="Check Box 205">
              <controlPr defaultSize="0" autoFill="0" autoLine="0" autoPict="0">
                <anchor moveWithCells="1">
                  <from>
                    <xdr:col>1</xdr:col>
                    <xdr:colOff>228600</xdr:colOff>
                    <xdr:row>75</xdr:row>
                    <xdr:rowOff>180975</xdr:rowOff>
                  </from>
                  <to>
                    <xdr:col>1</xdr:col>
                    <xdr:colOff>666750</xdr:colOff>
                    <xdr:row>78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0" r:id="rId53" name="Check Box 206">
              <controlPr defaultSize="0" autoFill="0" autoLine="0" autoPict="0">
                <anchor moveWithCells="1">
                  <from>
                    <xdr:col>1</xdr:col>
                    <xdr:colOff>619125</xdr:colOff>
                    <xdr:row>75</xdr:row>
                    <xdr:rowOff>180975</xdr:rowOff>
                  </from>
                  <to>
                    <xdr:col>2</xdr:col>
                    <xdr:colOff>257175</xdr:colOff>
                    <xdr:row>79</xdr:row>
                    <xdr:rowOff>0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CCE6A557-97BC-4b89-ADB6-D9C93CAAB3DF}">
      <x14:dataValidations xmlns:xm="http://schemas.microsoft.com/office/excel/2006/main" disablePrompts="1" count="35">
        <x14:dataValidation type="list" allowBlank="1" showInputMessage="1" showErrorMessage="1">
          <x14:formula1>
            <xm:f>Feuil3!$C$1:$C$4</xm:f>
          </x14:formula1>
          <xm:sqref>C100 D98</xm:sqref>
        </x14:dataValidation>
        <x14:dataValidation type="list" allowBlank="1" showInputMessage="1" showErrorMessage="1">
          <x14:formula1>
            <xm:f>Feuil3!$A$28:$A$30</xm:f>
          </x14:formula1>
          <xm:sqref>B148</xm:sqref>
        </x14:dataValidation>
        <x14:dataValidation type="list" allowBlank="1" showInputMessage="1" showErrorMessage="1">
          <x14:formula1>
            <xm:f>Feuil3!$A$25:$A$27</xm:f>
          </x14:formula1>
          <xm:sqref>E148</xm:sqref>
        </x14:dataValidation>
        <x14:dataValidation type="list" allowBlank="1" showInputMessage="1" showErrorMessage="1">
          <x14:formula1>
            <xm:f>Feuil3!$A$33:$A$37</xm:f>
          </x14:formula1>
          <xm:sqref>B149:B151</xm:sqref>
        </x14:dataValidation>
        <x14:dataValidation type="list" allowBlank="1" showInputMessage="1" showErrorMessage="1">
          <x14:formula1>
            <xm:f>Feuil3!$A$39:$A$41</xm:f>
          </x14:formula1>
          <xm:sqref>E150</xm:sqref>
        </x14:dataValidation>
        <x14:dataValidation type="list" allowBlank="1" showInputMessage="1" showErrorMessage="1">
          <x14:formula1>
            <xm:f>Feuil3!$A$43:$A$47</xm:f>
          </x14:formula1>
          <xm:sqref>B152:B153</xm:sqref>
        </x14:dataValidation>
        <x14:dataValidation type="list" allowBlank="1" showInputMessage="1" showErrorMessage="1">
          <x14:formula1>
            <xm:f>Feuil3!$C$25:$C$29</xm:f>
          </x14:formula1>
          <xm:sqref>B171:B174 E171 B186:B189 B197:B200 B208:B211 D235 B225:B226 D197:D198 B176:B178 B160:B164 E160 B234:B238</xm:sqref>
        </x14:dataValidation>
        <x14:dataValidation type="list" allowBlank="1" showInputMessage="1" showErrorMessage="1">
          <x14:formula1>
            <xm:f>Feuil3!$C$37:$C$41</xm:f>
          </x14:formula1>
          <xm:sqref>B175</xm:sqref>
        </x14:dataValidation>
        <x14:dataValidation type="list" allowBlank="1" showInputMessage="1" showErrorMessage="1">
          <x14:formula1>
            <xm:f>Feuil3!$C$43:$C$47</xm:f>
          </x14:formula1>
          <xm:sqref>D186</xm:sqref>
        </x14:dataValidation>
        <x14:dataValidation type="list" allowBlank="1" showInputMessage="1" showErrorMessage="1">
          <x14:formula1>
            <xm:f>Feuil3!$A$7:$A$8</xm:f>
          </x14:formula1>
          <xm:sqref>B212 D163</xm:sqref>
        </x14:dataValidation>
        <x14:dataValidation type="list" allowBlank="1" showInputMessage="1" showErrorMessage="1">
          <x14:formula1>
            <xm:f>Feuil3!$E$25:$E$28</xm:f>
          </x14:formula1>
          <xm:sqref>D212</xm:sqref>
        </x14:dataValidation>
        <x14:dataValidation type="list" allowBlank="1" showInputMessage="1" showErrorMessage="1">
          <x14:formula1>
            <xm:f>Feuil3!$E$37:$E$40</xm:f>
          </x14:formula1>
          <xm:sqref>B220 B222:B223 B227</xm:sqref>
        </x14:dataValidation>
        <x14:dataValidation type="list" allowBlank="1" showInputMessage="1" showErrorMessage="1">
          <x14:formula1>
            <xm:f>Feuil3!$E$43:$E$46</xm:f>
          </x14:formula1>
          <xm:sqref>D224:D226 D221:D222</xm:sqref>
        </x14:dataValidation>
        <x14:dataValidation type="list" allowBlank="1" showInputMessage="1" showErrorMessage="1">
          <x14:formula1>
            <xm:f>Feuil3!$G$25:$G$27</xm:f>
          </x14:formula1>
          <xm:sqref>B239</xm:sqref>
        </x14:dataValidation>
        <x14:dataValidation type="list" allowBlank="1" showInputMessage="1" showErrorMessage="1">
          <x14:formula1>
            <xm:f>Feuil3!$G$30:$G$36</xm:f>
          </x14:formula1>
          <xm:sqref>D161 F222 F186:F189 F212 F220 F198:F200 F177:F178 F235</xm:sqref>
        </x14:dataValidation>
        <x14:dataValidation type="list" allowBlank="1" showInputMessage="1" showErrorMessage="1">
          <x14:formula1>
            <xm:f>Feuil3!$A$10:$A$14</xm:f>
          </x14:formula1>
          <xm:sqref>D176</xm:sqref>
        </x14:dataValidation>
        <x14:dataValidation type="list" allowBlank="1" showInputMessage="1" showErrorMessage="1">
          <x14:formula1>
            <xm:f>Feuil3!$G$38:$G$41</xm:f>
          </x14:formula1>
          <xm:sqref>D177</xm:sqref>
        </x14:dataValidation>
        <x14:dataValidation type="list" allowBlank="1" showInputMessage="1" showErrorMessage="1">
          <x14:formula1>
            <xm:f>Feuil3!$I$25:$I$26</xm:f>
          </x14:formula1>
          <xm:sqref>E151</xm:sqref>
        </x14:dataValidation>
        <x14:dataValidation type="list" allowBlank="1" showInputMessage="1" showErrorMessage="1">
          <x14:formula1>
            <xm:f>Feuil3!$G$43:$G$44</xm:f>
          </x14:formula1>
          <xm:sqref>D210</xm:sqref>
        </x14:dataValidation>
        <x14:dataValidation type="list" allowBlank="1" showInputMessage="1" showErrorMessage="1">
          <x14:formula1>
            <xm:f>Feuil3!$A$9:$A$14</xm:f>
          </x14:formula1>
          <xm:sqref>E152:E153 D162</xm:sqref>
        </x14:dataValidation>
        <x14:dataValidation type="list" allowBlank="1" showInputMessage="1" showErrorMessage="1">
          <x14:formula1>
            <xm:f>Feuil3!$E$30:$E$34</xm:f>
          </x14:formula1>
          <xm:sqref>D220</xm:sqref>
        </x14:dataValidation>
        <x14:dataValidation type="list" allowBlank="1" showInputMessage="1" showErrorMessage="1">
          <x14:formula1>
            <xm:f>Feuil3!$I$29:$I$31</xm:f>
          </x14:formula1>
          <xm:sqref>D223</xm:sqref>
        </x14:dataValidation>
        <x14:dataValidation type="list" allowBlank="1" showInputMessage="1" showErrorMessage="1">
          <x14:formula1>
            <xm:f>Feuil3!$A$1:$A$3</xm:f>
          </x14:formula1>
          <xm:sqref>C14</xm:sqref>
        </x14:dataValidation>
        <x14:dataValidation type="list" allowBlank="1" showInputMessage="1" showErrorMessage="1">
          <x14:formula1>
            <xm:f>Feuil3!$A$10:$A$19</xm:f>
          </x14:formula1>
          <xm:sqref>E17 G18:G19 D103 F104</xm:sqref>
        </x14:dataValidation>
        <x14:dataValidation type="list" allowBlank="1" showInputMessage="1" showErrorMessage="1">
          <x14:formula1>
            <xm:f>Feuil3!$C$6:$C$9</xm:f>
          </x14:formula1>
          <xm:sqref>B101:C101</xm:sqref>
        </x14:dataValidation>
        <x14:dataValidation type="list" allowBlank="1" showInputMessage="1" showErrorMessage="1">
          <x14:formula1>
            <xm:f>Feuil3!$C$11:$C$16</xm:f>
          </x14:formula1>
          <xm:sqref>F101 D114:E114 E120:F120</xm:sqref>
        </x14:dataValidation>
        <x14:dataValidation type="list" allowBlank="1" showInputMessage="1" showErrorMessage="1">
          <x14:formula1>
            <xm:f>Feuil3!$C$18:$C$19</xm:f>
          </x14:formula1>
          <xm:sqref>C110</xm:sqref>
        </x14:dataValidation>
        <x14:dataValidation type="list" allowBlank="1" showInputMessage="1" showErrorMessage="1">
          <x14:formula1>
            <xm:f>Feuil3!$E$1:$E$2</xm:f>
          </x14:formula1>
          <xm:sqref>C111</xm:sqref>
        </x14:dataValidation>
        <x14:dataValidation type="list" allowBlank="1" showInputMessage="1" showErrorMessage="1">
          <x14:formula1>
            <xm:f>Feuil3!$E$4:$E$5</xm:f>
          </x14:formula1>
          <xm:sqref>E110</xm:sqref>
        </x14:dataValidation>
        <x14:dataValidation type="list" allowBlank="1" showInputMessage="1" showErrorMessage="1">
          <x14:formula1>
            <xm:f>Feuil3!$E$7:$E$9</xm:f>
          </x14:formula1>
          <xm:sqref>E111</xm:sqref>
        </x14:dataValidation>
        <x14:dataValidation type="list" allowBlank="1" showInputMessage="1" showErrorMessage="1">
          <x14:formula1>
            <xm:f>Feuil3!$E$12:$E$14</xm:f>
          </x14:formula1>
          <xm:sqref>F76:G76</xm:sqref>
        </x14:dataValidation>
        <x14:dataValidation type="list" allowBlank="1" showInputMessage="1" showErrorMessage="1">
          <x14:formula1>
            <xm:f>Feuil3!$E$16:$E$18</xm:f>
          </x14:formula1>
          <xm:sqref>C129:D129</xm:sqref>
        </x14:dataValidation>
        <x14:dataValidation type="list" allowBlank="1" showInputMessage="1" showErrorMessage="1">
          <x14:formula1>
            <xm:f>Feuil3!$G$1:$G$3</xm:f>
          </x14:formula1>
          <xm:sqref>C132</xm:sqref>
        </x14:dataValidation>
        <x14:dataValidation type="list" allowBlank="1" showInputMessage="1" showErrorMessage="1">
          <x14:formula1>
            <xm:f>Feuil3!$G$5:$G$8</xm:f>
          </x14:formula1>
          <xm:sqref>F132:G132</xm:sqref>
        </x14:dataValidation>
        <x14:dataValidation type="list" allowBlank="1" showInputMessage="1" showErrorMessage="1">
          <x14:formula1>
            <xm:f>Feuil3!$G$10:$G$18</xm:f>
          </x14:formula1>
          <xm:sqref>D93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X72"/>
  <sheetViews>
    <sheetView topLeftCell="A34" workbookViewId="0">
      <pane xSplit="1" topLeftCell="B1" activePane="topRight" state="frozen"/>
      <selection pane="topRight" activeCell="B38" sqref="B38"/>
    </sheetView>
  </sheetViews>
  <sheetFormatPr baseColWidth="10" defaultRowHeight="15" x14ac:dyDescent="0.25"/>
  <cols>
    <col min="1" max="1" width="33.42578125" bestFit="1" customWidth="1"/>
    <col min="2" max="2" width="17.85546875" style="66" bestFit="1" customWidth="1"/>
    <col min="3" max="3" width="12.28515625" bestFit="1" customWidth="1"/>
    <col min="4" max="4" width="14.7109375" bestFit="1" customWidth="1"/>
    <col min="5" max="5" width="13.140625" bestFit="1" customWidth="1"/>
    <col min="7" max="7" width="8.7109375" bestFit="1" customWidth="1"/>
    <col min="8" max="8" width="10.28515625" bestFit="1" customWidth="1"/>
    <col min="9" max="9" width="9.5703125" bestFit="1" customWidth="1"/>
    <col min="10" max="11" width="10.85546875" bestFit="1" customWidth="1"/>
    <col min="12" max="12" width="13.5703125" customWidth="1"/>
    <col min="13" max="13" width="12.7109375" bestFit="1" customWidth="1"/>
    <col min="14" max="14" width="12" customWidth="1"/>
    <col min="15" max="15" width="14" bestFit="1" customWidth="1"/>
    <col min="17" max="17" width="11" bestFit="1" customWidth="1"/>
    <col min="18" max="19" width="10.5703125" bestFit="1" customWidth="1"/>
    <col min="20" max="20" width="10.7109375" bestFit="1" customWidth="1"/>
    <col min="21" max="21" width="11.7109375" bestFit="1" customWidth="1"/>
    <col min="22" max="22" width="13" bestFit="1" customWidth="1"/>
    <col min="23" max="23" width="10" bestFit="1" customWidth="1"/>
    <col min="24" max="24" width="14.85546875" bestFit="1" customWidth="1"/>
  </cols>
  <sheetData>
    <row r="1" spans="1:24" ht="18.75" x14ac:dyDescent="0.3">
      <c r="A1" s="11" t="s">
        <v>205</v>
      </c>
      <c r="B1" s="56"/>
      <c r="C1" s="11"/>
      <c r="D1" s="11"/>
      <c r="E1" s="11"/>
      <c r="F1" s="11"/>
      <c r="G1" s="11"/>
      <c r="H1" s="11"/>
      <c r="I1" s="11"/>
      <c r="J1" s="11"/>
      <c r="K1" s="11"/>
      <c r="L1" s="11"/>
      <c r="M1" s="11"/>
      <c r="N1" s="11"/>
      <c r="O1" s="11"/>
      <c r="P1" s="11"/>
      <c r="Q1" s="11"/>
      <c r="R1" s="11"/>
      <c r="S1" s="11"/>
      <c r="T1" s="11"/>
      <c r="U1" s="11"/>
      <c r="V1" s="11"/>
      <c r="W1" s="11"/>
      <c r="X1" s="11"/>
    </row>
    <row r="2" spans="1:24" x14ac:dyDescent="0.25">
      <c r="A2" s="12" t="s">
        <v>206</v>
      </c>
      <c r="B2" s="67">
        <f>Feuil1!B8</f>
        <v>0</v>
      </c>
      <c r="C2" s="13"/>
      <c r="D2" s="12" t="s">
        <v>207</v>
      </c>
      <c r="E2" s="12">
        <f>Feuil1!B74</f>
        <v>0</v>
      </c>
      <c r="F2" s="186"/>
      <c r="G2" s="187"/>
      <c r="H2" s="14"/>
      <c r="I2" s="14"/>
      <c r="J2" s="14"/>
      <c r="K2" s="14"/>
      <c r="L2" s="14"/>
      <c r="M2" s="13"/>
      <c r="N2" s="13"/>
      <c r="O2" s="13"/>
      <c r="P2" s="13"/>
      <c r="Q2" s="13"/>
      <c r="R2" s="13"/>
      <c r="S2" s="13"/>
      <c r="T2" s="13"/>
      <c r="U2" s="13"/>
      <c r="V2" s="13"/>
      <c r="W2" s="13"/>
      <c r="X2" s="13"/>
    </row>
    <row r="3" spans="1:24" x14ac:dyDescent="0.25">
      <c r="A3" s="12" t="s">
        <v>208</v>
      </c>
      <c r="B3" s="67">
        <f>Feuil1!B9</f>
        <v>0</v>
      </c>
      <c r="C3" s="13"/>
      <c r="D3" s="12" t="s">
        <v>209</v>
      </c>
      <c r="E3" s="12">
        <f>Feuil1!B62</f>
        <v>0</v>
      </c>
      <c r="F3" s="188" t="s">
        <v>210</v>
      </c>
      <c r="G3" s="188"/>
      <c r="H3" s="14">
        <f>Feuil1!D93</f>
        <v>0</v>
      </c>
      <c r="I3" s="15"/>
      <c r="J3" s="16"/>
      <c r="K3" s="15"/>
      <c r="L3" s="14"/>
      <c r="M3" s="13"/>
      <c r="N3" s="13"/>
      <c r="O3" s="13"/>
      <c r="P3" s="13"/>
      <c r="Q3" s="13"/>
      <c r="R3" s="13"/>
      <c r="S3" s="13"/>
      <c r="T3" s="13"/>
      <c r="U3" s="13"/>
      <c r="V3" s="13"/>
      <c r="W3" s="13"/>
      <c r="X3" s="13"/>
    </row>
    <row r="4" spans="1:24" x14ac:dyDescent="0.25">
      <c r="A4" s="12" t="s">
        <v>211</v>
      </c>
      <c r="B4" s="17">
        <f ca="1">Feuil1!G10</f>
        <v>118</v>
      </c>
      <c r="C4" s="13"/>
      <c r="D4" s="12" t="s">
        <v>212</v>
      </c>
      <c r="E4" s="17">
        <f>24*(E2*E2)</f>
        <v>0</v>
      </c>
      <c r="F4" s="18" t="s">
        <v>213</v>
      </c>
      <c r="G4" s="18"/>
      <c r="H4" s="19">
        <f ca="1">IF(B5=1,(1.083*(E3^0.48)*(E2^0.5)*(B4^(-0.13)))*H3*1000,(0.963*(E3^0.48)*(E2^0.5)*(B4^(-0.13)))*H3*1000)</f>
        <v>0</v>
      </c>
      <c r="I4" s="189" t="s">
        <v>214</v>
      </c>
      <c r="J4" s="190"/>
      <c r="K4" s="20" t="e">
        <f ca="1">H4/H3/4.18</f>
        <v>#DIV/0!</v>
      </c>
      <c r="L4" s="14"/>
      <c r="M4" s="13"/>
      <c r="N4" s="13"/>
      <c r="O4" s="13"/>
      <c r="P4" s="13"/>
      <c r="Q4" s="13"/>
      <c r="R4" s="13"/>
      <c r="S4" s="13"/>
      <c r="T4" s="13"/>
      <c r="U4" s="13"/>
      <c r="V4" s="13"/>
      <c r="W4" s="13"/>
      <c r="X4" s="13"/>
    </row>
    <row r="5" spans="1:24" x14ac:dyDescent="0.25">
      <c r="A5" s="12" t="s">
        <v>215</v>
      </c>
      <c r="B5" s="57">
        <f>Feuil1!G8</f>
        <v>0</v>
      </c>
      <c r="C5" s="13"/>
      <c r="D5" s="12" t="s">
        <v>216</v>
      </c>
      <c r="E5" s="21" t="e">
        <f>E3/(E2*E2)</f>
        <v>#DIV/0!</v>
      </c>
      <c r="F5" s="18" t="s">
        <v>217</v>
      </c>
      <c r="G5" s="18"/>
      <c r="H5" s="20">
        <f>C66</f>
        <v>0</v>
      </c>
      <c r="I5" s="14"/>
      <c r="J5" s="14"/>
      <c r="K5" s="14"/>
      <c r="L5" s="14"/>
      <c r="M5" s="13"/>
      <c r="N5" s="13"/>
      <c r="O5" s="13"/>
      <c r="P5" s="13"/>
      <c r="Q5" s="13"/>
      <c r="R5" s="13"/>
      <c r="S5" s="13"/>
      <c r="T5" s="13"/>
      <c r="U5" s="13"/>
      <c r="V5" s="13"/>
      <c r="W5" s="13"/>
      <c r="X5" s="13"/>
    </row>
    <row r="6" spans="1:24" x14ac:dyDescent="0.25">
      <c r="A6" s="12"/>
      <c r="B6" s="17"/>
      <c r="C6" s="13"/>
      <c r="D6" s="12"/>
      <c r="E6" s="21"/>
      <c r="F6" s="22" t="s">
        <v>218</v>
      </c>
      <c r="G6" s="22"/>
      <c r="H6" s="23">
        <f>D66*7</f>
        <v>0</v>
      </c>
      <c r="I6" s="14"/>
      <c r="J6" s="14"/>
      <c r="K6" s="14"/>
      <c r="L6" s="14"/>
      <c r="M6" s="13"/>
      <c r="N6" s="13"/>
      <c r="O6" s="13"/>
      <c r="P6" s="13"/>
      <c r="Q6" s="13"/>
      <c r="R6" s="13"/>
      <c r="S6" s="13"/>
      <c r="T6" s="13"/>
      <c r="U6" s="13"/>
      <c r="V6" s="13"/>
      <c r="W6" s="13"/>
      <c r="X6" s="13"/>
    </row>
    <row r="7" spans="1:24" s="83" customFormat="1" ht="37.5" x14ac:dyDescent="0.25">
      <c r="A7" s="81" t="s">
        <v>219</v>
      </c>
      <c r="B7" s="82" t="s">
        <v>220</v>
      </c>
      <c r="C7" s="81" t="s">
        <v>221</v>
      </c>
      <c r="D7" s="81" t="s">
        <v>222</v>
      </c>
      <c r="E7" s="81" t="s">
        <v>223</v>
      </c>
      <c r="F7" s="81" t="s">
        <v>224</v>
      </c>
      <c r="G7" s="81" t="s">
        <v>225</v>
      </c>
      <c r="H7" s="81" t="s">
        <v>226</v>
      </c>
      <c r="I7" s="81" t="s">
        <v>227</v>
      </c>
      <c r="J7" s="81" t="s">
        <v>228</v>
      </c>
      <c r="K7" s="81" t="s">
        <v>229</v>
      </c>
      <c r="L7" s="81" t="s">
        <v>230</v>
      </c>
      <c r="M7" s="81" t="s">
        <v>231</v>
      </c>
      <c r="N7" s="81" t="s">
        <v>232</v>
      </c>
      <c r="O7" s="81" t="s">
        <v>233</v>
      </c>
      <c r="P7" s="81" t="s">
        <v>234</v>
      </c>
      <c r="Q7" s="81" t="s">
        <v>300</v>
      </c>
      <c r="R7" s="81" t="s">
        <v>301</v>
      </c>
      <c r="S7" s="81" t="s">
        <v>302</v>
      </c>
      <c r="T7" s="81" t="s">
        <v>303</v>
      </c>
      <c r="U7" s="81" t="s">
        <v>304</v>
      </c>
      <c r="V7" s="81" t="s">
        <v>305</v>
      </c>
      <c r="W7" s="81" t="s">
        <v>235</v>
      </c>
      <c r="X7" s="81" t="s">
        <v>236</v>
      </c>
    </row>
    <row r="8" spans="1:24" ht="15.75" x14ac:dyDescent="0.25">
      <c r="A8" s="24" t="s">
        <v>237</v>
      </c>
      <c r="B8" s="58"/>
      <c r="C8" s="25"/>
      <c r="D8" s="25"/>
      <c r="E8" s="25"/>
      <c r="F8" s="25"/>
      <c r="G8" s="25"/>
      <c r="H8" s="25"/>
      <c r="I8" s="25"/>
      <c r="J8" s="25"/>
      <c r="K8" s="25"/>
      <c r="L8" s="25"/>
      <c r="M8" s="25"/>
      <c r="N8" s="25"/>
      <c r="O8" s="25"/>
      <c r="P8" s="25"/>
      <c r="Q8" s="25"/>
      <c r="R8" s="25"/>
      <c r="S8" s="25"/>
      <c r="T8" s="25"/>
      <c r="U8" s="25"/>
      <c r="V8" s="25"/>
      <c r="W8" s="25"/>
      <c r="X8" s="25"/>
    </row>
    <row r="9" spans="1:24" x14ac:dyDescent="0.25">
      <c r="A9" s="25" t="s">
        <v>105</v>
      </c>
      <c r="B9" s="55" t="str">
        <f>IF(Feuil1!B160="A chaque repas",3*250,IF(Feuil1!B160="1fois/jour",250,IF(Feuil1!B160="2 à 3 fois/ semaine",250*3/7,IF(Feuil1!B160="1 fois/semaine",250/7,"0"))))</f>
        <v>0</v>
      </c>
      <c r="C9" s="26">
        <f>195*B9/100</f>
        <v>0</v>
      </c>
      <c r="D9" s="26">
        <f>46.2*B9/100</f>
        <v>0</v>
      </c>
      <c r="E9" s="26">
        <f>3.28*B9/100</f>
        <v>0</v>
      </c>
      <c r="F9" s="26">
        <f>1.57*B9/100</f>
        <v>0</v>
      </c>
      <c r="G9" s="26">
        <f>0.94*B9/100</f>
        <v>0</v>
      </c>
      <c r="H9" s="26">
        <f>0.36*B9/100</f>
        <v>0</v>
      </c>
      <c r="I9" s="26">
        <f>0.05*B9/100</f>
        <v>0</v>
      </c>
      <c r="J9" s="26">
        <f>0.027*B9/100</f>
        <v>0</v>
      </c>
      <c r="K9" s="26">
        <f>0.01*B9/100</f>
        <v>0</v>
      </c>
      <c r="L9" s="26">
        <f>5.87*B9/100</f>
        <v>0</v>
      </c>
      <c r="M9" s="26">
        <f>4.82*B9/100</f>
        <v>0</v>
      </c>
      <c r="N9" s="26">
        <f>4.77*B9/100</f>
        <v>0</v>
      </c>
      <c r="O9" s="26">
        <f>B9*116/100</f>
        <v>0</v>
      </c>
      <c r="P9" s="26">
        <f>0.042*B9/100</f>
        <v>0</v>
      </c>
      <c r="Q9" s="26">
        <f>1.39*B9/100</f>
        <v>0</v>
      </c>
      <c r="R9" s="26">
        <f>(18.3*B9/100)+(9.5*B9/100/6)</f>
        <v>0</v>
      </c>
      <c r="S9" s="26">
        <f>0.23*B9/100</f>
        <v>0</v>
      </c>
      <c r="T9" s="26">
        <f>0.12*B9/100</f>
        <v>0</v>
      </c>
      <c r="U9" s="26">
        <f>8.77*B9/100</f>
        <v>0</v>
      </c>
      <c r="V9" s="26">
        <f>0.27*B9/100</f>
        <v>0</v>
      </c>
      <c r="W9" s="26">
        <v>0</v>
      </c>
      <c r="X9" s="26">
        <f>42.8*B9/100</f>
        <v>0</v>
      </c>
    </row>
    <row r="10" spans="1:24" x14ac:dyDescent="0.25">
      <c r="A10" s="25" t="s">
        <v>249</v>
      </c>
      <c r="B10" s="55" t="str">
        <f>IF(Feuil1!E160="A chaque repas",3*250,IF(Feuil1!E160="1fois/jour",250,IF(Feuil1!E160="2 à 3 fois/ semaine",250*3/7,IF(Feuil1!E160="1 fois/semaine",250/7,"0"))))</f>
        <v>0</v>
      </c>
      <c r="C10" s="26">
        <f>155*B10/100</f>
        <v>0</v>
      </c>
      <c r="D10" s="26">
        <f>37.1*B10/100</f>
        <v>0</v>
      </c>
      <c r="E10" s="26">
        <f>3.31*B10/100</f>
        <v>0</v>
      </c>
      <c r="F10" s="26">
        <f>2.07*B10/100</f>
        <v>0</v>
      </c>
      <c r="G10" s="26">
        <f>B10*0.26/100</f>
        <v>0</v>
      </c>
      <c r="H10" s="26">
        <f>0.39*B10/100</f>
        <v>0</v>
      </c>
      <c r="I10" s="26">
        <f>0.99*B10/100</f>
        <v>0</v>
      </c>
      <c r="J10" s="26">
        <f>0.88*B10/100</f>
        <v>0</v>
      </c>
      <c r="K10" s="26">
        <f>0.12*B10/100</f>
        <v>0</v>
      </c>
      <c r="L10" s="26">
        <v>0</v>
      </c>
      <c r="M10" s="26">
        <f>0.7*B10/100</f>
        <v>0</v>
      </c>
      <c r="N10" s="26">
        <f>0.5*B10/100</f>
        <v>0</v>
      </c>
      <c r="O10" s="26">
        <f>12*B10/100</f>
        <v>0</v>
      </c>
      <c r="P10" s="26">
        <f>0.41*B10/100</f>
        <v>0</v>
      </c>
      <c r="Q10" s="26">
        <f>1*B10/100</f>
        <v>0</v>
      </c>
      <c r="R10" s="26">
        <f>(83*B10/100)+(1.33*B10/100/6)</f>
        <v>0</v>
      </c>
      <c r="S10" s="26">
        <f>0.18*B10/100</f>
        <v>0</v>
      </c>
      <c r="T10" s="26">
        <f>0.11*B10/100</f>
        <v>0</v>
      </c>
      <c r="U10" s="26">
        <f>19*B10/100</f>
        <v>0</v>
      </c>
      <c r="V10" s="26">
        <f>0.6*B10/100</f>
        <v>0</v>
      </c>
      <c r="W10" s="26">
        <f>0.6*B10/100</f>
        <v>0</v>
      </c>
      <c r="X10" s="26">
        <f>24.3*B10/100</f>
        <v>0</v>
      </c>
    </row>
    <row r="11" spans="1:24" x14ac:dyDescent="0.25">
      <c r="A11" s="25" t="s">
        <v>106</v>
      </c>
      <c r="B11" s="55" t="str">
        <f>IF(Feuil1!B161="A chaque repas",3*Feuil1!E161,IF(Feuil1!B161="1fois/jour",Feuil1!E161,IF(Feuil1!B161="2 à 3 fois/ semaine",Feuil1!E161*3/7,IF(Feuil1!B161="1 fois/semaine",Feuil1!E161/7,"0"))))</f>
        <v>0</v>
      </c>
      <c r="C11" s="26">
        <f>1440*B11/100</f>
        <v>0</v>
      </c>
      <c r="D11" s="26">
        <f>348*B11/100</f>
        <v>0</v>
      </c>
      <c r="E11" s="26">
        <f>22.2*B11/100</f>
        <v>0</v>
      </c>
      <c r="F11" s="26">
        <f>B11*27.6/100</f>
        <v>0</v>
      </c>
      <c r="G11" s="26">
        <f>17.7*B11/100</f>
        <v>0</v>
      </c>
      <c r="H11" s="26">
        <f>6.92*B11/100</f>
        <v>0</v>
      </c>
      <c r="I11" s="26">
        <f>1.02*B11/100</f>
        <v>0</v>
      </c>
      <c r="J11" s="26">
        <f>0.43*B11/100</f>
        <v>0</v>
      </c>
      <c r="K11" s="26">
        <f>0.14*B11/100</f>
        <v>0</v>
      </c>
      <c r="L11" s="26">
        <f>89.4*B11/100</f>
        <v>0</v>
      </c>
      <c r="M11" s="26">
        <f>0.41*B11/100</f>
        <v>0</v>
      </c>
      <c r="N11" s="26">
        <f>0.34*B11/100</f>
        <v>0</v>
      </c>
      <c r="O11" s="26">
        <f>630*B11/100</f>
        <v>0</v>
      </c>
      <c r="P11" s="26">
        <f>0.29*B11/100</f>
        <v>0</v>
      </c>
      <c r="Q11" s="26">
        <f>0.046*B11/100</f>
        <v>0</v>
      </c>
      <c r="R11" s="26">
        <f>223*B11/100</f>
        <v>0</v>
      </c>
      <c r="S11" s="26">
        <f>0.31*B11/100</f>
        <v>0</v>
      </c>
      <c r="T11" s="26">
        <f>0.56*B11/100</f>
        <v>0</v>
      </c>
      <c r="U11" s="26">
        <f>34.4*B11/100</f>
        <v>0</v>
      </c>
      <c r="V11" s="26">
        <f>1.33*B11/100</f>
        <v>0</v>
      </c>
      <c r="W11" s="26">
        <v>0</v>
      </c>
      <c r="X11" s="26">
        <f>541*B11/100</f>
        <v>0</v>
      </c>
    </row>
    <row r="12" spans="1:24" s="96" customFormat="1" x14ac:dyDescent="0.25">
      <c r="A12" s="25" t="s">
        <v>107</v>
      </c>
      <c r="B12" s="55" t="str">
        <f>IF(Feuil1!B162="A chaque repas",3*125,IF(Feuil1!B162="1fois/jour",125,IF(Feuil1!B162="2 à 3 fois/ semaine",125*3/7,IF(Feuil1!B162="1 fois/semaine",125/7,"0"))))</f>
        <v>0</v>
      </c>
      <c r="C12" s="26">
        <f>228*B12/100</f>
        <v>0</v>
      </c>
      <c r="D12" s="26">
        <f>54.4*B12/100</f>
        <v>0</v>
      </c>
      <c r="E12" s="26">
        <f>4.15*B12/100</f>
        <v>0</v>
      </c>
      <c r="F12" s="26">
        <f>2.74*B12/100</f>
        <v>0</v>
      </c>
      <c r="G12" s="26">
        <f>1.77*B12/100</f>
        <v>0</v>
      </c>
      <c r="H12" s="26">
        <f>0.82*B12/100</f>
        <v>0</v>
      </c>
      <c r="I12" s="26">
        <f>0.088*B12/100</f>
        <v>0</v>
      </c>
      <c r="J12" s="26">
        <f>0.065*B12/100</f>
        <v>0</v>
      </c>
      <c r="K12" s="26">
        <f>0.026*B12/100</f>
        <v>0</v>
      </c>
      <c r="L12" s="26">
        <f>11.8*B12/100</f>
        <v>0</v>
      </c>
      <c r="M12" s="26">
        <f>3.71*B12/100</f>
        <v>0</v>
      </c>
      <c r="N12" s="26">
        <f>3.66*B12/100</f>
        <v>0</v>
      </c>
      <c r="O12" s="26">
        <f>129*B12/100</f>
        <v>0</v>
      </c>
      <c r="P12" s="26">
        <f>0.25*B12/100</f>
        <v>0</v>
      </c>
      <c r="Q12" s="26">
        <f>0.25*B12/100</f>
        <v>0</v>
      </c>
      <c r="R12" s="26">
        <f>(10*B12/100)+(5*B12/100/6)</f>
        <v>0</v>
      </c>
      <c r="S12" s="26">
        <f>0.8*B12/100</f>
        <v>0</v>
      </c>
      <c r="T12" s="26">
        <f>0.065*B12/100</f>
        <v>0</v>
      </c>
      <c r="U12" s="26">
        <f>25.2*B12/100</f>
        <v>0</v>
      </c>
      <c r="V12" s="26">
        <f>0.31*B12/100</f>
        <v>0</v>
      </c>
      <c r="W12" s="26">
        <f>0.0027*B12/100</f>
        <v>0</v>
      </c>
      <c r="X12" s="26">
        <f>50.1*B12/100</f>
        <v>0</v>
      </c>
    </row>
    <row r="13" spans="1:24" s="96" customFormat="1" x14ac:dyDescent="0.25">
      <c r="A13" s="25" t="s">
        <v>250</v>
      </c>
      <c r="B13" s="55">
        <f>IF(Feuil1!D163="non",IF(Feuil1!B163="A chaque repas",3*125,IF(Feuil1!B163="1fois/jour",125,IF(Feuil1!B163="2 à 3 fois/ semaine",125*3/7,IF(Feuil1!B163="1 fois/semaine",125/7,"0")))),0)</f>
        <v>0</v>
      </c>
      <c r="C13" s="26">
        <f>(E13*17)+(F13*38)+(M13*17)</f>
        <v>0</v>
      </c>
      <c r="D13" s="26">
        <f>C13/4.18</f>
        <v>0</v>
      </c>
      <c r="E13" s="26">
        <f>4.27*B13/100</f>
        <v>0</v>
      </c>
      <c r="F13" s="26">
        <f>2.68*B13/100</f>
        <v>0</v>
      </c>
      <c r="G13" s="26">
        <f>0.457*B13/100</f>
        <v>0</v>
      </c>
      <c r="H13" s="26">
        <f>0.626*B13/100</f>
        <v>0</v>
      </c>
      <c r="I13" s="26">
        <f>1.33*B13/100</f>
        <v>0</v>
      </c>
      <c r="J13" s="26">
        <f>0.551*B13/100</f>
        <v>0</v>
      </c>
      <c r="K13" s="26">
        <f>0.06*B13/100</f>
        <v>0</v>
      </c>
      <c r="L13" s="26">
        <v>0</v>
      </c>
      <c r="M13" s="26">
        <f>2.59*B13/100</f>
        <v>0</v>
      </c>
      <c r="N13" s="26">
        <f>1.5*B13/100</f>
        <v>0</v>
      </c>
      <c r="O13" s="26">
        <f>60.2*B13/100</f>
        <v>0</v>
      </c>
      <c r="P13" s="26">
        <f>0.558*B13/100</f>
        <v>0</v>
      </c>
      <c r="Q13" s="26">
        <v>0</v>
      </c>
      <c r="R13" s="26">
        <v>0</v>
      </c>
      <c r="S13" s="26">
        <v>0</v>
      </c>
      <c r="T13" s="26">
        <f>1.82*B13/100</f>
        <v>0</v>
      </c>
      <c r="U13" s="26">
        <f>26.2*B13/100</f>
        <v>0</v>
      </c>
      <c r="V13" s="26">
        <v>0</v>
      </c>
      <c r="W13" s="26">
        <v>0</v>
      </c>
      <c r="X13" s="26">
        <f>35.1*B13/100</f>
        <v>0</v>
      </c>
    </row>
    <row r="14" spans="1:24" s="96" customFormat="1" x14ac:dyDescent="0.25">
      <c r="A14" s="25" t="s">
        <v>251</v>
      </c>
      <c r="B14" s="55">
        <f>IF(Feuil1!D163="oui",IF(Feuil1!B163="A chaque repas",3*125,IF(Feuil1!B163="1fois/jour",125,IF(Feuil1!B163="2 à 3 fois/ semaine",125*3/7,IF(Feuil1!B163="1 fois/semaine",125/7,"0")))),0)</f>
        <v>0</v>
      </c>
      <c r="C14" s="26">
        <f>(E14*17)+(F14*38)+(M14*17)</f>
        <v>0</v>
      </c>
      <c r="D14" s="26">
        <f>C14/4.18</f>
        <v>0</v>
      </c>
      <c r="E14" s="26">
        <f>2.87*B14/100</f>
        <v>0</v>
      </c>
      <c r="F14" s="26">
        <f>1.75*B14/100</f>
        <v>0</v>
      </c>
      <c r="G14" s="26">
        <f>0.343*B14/100</f>
        <v>0</v>
      </c>
      <c r="H14" s="26">
        <f>0.365*B14/100</f>
        <v>0</v>
      </c>
      <c r="I14" s="26">
        <f>0.972*B14/100</f>
        <v>0</v>
      </c>
      <c r="J14" s="26">
        <f>0.851*B14/100</f>
        <v>0</v>
      </c>
      <c r="K14" s="26">
        <f>0.121*B14/100</f>
        <v>0</v>
      </c>
      <c r="L14" s="26">
        <v>0</v>
      </c>
      <c r="M14" s="26">
        <f>21.3*B14/100</f>
        <v>0</v>
      </c>
      <c r="N14" s="26">
        <f>10*B14/100</f>
        <v>0</v>
      </c>
      <c r="O14" s="26">
        <f>119*B14/100</f>
        <v>0</v>
      </c>
      <c r="P14" s="26">
        <f>1.77*B14/100</f>
        <v>0</v>
      </c>
      <c r="Q14" s="26">
        <v>0</v>
      </c>
      <c r="R14" s="26">
        <v>0</v>
      </c>
      <c r="S14" s="26">
        <v>0</v>
      </c>
      <c r="T14" s="26">
        <f>1*B14/100</f>
        <v>0</v>
      </c>
      <c r="U14" s="26">
        <f>21*B14/100</f>
        <v>0</v>
      </c>
      <c r="V14" s="26">
        <v>0</v>
      </c>
      <c r="W14" s="26">
        <v>0</v>
      </c>
      <c r="X14" s="26">
        <f>56*B14/100</f>
        <v>0</v>
      </c>
    </row>
    <row r="15" spans="1:24" s="96" customFormat="1" x14ac:dyDescent="0.25">
      <c r="A15" s="25" t="s">
        <v>238</v>
      </c>
      <c r="B15" s="55" t="str">
        <f>IF(Feuil1!B164="A chaque repas",3*150,IF(Feuil1!B164="1fois/jour",150,IF(Feuil1!B164="2 à 3 fois/ semaine",150*3/7,IF(Feuil1!B164="1 fois/semaine",150/7,"0"))))</f>
        <v>0</v>
      </c>
      <c r="C15" s="26">
        <f t="shared" ref="C15:C64" si="0">(E15*17)+(F15*38)+(M15*17)</f>
        <v>0</v>
      </c>
      <c r="D15" s="26">
        <f t="shared" ref="D15:D65" si="1">C15/4.18</f>
        <v>0</v>
      </c>
      <c r="E15" s="26">
        <f>4.5*B15/100</f>
        <v>0</v>
      </c>
      <c r="F15" s="26">
        <f>2.99*B15/100</f>
        <v>0</v>
      </c>
      <c r="G15" s="26">
        <f>1.7*B15/100</f>
        <v>0</v>
      </c>
      <c r="H15" s="26">
        <f>1*B15/100</f>
        <v>0</v>
      </c>
      <c r="I15" s="26">
        <f>0.17*B15/100</f>
        <v>0</v>
      </c>
      <c r="J15" s="26">
        <v>0</v>
      </c>
      <c r="K15" s="26">
        <v>0</v>
      </c>
      <c r="L15" s="26">
        <f>11*B15/100</f>
        <v>0</v>
      </c>
      <c r="M15" s="26">
        <f>20.3*B15/100</f>
        <v>0</v>
      </c>
      <c r="N15" s="26">
        <f>15.6*B15/100</f>
        <v>0</v>
      </c>
      <c r="O15" s="26">
        <f>154*B15/100</f>
        <v>0</v>
      </c>
      <c r="P15" s="26">
        <f>0.9*B15/100</f>
        <v>0</v>
      </c>
      <c r="Q15" s="26">
        <v>0</v>
      </c>
      <c r="R15" s="26">
        <f>(33*B15/100)+(3*B15/100/6)</f>
        <v>0</v>
      </c>
      <c r="S15" s="26">
        <f>0.1*B15/100</f>
        <v>0</v>
      </c>
      <c r="T15" s="26">
        <f>0.11*B15/100</f>
        <v>0</v>
      </c>
      <c r="U15" s="26">
        <f>22*B15/100</f>
        <v>0</v>
      </c>
      <c r="V15" s="26">
        <f>0.07*B15/100</f>
        <v>0</v>
      </c>
      <c r="W15" s="26">
        <f>0.6*B15/100</f>
        <v>0</v>
      </c>
      <c r="X15" s="26">
        <f>69*B15/100</f>
        <v>0</v>
      </c>
    </row>
    <row r="16" spans="1:24" ht="15.75" x14ac:dyDescent="0.25">
      <c r="A16" s="27" t="s">
        <v>239</v>
      </c>
      <c r="B16" s="59"/>
      <c r="C16" s="28"/>
      <c r="D16" s="28"/>
      <c r="E16" s="28"/>
      <c r="F16" s="28"/>
      <c r="G16" s="28"/>
      <c r="H16" s="28"/>
      <c r="I16" s="28"/>
      <c r="J16" s="28"/>
      <c r="K16" s="28"/>
      <c r="L16" s="28"/>
      <c r="M16" s="28"/>
      <c r="N16" s="28"/>
      <c r="O16" s="28"/>
      <c r="P16" s="28"/>
      <c r="Q16" s="28"/>
      <c r="R16" s="28"/>
      <c r="S16" s="28"/>
      <c r="T16" s="28"/>
      <c r="U16" s="28"/>
      <c r="V16" s="28"/>
      <c r="W16" s="28"/>
      <c r="X16" s="28"/>
    </row>
    <row r="17" spans="1:24" s="96" customFormat="1" x14ac:dyDescent="0.25">
      <c r="A17" s="29" t="s">
        <v>240</v>
      </c>
      <c r="B17" s="60" t="str">
        <f>IF(Feuil1!B171="A chaque repas",2*150,IF(Feuil1!B171="1fois/jour",150,IF(Feuil1!B171="2 à 3 fois/ semaine",150*3/7,IF(Feuil1!B171="1 fois/semaine",150/7,"0"))))</f>
        <v>0</v>
      </c>
      <c r="C17" s="28">
        <f>814*B17/100</f>
        <v>0</v>
      </c>
      <c r="D17" s="28">
        <f>194*B17/100</f>
        <v>0</v>
      </c>
      <c r="E17" s="28">
        <f>26.1*B17/100</f>
        <v>0</v>
      </c>
      <c r="F17" s="28">
        <f>10*B17/100</f>
        <v>0</v>
      </c>
      <c r="G17" s="28">
        <f>4.21/100*B17</f>
        <v>0</v>
      </c>
      <c r="H17" s="28">
        <f>3.8/100*B17</f>
        <v>0</v>
      </c>
      <c r="I17" s="28">
        <f>0.6/100*B17</f>
        <v>0</v>
      </c>
      <c r="J17" s="28">
        <f>0.25*B17/100</f>
        <v>0</v>
      </c>
      <c r="K17" s="28">
        <f>0.036*B17/100</f>
        <v>0</v>
      </c>
      <c r="L17" s="28">
        <f>76.7*B17/100</f>
        <v>0</v>
      </c>
      <c r="M17" s="28">
        <f>0.028*B17/100</f>
        <v>0</v>
      </c>
      <c r="N17" s="28">
        <v>0</v>
      </c>
      <c r="O17" s="28">
        <f>11.7*B17/100</f>
        <v>0</v>
      </c>
      <c r="P17" s="28">
        <f>2.84*B17/100</f>
        <v>0</v>
      </c>
      <c r="Q17" s="28">
        <v>0</v>
      </c>
      <c r="R17" s="28">
        <f>(0.3*B17/100)+(0*B17/100/6)</f>
        <v>0</v>
      </c>
      <c r="S17" s="28">
        <f>0.098*B17/100</f>
        <v>0</v>
      </c>
      <c r="T17" s="28">
        <f>0.26*B17/100</f>
        <v>0</v>
      </c>
      <c r="U17" s="28">
        <f>9.37*B17/100</f>
        <v>0</v>
      </c>
      <c r="V17" s="28">
        <f>1.8*B17/100</f>
        <v>0</v>
      </c>
      <c r="W17" s="28">
        <v>0</v>
      </c>
      <c r="X17" s="28">
        <f>97.2*B17/100</f>
        <v>0</v>
      </c>
    </row>
    <row r="18" spans="1:24" s="96" customFormat="1" x14ac:dyDescent="0.25">
      <c r="A18" s="29" t="s">
        <v>241</v>
      </c>
      <c r="B18" s="60" t="str">
        <f>IF(Feuil1!B172="A chaque repas",2*150,IF(Feuil1!B172="1fois/jour",150,IF(Feuil1!B172="2 à 3 fois/ semaine",150*3/7,IF(Feuil1!B172="1 fois/semaine",150/7,"0"))))</f>
        <v>0</v>
      </c>
      <c r="C18" s="28">
        <f>734*B18/100</f>
        <v>0</v>
      </c>
      <c r="D18" s="28">
        <f>175*B18/100</f>
        <v>0</v>
      </c>
      <c r="E18" s="28">
        <f>27.5*B18/100</f>
        <v>0</v>
      </c>
      <c r="F18" s="28">
        <f>6.84*B18/100</f>
        <v>0</v>
      </c>
      <c r="G18" s="28">
        <f>2.53*B18/100</f>
        <v>0</v>
      </c>
      <c r="H18" s="28">
        <f>2.52*B18/100</f>
        <v>0</v>
      </c>
      <c r="I18" s="28">
        <f>1*B18/100</f>
        <v>0</v>
      </c>
      <c r="J18" s="28">
        <f>0.79*B18/100</f>
        <v>0</v>
      </c>
      <c r="K18" s="28">
        <f>0.057*B18/100</f>
        <v>0</v>
      </c>
      <c r="L18" s="28">
        <f>88.1*B18/100</f>
        <v>0</v>
      </c>
      <c r="M18" s="28">
        <f>0.76*B18/100</f>
        <v>0</v>
      </c>
      <c r="N18" s="28">
        <f>0.03*B18/100</f>
        <v>0</v>
      </c>
      <c r="O18" s="28">
        <f>12.4*B18/100</f>
        <v>0</v>
      </c>
      <c r="P18" s="28">
        <f>0.99*B18/100</f>
        <v>0</v>
      </c>
      <c r="Q18" s="28">
        <f>0.43*B18/100</f>
        <v>0</v>
      </c>
      <c r="R18" s="28">
        <f>(5.3*B18/100)+(0*B18/100/6)</f>
        <v>0</v>
      </c>
      <c r="S18" s="28">
        <f>0.27*B18/100</f>
        <v>0</v>
      </c>
      <c r="T18" s="28">
        <f>0.26*B18/100</f>
        <v>0</v>
      </c>
      <c r="U18" s="28">
        <f>7.73*B18/100</f>
        <v>0</v>
      </c>
      <c r="V18" s="28">
        <f>0.7*B18/100</f>
        <v>0</v>
      </c>
      <c r="W18" s="28">
        <v>0</v>
      </c>
      <c r="X18" s="28">
        <f>71.3*B18/100</f>
        <v>0</v>
      </c>
    </row>
    <row r="19" spans="1:24" s="96" customFormat="1" x14ac:dyDescent="0.25">
      <c r="A19" s="29" t="s">
        <v>252</v>
      </c>
      <c r="B19" s="60" t="str">
        <f>IF(Feuil1!E171="A chaque repas",2*150,IF(Feuil1!E171="1fois/jour",150,IF(Feuil1!E171="2 à 3 fois/ semaine",150*3/7,IF(Feuil1!E171="1 fois/semaine",150/7,"0"))))</f>
        <v>0</v>
      </c>
      <c r="C19" s="28">
        <f>1050*B19/100</f>
        <v>0</v>
      </c>
      <c r="D19" s="28">
        <f>253*B19/100</f>
        <v>0</v>
      </c>
      <c r="E19" s="28">
        <f>15.5*B19/100</f>
        <v>0</v>
      </c>
      <c r="F19" s="28">
        <f>14.7*B19/100</f>
        <v>0</v>
      </c>
      <c r="G19" s="28">
        <f>0.65*B19/100</f>
        <v>0</v>
      </c>
      <c r="H19" s="28">
        <f>5.2*B19/100</f>
        <v>0</v>
      </c>
      <c r="I19" s="28">
        <f>4.6*B19/100</f>
        <v>0</v>
      </c>
      <c r="J19" s="28">
        <f>4.35*B19/100</f>
        <v>0</v>
      </c>
      <c r="K19" s="28">
        <f>0.24*B19/100</f>
        <v>0</v>
      </c>
      <c r="L19" s="28">
        <f>3.16*B19/100</f>
        <v>0</v>
      </c>
      <c r="M19" s="28">
        <f>8.7*B19/100</f>
        <v>0</v>
      </c>
      <c r="N19" s="28">
        <f>2.3*B19/100</f>
        <v>0</v>
      </c>
      <c r="O19" s="28">
        <f>160*B19/100</f>
        <v>0</v>
      </c>
      <c r="P19" s="28">
        <f>2.3*B19/100</f>
        <v>0</v>
      </c>
      <c r="Q19" s="28">
        <f>2*B19/100</f>
        <v>0</v>
      </c>
      <c r="R19" s="28">
        <f>(0*B19/100)+(24*B19/100/6)</f>
        <v>0</v>
      </c>
      <c r="S19" s="28">
        <v>0</v>
      </c>
      <c r="T19" s="28">
        <f>0.2*B19/100</f>
        <v>0</v>
      </c>
      <c r="U19" s="28">
        <f>54.6*B19/100</f>
        <v>0</v>
      </c>
      <c r="V19" s="28">
        <v>0</v>
      </c>
      <c r="W19" s="28">
        <f>8.8*B19/100</f>
        <v>0</v>
      </c>
      <c r="X19" s="28">
        <f>700*B19/100</f>
        <v>0</v>
      </c>
    </row>
    <row r="20" spans="1:24" s="96" customFormat="1" x14ac:dyDescent="0.25">
      <c r="A20" s="29" t="s">
        <v>330</v>
      </c>
      <c r="B20" s="60" t="str">
        <f>IF(Feuil1!B173="A chaque repas",2*150,IF(Feuil1!B173="1fois/jour",150,IF(Feuil1!B173="2 à 3 fois/ semaine",150*3/7,IF(Feuil1!B173="1 fois/semaine",150/7,"0"))))</f>
        <v>0</v>
      </c>
      <c r="C20" s="28">
        <f>449*B20/100</f>
        <v>0</v>
      </c>
      <c r="D20" s="28">
        <f>106*B20/100</f>
        <v>0</v>
      </c>
      <c r="E20" s="28">
        <f>22*B20/100</f>
        <v>0</v>
      </c>
      <c r="F20" s="28">
        <f>2.06*B20/100</f>
        <v>0</v>
      </c>
      <c r="G20" s="28">
        <f>0.42*B20/100</f>
        <v>0</v>
      </c>
      <c r="H20" s="28">
        <f>0.61*B20/100</f>
        <v>0</v>
      </c>
      <c r="I20" s="28">
        <f>0.45*B20/100</f>
        <v>0</v>
      </c>
      <c r="J20" s="28">
        <f>0.069*B20/100</f>
        <v>0</v>
      </c>
      <c r="K20" s="28">
        <f>0.016*B20/100</f>
        <v>0</v>
      </c>
      <c r="L20" s="28">
        <f>63.2*B20/100</f>
        <v>0</v>
      </c>
      <c r="M20" s="28">
        <v>0</v>
      </c>
      <c r="N20" s="28">
        <v>0</v>
      </c>
      <c r="O20" s="28">
        <f>29.8*B20/100</f>
        <v>0</v>
      </c>
      <c r="P20" s="28">
        <f>0.37*B20/100</f>
        <v>0</v>
      </c>
      <c r="Q20" s="28">
        <f>0.41*B20/100</f>
        <v>0</v>
      </c>
      <c r="R20" s="28">
        <f>(31.9*B20/100)+(0*B20/100/6)</f>
        <v>0</v>
      </c>
      <c r="S20" s="28">
        <f>1.43*B20/100</f>
        <v>0</v>
      </c>
      <c r="T20" s="28">
        <f>0.71*B20/100</f>
        <v>0</v>
      </c>
      <c r="U20" s="28">
        <f>15.3*B20/100</f>
        <v>0</v>
      </c>
      <c r="V20" s="28">
        <f>2.51*B20/100</f>
        <v>0</v>
      </c>
      <c r="W20" s="28">
        <v>0</v>
      </c>
      <c r="X20" s="28">
        <f>350*B20/100</f>
        <v>0</v>
      </c>
    </row>
    <row r="21" spans="1:24" s="96" customFormat="1" x14ac:dyDescent="0.25">
      <c r="A21" s="29" t="s">
        <v>242</v>
      </c>
      <c r="B21" s="60" t="str">
        <f>IF(Feuil1!B174="A chaque repas",2*150,IF(Feuil1!B174="1fois/jour",150,IF(Feuil1!B174="2 à 3 fois/ semaine",150*3/7,IF(Feuil1!B174="1 fois/semaine",150/7,"0"))))</f>
        <v>0</v>
      </c>
      <c r="C21" s="28">
        <f t="shared" si="0"/>
        <v>0</v>
      </c>
      <c r="D21" s="28">
        <f t="shared" si="1"/>
        <v>0</v>
      </c>
      <c r="E21" s="28">
        <f>23.6*B21/100</f>
        <v>0</v>
      </c>
      <c r="F21" s="28">
        <f>11.8*B21/100</f>
        <v>0</v>
      </c>
      <c r="G21" s="28">
        <f>1.84*B21/100</f>
        <v>0</v>
      </c>
      <c r="H21" s="28">
        <f>4.8*B21/100</f>
        <v>0</v>
      </c>
      <c r="I21" s="28">
        <f>3.3*B21/100</f>
        <v>0</v>
      </c>
      <c r="J21" s="28">
        <f>1.5/100*B21</f>
        <v>0</v>
      </c>
      <c r="K21" s="28">
        <f>2*B21/100</f>
        <v>0</v>
      </c>
      <c r="L21" s="28">
        <f>54*B21/100</f>
        <v>0</v>
      </c>
      <c r="M21" s="28">
        <v>0</v>
      </c>
      <c r="N21" s="28">
        <v>0</v>
      </c>
      <c r="O21" s="28">
        <f>9.23*B21/100</f>
        <v>0</v>
      </c>
      <c r="P21" s="28">
        <f>0.7*B21/100</f>
        <v>0</v>
      </c>
      <c r="Q21" s="28">
        <v>0</v>
      </c>
      <c r="R21" s="28">
        <f>(14*B21/100)+(0*B21/100/6)</f>
        <v>0</v>
      </c>
      <c r="S21" s="28">
        <f>8.7*B21/100</f>
        <v>0</v>
      </c>
      <c r="T21" s="28">
        <f>2.07*B21/100</f>
        <v>0</v>
      </c>
      <c r="U21" s="28">
        <f>11.7*B21/100</f>
        <v>0</v>
      </c>
      <c r="V21" s="28">
        <f>3.05*B21/100</f>
        <v>0</v>
      </c>
      <c r="W21" s="28">
        <v>0</v>
      </c>
      <c r="X21" s="28">
        <f>51.5*B21/100</f>
        <v>0</v>
      </c>
    </row>
    <row r="22" spans="1:24" s="96" customFormat="1" x14ac:dyDescent="0.25">
      <c r="A22" s="29" t="s">
        <v>113</v>
      </c>
      <c r="B22" s="60" t="str">
        <f>IF(Feuil1!B175="A chaque repas",2*150,IF(Feuil1!B175="1fois/jour",150,IF(Feuil1!B175="2 à 3 fois/ semaine",150*3/7,IF(Feuil1!B175="1 fois/semaine",150/7,"0"))))</f>
        <v>0</v>
      </c>
      <c r="C22" s="28">
        <f>691*B22/100</f>
        <v>0</v>
      </c>
      <c r="D22" s="28">
        <f>164*B22/100</f>
        <v>0</v>
      </c>
      <c r="E22" s="28">
        <f>25*B22/100</f>
        <v>0</v>
      </c>
      <c r="F22" s="28">
        <f>5.98*B22/100</f>
        <v>0</v>
      </c>
      <c r="G22" s="28">
        <f>2.02*B22/100</f>
        <v>0</v>
      </c>
      <c r="H22" s="28">
        <f>1.55*B22/100</f>
        <v>0</v>
      </c>
      <c r="I22" s="28">
        <f>0.8*B22/100</f>
        <v>0</v>
      </c>
      <c r="J22" s="28">
        <f>0.44*B22/100</f>
        <v>0</v>
      </c>
      <c r="K22" s="28">
        <f>0.031*B22/100</f>
        <v>0</v>
      </c>
      <c r="L22" s="28">
        <f>327*B22/100</f>
        <v>0</v>
      </c>
      <c r="M22" s="28">
        <f>2.72*B22/100</f>
        <v>0</v>
      </c>
      <c r="N22" s="28">
        <f>0.028*B22/100</f>
        <v>0</v>
      </c>
      <c r="O22" s="28">
        <f>9.63*B22/100</f>
        <v>0</v>
      </c>
      <c r="P22" s="28">
        <f>6.57*B22/100</f>
        <v>0</v>
      </c>
      <c r="Q22" s="28">
        <f>10.4*B22/100</f>
        <v>0</v>
      </c>
      <c r="R22" s="28">
        <f>(1200*B22/100)+(0*B22/100/6)</f>
        <v>0</v>
      </c>
      <c r="S22" s="28">
        <f>0.79*B22/100</f>
        <v>0</v>
      </c>
      <c r="T22" s="28">
        <f>0.38*B22/100</f>
        <v>0</v>
      </c>
      <c r="U22" s="28">
        <f>240*B22/100</f>
        <v>0</v>
      </c>
      <c r="V22" s="28">
        <f>21.4*B22/100</f>
        <v>0</v>
      </c>
      <c r="W22" s="28">
        <f>0.12*B22/100</f>
        <v>0</v>
      </c>
      <c r="X22" s="28">
        <f>250*B22/100</f>
        <v>0</v>
      </c>
    </row>
    <row r="23" spans="1:24" s="96" customFormat="1" x14ac:dyDescent="0.25">
      <c r="A23" s="29" t="s">
        <v>114</v>
      </c>
      <c r="B23" s="60" t="str">
        <f>IF(Feuil1!B176="A chaque repas",2*Feuil1!D176*50,IF(Feuil1!B176="1fois/jour",Feuil1!D176*50,IF(Feuil1!B176="2 à 3 fois/ semaine",Feuil1!D176*50*3/7,IF(Feuil1!B176="1 fois/semaine",Feuil1!D176*50/7,"0"))))</f>
        <v>0</v>
      </c>
      <c r="C23" s="28">
        <f t="shared" si="0"/>
        <v>0</v>
      </c>
      <c r="D23" s="28">
        <f t="shared" si="1"/>
        <v>0</v>
      </c>
      <c r="E23" s="28">
        <f>12.3*B23/100</f>
        <v>0</v>
      </c>
      <c r="F23" s="28">
        <f>10.6*B23/100</f>
        <v>0</v>
      </c>
      <c r="G23" s="28">
        <f>3.27*B23/100</f>
        <v>0</v>
      </c>
      <c r="H23" s="28">
        <f>4.08*B23/100</f>
        <v>0</v>
      </c>
      <c r="I23" s="28">
        <f>1.41*B23/100</f>
        <v>0</v>
      </c>
      <c r="J23" s="28">
        <f>14*F23/100</f>
        <v>0</v>
      </c>
      <c r="K23" s="28">
        <f>1/100*F23</f>
        <v>0</v>
      </c>
      <c r="L23" s="28">
        <f>363*B23/100</f>
        <v>0</v>
      </c>
      <c r="M23" s="28">
        <f>0.8*B23/100</f>
        <v>0</v>
      </c>
      <c r="N23" s="28">
        <v>0</v>
      </c>
      <c r="O23" s="28">
        <f>69.9*B23/100</f>
        <v>0</v>
      </c>
      <c r="P23" s="28">
        <f>1.64*B23/100</f>
        <v>0</v>
      </c>
      <c r="Q23" s="28">
        <v>0</v>
      </c>
      <c r="R23" s="28">
        <f>(168*B23/100)+(11*B23/100/6)</f>
        <v>0</v>
      </c>
      <c r="S23" s="28">
        <f>1.7*B23/100</f>
        <v>0</v>
      </c>
      <c r="T23" s="28">
        <f>1.05*B23/100</f>
        <v>0</v>
      </c>
      <c r="U23" s="28">
        <f>75*B23/100</f>
        <v>0</v>
      </c>
      <c r="V23" s="28">
        <f>1.11*B23/100</f>
        <v>0</v>
      </c>
      <c r="W23" s="28">
        <v>0</v>
      </c>
      <c r="X23" s="28">
        <f>117*B23/100</f>
        <v>0</v>
      </c>
    </row>
    <row r="24" spans="1:24" s="96" customFormat="1" x14ac:dyDescent="0.25">
      <c r="A24" s="29" t="s">
        <v>115</v>
      </c>
      <c r="B24" s="60" t="str">
        <f>IF(Feuil1!B177="A chaque repas",2*Feuil1!G177,IF(Feuil1!B177="1fois/jour",Feuil1!G177,IF(Feuil1!B177="2 à 3 fois/ semaine",Feuil1!G177*3/7,IF(Feuil1!B177="1 fois/semaine",Feuil1!G177/7,"0"))))</f>
        <v>0</v>
      </c>
      <c r="C24" s="28">
        <f t="shared" si="0"/>
        <v>0</v>
      </c>
      <c r="D24" s="28">
        <f t="shared" si="1"/>
        <v>0</v>
      </c>
      <c r="E24" s="28">
        <f>18*B24/100</f>
        <v>0</v>
      </c>
      <c r="F24" s="28">
        <f>17*B24/100</f>
        <v>0</v>
      </c>
      <c r="G24" s="28">
        <f>6*B24/100</f>
        <v>0</v>
      </c>
      <c r="H24" s="28">
        <f>8*B24/100</f>
        <v>0</v>
      </c>
      <c r="I24" s="28">
        <f>1.9/100*B24</f>
        <v>0</v>
      </c>
      <c r="J24" s="28">
        <v>0</v>
      </c>
      <c r="K24" s="28">
        <v>0</v>
      </c>
      <c r="L24" s="28">
        <f>75.2*B24/100</f>
        <v>0</v>
      </c>
      <c r="M24" s="28">
        <f>2.1/100*B24</f>
        <v>0</v>
      </c>
      <c r="N24" s="28">
        <v>0</v>
      </c>
      <c r="O24" s="28">
        <f>15*B24/100</f>
        <v>0</v>
      </c>
      <c r="P24" s="28">
        <f>1.7*B24/100</f>
        <v>0</v>
      </c>
      <c r="Q24" s="28">
        <f>6.4*B24/100</f>
        <v>0</v>
      </c>
      <c r="R24" s="28">
        <f>(602*B24/100)+(0*B24/100/6)</f>
        <v>0</v>
      </c>
      <c r="S24" s="28">
        <f>0.34*B24/100</f>
        <v>0</v>
      </c>
      <c r="T24" s="28">
        <f>0.27/100*B24</f>
        <v>0</v>
      </c>
      <c r="U24" s="28">
        <f>24.6*B24/100</f>
        <v>0</v>
      </c>
      <c r="V24" s="28">
        <f>0.66*B24/100</f>
        <v>0</v>
      </c>
      <c r="W24" s="28">
        <f>0.07*B24/100</f>
        <v>0</v>
      </c>
      <c r="X24" s="28">
        <f>950*B24/100</f>
        <v>0</v>
      </c>
    </row>
    <row r="25" spans="1:24" s="96" customFormat="1" x14ac:dyDescent="0.25">
      <c r="A25" s="29" t="s">
        <v>320</v>
      </c>
      <c r="B25" s="60" t="str">
        <f>IF(Feuil1!B178="A chaque repas",2*Feuil1!G178,IF(Feuil1!B178="1fois/jour",Feuil1!G178,IF(Feuil1!B178="2 à 3 fois/ semaine",Feuil1!G178*3/7,IF(Feuil1!B178="1 fois/semaine",Feuil1!G178/7,"0"))))</f>
        <v>0</v>
      </c>
      <c r="C25" s="28">
        <f>(E25*17)+(F25*38)+(M25*17)</f>
        <v>0</v>
      </c>
      <c r="D25" s="28">
        <f>C25/4.18</f>
        <v>0</v>
      </c>
      <c r="E25" s="28">
        <f>20.3*B25/100</f>
        <v>0</v>
      </c>
      <c r="F25" s="28">
        <f>3.66*B25/100</f>
        <v>0</v>
      </c>
      <c r="G25" s="28">
        <f>1.24*B25/100</f>
        <v>0</v>
      </c>
      <c r="H25" s="28">
        <f>0.98*B25/100</f>
        <v>0</v>
      </c>
      <c r="I25" s="28">
        <f>0.3/100*B25</f>
        <v>0</v>
      </c>
      <c r="J25" s="28">
        <f>0.22/100*B25</f>
        <v>0</v>
      </c>
      <c r="K25" s="28">
        <f>0.012/100*B25</f>
        <v>0</v>
      </c>
      <c r="L25" s="28">
        <f>57*B25/100</f>
        <v>0</v>
      </c>
      <c r="M25" s="28">
        <f>1.03/100*B25</f>
        <v>0</v>
      </c>
      <c r="N25" s="28">
        <f>0.82/100*B25</f>
        <v>0</v>
      </c>
      <c r="O25" s="28">
        <f>20*B25/100</f>
        <v>0</v>
      </c>
      <c r="P25" s="28">
        <f>0.8*B25/100</f>
        <v>0</v>
      </c>
      <c r="Q25" s="28">
        <v>0</v>
      </c>
      <c r="R25" s="28">
        <v>0</v>
      </c>
      <c r="S25" s="28">
        <f>0.7*B25/100</f>
        <v>0</v>
      </c>
      <c r="T25" s="28">
        <f>0.17/100*B25</f>
        <v>0</v>
      </c>
      <c r="U25" s="28">
        <f>2.7*B25/100</f>
        <v>0</v>
      </c>
      <c r="V25" s="28">
        <f>0.32*B25/100</f>
        <v>0</v>
      </c>
      <c r="W25" s="28">
        <f>0.32*B25/100</f>
        <v>0</v>
      </c>
      <c r="X25" s="28">
        <f>722*B25/100</f>
        <v>0</v>
      </c>
    </row>
    <row r="26" spans="1:24" s="97" customFormat="1" ht="15.75" x14ac:dyDescent="0.25">
      <c r="A26" s="30" t="s">
        <v>116</v>
      </c>
      <c r="B26" s="61"/>
      <c r="C26" s="98"/>
      <c r="D26" s="98"/>
      <c r="E26" s="98"/>
      <c r="F26" s="98"/>
      <c r="G26" s="98"/>
      <c r="H26" s="98"/>
      <c r="I26" s="98"/>
      <c r="J26" s="98"/>
      <c r="K26" s="98"/>
      <c r="L26" s="98"/>
      <c r="M26" s="98"/>
      <c r="N26" s="98"/>
      <c r="O26" s="98"/>
      <c r="P26" s="98"/>
      <c r="Q26" s="98"/>
      <c r="R26" s="98"/>
      <c r="S26" s="98"/>
      <c r="T26" s="98"/>
      <c r="U26" s="98"/>
      <c r="V26" s="98"/>
      <c r="W26" s="98"/>
      <c r="X26" s="98"/>
    </row>
    <row r="27" spans="1:24" s="96" customFormat="1" x14ac:dyDescent="0.25">
      <c r="A27" s="32" t="s">
        <v>243</v>
      </c>
      <c r="B27" s="62" t="str">
        <f>IF(Feuil1!D186="Blanc",IF(Feuil1!B186="A chaque repas",3*Feuil1!G186,IF(Feuil1!B186="1fois/jour",Feuil1!G186,IF(Feuil1!B186="2 à 3 fois/ semaine",Feuil1!G186*3/7,IF(Feuil1!B186="1 fois/semaine",Feuil1!G186/7,"0")))),"0")</f>
        <v>0</v>
      </c>
      <c r="C27" s="31">
        <f>1200*B27/100</f>
        <v>0</v>
      </c>
      <c r="D27" s="31">
        <f>283*B27/100</f>
        <v>0</v>
      </c>
      <c r="E27" s="31">
        <f>8.55*B27/100</f>
        <v>0</v>
      </c>
      <c r="F27" s="31">
        <f>2.5*B27/100</f>
        <v>0</v>
      </c>
      <c r="G27" s="31">
        <f>0.29*B27/100</f>
        <v>0</v>
      </c>
      <c r="H27" s="31">
        <f>0.17*B27/100</f>
        <v>0</v>
      </c>
      <c r="I27" s="31">
        <f>0.55*B27/100</f>
        <v>0</v>
      </c>
      <c r="J27" s="31">
        <f>0.29*B27/100</f>
        <v>0</v>
      </c>
      <c r="K27" s="31">
        <f>0.032*B27/100</f>
        <v>0</v>
      </c>
      <c r="L27" s="31">
        <f>0.075*B27/100</f>
        <v>0</v>
      </c>
      <c r="M27" s="31">
        <f>54.2*B27/100</f>
        <v>0</v>
      </c>
      <c r="N27" s="31">
        <f>2.7*B27/100</f>
        <v>0</v>
      </c>
      <c r="O27" s="31">
        <f>20*B27/100</f>
        <v>0</v>
      </c>
      <c r="P27" s="31">
        <f>1.06*B27/100</f>
        <v>0</v>
      </c>
      <c r="Q27" s="31">
        <v>0</v>
      </c>
      <c r="R27" s="31">
        <v>0</v>
      </c>
      <c r="S27" s="31">
        <v>0</v>
      </c>
      <c r="T27" s="31">
        <f>0.12*B27/100</f>
        <v>0</v>
      </c>
      <c r="U27" s="31">
        <f>10*B27/100</f>
        <v>0</v>
      </c>
      <c r="V27" s="31">
        <f>0.095*B27/100</f>
        <v>0</v>
      </c>
      <c r="W27" s="31">
        <f>2.9*B27/100</f>
        <v>0</v>
      </c>
      <c r="X27" s="31">
        <f>730*B27/100</f>
        <v>0</v>
      </c>
    </row>
    <row r="28" spans="1:24" s="96" customFormat="1" x14ac:dyDescent="0.25">
      <c r="A28" s="32" t="s">
        <v>244</v>
      </c>
      <c r="B28" s="62" t="str">
        <f>IF(Feuil1!D186="Complet",IF(Feuil1!B186="A chaque repas",3*Feuil1!G186,IF(Feuil1!B186="1fois/jour",Feuil1!G186,IF(Feuil1!B186="2 à 3 fois/ semaine",Feuil1!G186*3/7,IF(Feuil1!B186="1 fois/semaine",Feuil1!G186/7,"0")))),"0")</f>
        <v>0</v>
      </c>
      <c r="C28" s="31">
        <f>1080*B28/100</f>
        <v>0</v>
      </c>
      <c r="D28" s="31">
        <f>256*B28/100</f>
        <v>0</v>
      </c>
      <c r="E28" s="31">
        <f>10.2*B28/100</f>
        <v>0</v>
      </c>
      <c r="F28" s="31">
        <f>3.7*B28/100</f>
        <v>0</v>
      </c>
      <c r="G28" s="31">
        <f>0.7*B28/100</f>
        <v>0</v>
      </c>
      <c r="H28" s="31">
        <f>0.14*B28/100</f>
        <v>0</v>
      </c>
      <c r="I28" s="31">
        <f>0.5*B28/100</f>
        <v>0</v>
      </c>
      <c r="J28" s="31">
        <f>0.47*B28/100</f>
        <v>0</v>
      </c>
      <c r="K28" s="31">
        <f>0.024*B28/100</f>
        <v>0</v>
      </c>
      <c r="L28" s="31">
        <f>0.37*B28/100</f>
        <v>0</v>
      </c>
      <c r="M28" s="31">
        <f>40.8*B28/100</f>
        <v>0</v>
      </c>
      <c r="N28" s="31">
        <f>2.9*B28/100</f>
        <v>0</v>
      </c>
      <c r="O28" s="31">
        <f>31.9*B28/100</f>
        <v>0</v>
      </c>
      <c r="P28" s="31">
        <f>2.09*B28/100</f>
        <v>0</v>
      </c>
      <c r="Q28" s="31">
        <v>0</v>
      </c>
      <c r="R28" s="31">
        <v>0</v>
      </c>
      <c r="S28" s="31">
        <v>0</v>
      </c>
      <c r="T28" s="31">
        <f>0.3*B28/100</f>
        <v>0</v>
      </c>
      <c r="U28" s="31">
        <f>26.4*B28/100</f>
        <v>0</v>
      </c>
      <c r="V28" s="31">
        <f>0.11*B28/100</f>
        <v>0</v>
      </c>
      <c r="W28" s="31">
        <f>7.3*B28/100</f>
        <v>0</v>
      </c>
      <c r="X28" s="31">
        <f>398*B28/100</f>
        <v>0</v>
      </c>
    </row>
    <row r="29" spans="1:24" s="96" customFormat="1" x14ac:dyDescent="0.25">
      <c r="A29" s="32" t="s">
        <v>245</v>
      </c>
      <c r="B29" s="62" t="str">
        <f>IF(Feuil1!$D$186="Pain de mie",IF(Feuil1!$B$186="A chaque repas",3*Feuil1!$G$186,IF(Feuil1!$B$186="1fois/jour",Feuil1!$G$186,IF(Feuil1!$B$186="2 à 3 fois/ semaine",Feuil1!$G$186*3/7,IF(Feuil1!$B$186="1 fois/semaine",Feuil1!$G$186/7,"0")))),"0")</f>
        <v>0</v>
      </c>
      <c r="C29" s="31">
        <f>1200*B29/100</f>
        <v>0</v>
      </c>
      <c r="D29" s="31">
        <f>284*B29/100</f>
        <v>0</v>
      </c>
      <c r="E29" s="31">
        <f>7.61*B29/100</f>
        <v>0</v>
      </c>
      <c r="F29" s="31">
        <f>4.35*B29/100</f>
        <v>0</v>
      </c>
      <c r="G29" s="31">
        <f>1.55*B29/100</f>
        <v>0</v>
      </c>
      <c r="H29" s="31">
        <f>0.85*B29/100</f>
        <v>0</v>
      </c>
      <c r="I29" s="31">
        <f>0.51*B29/100</f>
        <v>0</v>
      </c>
      <c r="J29" s="31">
        <f>0.39*B29/100</f>
        <v>0</v>
      </c>
      <c r="K29" s="31">
        <f>0.12*B29/100</f>
        <v>0</v>
      </c>
      <c r="L29" s="31">
        <f>3.2*B29/100</f>
        <v>0</v>
      </c>
      <c r="M29" s="31">
        <f>50.8*B29/100</f>
        <v>0</v>
      </c>
      <c r="N29" s="31">
        <f>6.03*B29/100</f>
        <v>0</v>
      </c>
      <c r="O29" s="31">
        <f>122*B29/100</f>
        <v>0</v>
      </c>
      <c r="P29" s="31">
        <f>1.03*B29/100</f>
        <v>0</v>
      </c>
      <c r="Q29" s="31">
        <v>0</v>
      </c>
      <c r="R29" s="31">
        <v>0</v>
      </c>
      <c r="S29" s="31">
        <v>0</v>
      </c>
      <c r="T29" s="31">
        <f>0.074*B29/100</f>
        <v>0</v>
      </c>
      <c r="U29" s="31">
        <v>0</v>
      </c>
      <c r="V29" s="31">
        <v>0</v>
      </c>
      <c r="W29" s="31">
        <f>3.42*B29/100</f>
        <v>0</v>
      </c>
      <c r="X29" s="31">
        <f>495*B29/100</f>
        <v>0</v>
      </c>
    </row>
    <row r="30" spans="1:24" s="96" customFormat="1" x14ac:dyDescent="0.25">
      <c r="A30" s="32" t="s">
        <v>180</v>
      </c>
      <c r="B30" s="62" t="str">
        <f>IF(Feuil1!$D$186="Biscottes",IF(Feuil1!$B$186="A chaque repas",3*10*Feuil1!$G$186,IF(Feuil1!$B$186="1fois/jour",10*Feuil1!$G$186,IF(Feuil1!$B$186="2 à 3 fois/ semaine",10*Feuil1!$G$186*3/7,IF(Feuil1!$B$186="1 fois/semaine",10*Feuil1!$G$186/7,"0")))),"0")</f>
        <v>0</v>
      </c>
      <c r="C30" s="31">
        <f>1760*B30/100</f>
        <v>0</v>
      </c>
      <c r="D30" s="31">
        <f>417*B30/100</f>
        <v>0</v>
      </c>
      <c r="E30" s="31">
        <f>9.24*B30/100</f>
        <v>0</v>
      </c>
      <c r="F30" s="31">
        <f>6.53*B30/100</f>
        <v>0</v>
      </c>
      <c r="G30" s="31">
        <f>2.85*B30/100</f>
        <v>0</v>
      </c>
      <c r="H30" s="31">
        <f>1.05*B30/100</f>
        <v>0</v>
      </c>
      <c r="I30" s="31">
        <f>0.47*B30/100</f>
        <v>0</v>
      </c>
      <c r="J30" s="31">
        <f>0.42*B30/100</f>
        <v>0</v>
      </c>
      <c r="K30" s="31">
        <f>0.048*B30/100</f>
        <v>0</v>
      </c>
      <c r="L30" s="31">
        <f>0</f>
        <v>0</v>
      </c>
      <c r="M30" s="31">
        <f>77.1*B30/100</f>
        <v>0</v>
      </c>
      <c r="N30" s="31">
        <f>6.55*B30/100</f>
        <v>0</v>
      </c>
      <c r="O30" s="31">
        <f>23.4*B30/100</f>
        <v>0</v>
      </c>
      <c r="P30" s="31">
        <f>1.37*B30/100</f>
        <v>0</v>
      </c>
      <c r="Q30" s="31">
        <v>0</v>
      </c>
      <c r="R30" s="31">
        <v>0</v>
      </c>
      <c r="S30" s="31">
        <f>0.345*B30/100</f>
        <v>0</v>
      </c>
      <c r="T30" s="31">
        <f>0.77*B30/100</f>
        <v>0</v>
      </c>
      <c r="U30" s="31">
        <f>0.23*B30/100</f>
        <v>0</v>
      </c>
      <c r="V30" s="31">
        <v>0</v>
      </c>
      <c r="W30" s="31">
        <f>4.86*B30/100</f>
        <v>0</v>
      </c>
      <c r="X30" s="31">
        <f>589*B30/100</f>
        <v>0</v>
      </c>
    </row>
    <row r="31" spans="1:24" s="96" customFormat="1" x14ac:dyDescent="0.25">
      <c r="A31" s="32" t="s">
        <v>181</v>
      </c>
      <c r="B31" s="62" t="str">
        <f>IF(Feuil1!D186="Muesli",IF(Feuil1!B186="A chaque repas",3*Feuil1!G186,IF(Feuil1!B186="1fois/jour",Feuil1!G186,IF(Feuil1!B186="2 à 3 fois/ semaine",Feuil1!G186*3/7,IF(Feuil1!B186="1 fois/semaine",Feuil1!G186/7,"0")))),"0")</f>
        <v>0</v>
      </c>
      <c r="C31" s="31">
        <f>1780*B31/100</f>
        <v>0</v>
      </c>
      <c r="D31" s="31">
        <f>424*B31/100</f>
        <v>0</v>
      </c>
      <c r="E31" s="31">
        <f>7.4*B31/100</f>
        <v>0</v>
      </c>
      <c r="F31" s="31">
        <f>12.3*B31/100</f>
        <v>0</v>
      </c>
      <c r="G31" s="31">
        <f>5.18*B31/100</f>
        <v>0</v>
      </c>
      <c r="H31" s="31">
        <f>4.42*B31/100</f>
        <v>0</v>
      </c>
      <c r="I31" s="31">
        <f>1.97*B31/100</f>
        <v>0</v>
      </c>
      <c r="J31" s="31">
        <f>1.94*B31/100</f>
        <v>0</v>
      </c>
      <c r="K31" s="31">
        <f>0.046*B31/100</f>
        <v>0</v>
      </c>
      <c r="L31" s="31">
        <f>1.81*B31/100</f>
        <v>0</v>
      </c>
      <c r="M31" s="31">
        <f>67.9*B31/100</f>
        <v>0</v>
      </c>
      <c r="N31" s="31">
        <f>25.8*B31/100</f>
        <v>0</v>
      </c>
      <c r="O31" s="31">
        <f>75.8*B31/100</f>
        <v>0</v>
      </c>
      <c r="P31" s="31">
        <f>5.58*B31/100</f>
        <v>0</v>
      </c>
      <c r="Q31" s="31">
        <f>4.23*B31/100</f>
        <v>0</v>
      </c>
      <c r="R31" s="31">
        <f>(1.26+0.76)*B31/100</f>
        <v>0</v>
      </c>
      <c r="S31" s="31">
        <f>0.16*B31/100</f>
        <v>0</v>
      </c>
      <c r="T31" s="31">
        <f>1.77*B31/100</f>
        <v>0</v>
      </c>
      <c r="U31" s="31">
        <f>1.03*B31/100</f>
        <v>0</v>
      </c>
      <c r="V31" s="31">
        <f>170*B31/100</f>
        <v>0</v>
      </c>
      <c r="W31" s="31">
        <f>6.03*B31/100</f>
        <v>0</v>
      </c>
      <c r="X31" s="31">
        <f>307*B31/100</f>
        <v>0</v>
      </c>
    </row>
    <row r="32" spans="1:24" s="96" customFormat="1" x14ac:dyDescent="0.25">
      <c r="A32" s="32" t="s">
        <v>246</v>
      </c>
      <c r="B32" s="62" t="str">
        <f>IF(Feuil1!B187="A chaque repas",2*Feuil1!G187,IF(Feuil1!B187="1fois/jour",Feuil1!G187,IF(Feuil1!B187="2 à 3 fois/ semaine",Feuil1!G187*3/7,IF(Feuil1!B187="1 fois/semaine",Feuil1!G187/7,"0"))))</f>
        <v>0</v>
      </c>
      <c r="C32" s="31">
        <f t="shared" si="0"/>
        <v>0</v>
      </c>
      <c r="D32" s="31">
        <f t="shared" si="1"/>
        <v>0</v>
      </c>
      <c r="E32" s="31">
        <f>2.4*B32/100</f>
        <v>0</v>
      </c>
      <c r="F32" s="31">
        <f>0.2*B32/100</f>
        <v>0</v>
      </c>
      <c r="G32" s="31">
        <f>0.05*B32/100</f>
        <v>0</v>
      </c>
      <c r="H32" s="31">
        <f>0.05*B32/100</f>
        <v>0</v>
      </c>
      <c r="I32" s="31">
        <f>0.05*B32/100</f>
        <v>0</v>
      </c>
      <c r="J32" s="31">
        <v>0</v>
      </c>
      <c r="K32" s="31">
        <v>0</v>
      </c>
      <c r="L32" s="31">
        <f>0.3*B32/100</f>
        <v>0</v>
      </c>
      <c r="M32" s="31">
        <f>27.2*B32/100</f>
        <v>0</v>
      </c>
      <c r="N32" s="31">
        <f>0.5*B32/100</f>
        <v>0</v>
      </c>
      <c r="O32" s="31">
        <f>9.3*B32/100</f>
        <v>0</v>
      </c>
      <c r="P32" s="31">
        <f>0.2*B32/100</f>
        <v>0</v>
      </c>
      <c r="Q32" s="31">
        <v>0</v>
      </c>
      <c r="R32" s="31">
        <v>0</v>
      </c>
      <c r="S32" s="31">
        <v>0</v>
      </c>
      <c r="T32" s="31">
        <v>0</v>
      </c>
      <c r="U32" s="31">
        <f>2*B32/100</f>
        <v>0</v>
      </c>
      <c r="V32" s="31">
        <v>0</v>
      </c>
      <c r="W32" s="31">
        <f>0.4*B32/100</f>
        <v>0</v>
      </c>
      <c r="X32" s="31">
        <f>1*B32/100</f>
        <v>0</v>
      </c>
    </row>
    <row r="33" spans="1:24" s="96" customFormat="1" x14ac:dyDescent="0.25">
      <c r="A33" s="32" t="s">
        <v>119</v>
      </c>
      <c r="B33" s="62" t="str">
        <f>IF(Feuil1!B188="A chaque repas",3*Feuil1!G188,IF(Feuil1!B188="1fois/jour",Feuil1!G188,IF(Feuil1!B188="2 à 3 fois/ semaine",Feuil1!G188*3/7,IF(Feuil1!B188="1 fois/semaine",Feuil1!G188/7,"0"))))</f>
        <v>0</v>
      </c>
      <c r="C33" s="31">
        <f>384*B33/100</f>
        <v>0</v>
      </c>
      <c r="D33" s="31">
        <f>90.8*B33/100</f>
        <v>0</v>
      </c>
      <c r="E33" s="31">
        <f>1.97*B33/100</f>
        <v>0</v>
      </c>
      <c r="F33" s="31">
        <f>0.9*B33/100</f>
        <v>0</v>
      </c>
      <c r="G33" s="31">
        <f>0.16*B33/100</f>
        <v>0</v>
      </c>
      <c r="H33" s="31">
        <v>0</v>
      </c>
      <c r="I33" s="31">
        <v>0</v>
      </c>
      <c r="J33" s="31">
        <v>0</v>
      </c>
      <c r="K33" s="31">
        <v>0</v>
      </c>
      <c r="L33" s="31">
        <f>0.1*B33/100</f>
        <v>0</v>
      </c>
      <c r="M33" s="31">
        <f>17.7*B33/100</f>
        <v>0</v>
      </c>
      <c r="N33" s="31">
        <f>0.75*B33/100</f>
        <v>0</v>
      </c>
      <c r="O33" s="31">
        <f>7.33*B33/100</f>
        <v>0</v>
      </c>
      <c r="P33" s="31">
        <f>0.35*B33/100</f>
        <v>0</v>
      </c>
      <c r="Q33" s="31">
        <f>5.83*B33/100</f>
        <v>0</v>
      </c>
      <c r="R33" s="31">
        <f>1.99*B33/100</f>
        <v>0</v>
      </c>
      <c r="S33" s="31">
        <v>0</v>
      </c>
      <c r="T33" s="31">
        <f>0.055*B33/100</f>
        <v>0</v>
      </c>
      <c r="U33" s="31">
        <f>16.6*B33/100</f>
        <v>0</v>
      </c>
      <c r="V33" s="31">
        <v>0</v>
      </c>
      <c r="W33" s="31">
        <f>1.95*B33/100</f>
        <v>0</v>
      </c>
      <c r="X33" s="31">
        <f>9.26*B33/100</f>
        <v>0</v>
      </c>
    </row>
    <row r="34" spans="1:24" s="96" customFormat="1" x14ac:dyDescent="0.25">
      <c r="A34" s="32" t="s">
        <v>120</v>
      </c>
      <c r="B34" s="62" t="str">
        <f>IF(Feuil1!B189="A chaque repas",3*Feuil1!G189,IF(Feuil1!B189="1fois/jour",Feuil1!G189,IF(Feuil1!B189="2 à 3 fois/ semaine",Feuil1!G189*3/7,IF(Feuil1!B189="1 fois/semaine",Feuil1!G189/7,"0"))))</f>
        <v>0</v>
      </c>
      <c r="C34" s="31">
        <f t="shared" si="0"/>
        <v>0</v>
      </c>
      <c r="D34" s="31">
        <f t="shared" si="1"/>
        <v>0</v>
      </c>
      <c r="E34" s="31">
        <f>7*B34/100</f>
        <v>0</v>
      </c>
      <c r="F34" s="31">
        <f>0.58*B34/100</f>
        <v>0</v>
      </c>
      <c r="G34" s="31">
        <f>0.1*B34/100</f>
        <v>0</v>
      </c>
      <c r="H34" s="31">
        <f>0.08*B34/100</f>
        <v>0</v>
      </c>
      <c r="I34" s="31">
        <f>0.26*B34/100</f>
        <v>0</v>
      </c>
      <c r="J34" s="31">
        <v>0</v>
      </c>
      <c r="K34" s="31">
        <v>0</v>
      </c>
      <c r="L34" s="31">
        <f>0.2*B34/100</f>
        <v>0</v>
      </c>
      <c r="M34" s="31">
        <f>16.5*B34/100</f>
        <v>0</v>
      </c>
      <c r="N34" s="31">
        <f>1.2*B34/100</f>
        <v>0</v>
      </c>
      <c r="O34" s="31">
        <f>36*B34/100</f>
        <v>0</v>
      </c>
      <c r="P34" s="31">
        <f>2.59*B34/100</f>
        <v>0</v>
      </c>
      <c r="Q34" s="31">
        <v>0</v>
      </c>
      <c r="R34" s="31">
        <f>(3.5*B34/100)+(6*B34/100/6)</f>
        <v>0</v>
      </c>
      <c r="S34" s="31">
        <v>0</v>
      </c>
      <c r="T34" s="31">
        <f>0.17*B34/100</f>
        <v>0</v>
      </c>
      <c r="U34" s="31">
        <f>53.6*B34/100</f>
        <v>0</v>
      </c>
      <c r="V34" s="31">
        <v>0</v>
      </c>
      <c r="W34" s="31">
        <f>6*B34/100</f>
        <v>0</v>
      </c>
      <c r="X34" s="31">
        <f>163*B34/100</f>
        <v>0</v>
      </c>
    </row>
    <row r="35" spans="1:24" s="97" customFormat="1" ht="15.75" x14ac:dyDescent="0.25">
      <c r="A35" s="33" t="s">
        <v>121</v>
      </c>
      <c r="B35" s="63"/>
      <c r="C35" s="99"/>
      <c r="D35" s="99"/>
      <c r="E35" s="99"/>
      <c r="F35" s="99"/>
      <c r="G35" s="99"/>
      <c r="H35" s="99"/>
      <c r="I35" s="99"/>
      <c r="J35" s="99"/>
      <c r="K35" s="99"/>
      <c r="L35" s="99"/>
      <c r="M35" s="99"/>
      <c r="N35" s="99"/>
      <c r="O35" s="99"/>
      <c r="P35" s="99"/>
      <c r="Q35" s="99"/>
      <c r="R35" s="99"/>
      <c r="S35" s="99"/>
      <c r="T35" s="99"/>
      <c r="U35" s="99"/>
      <c r="V35" s="99"/>
      <c r="W35" s="99"/>
      <c r="X35" s="99"/>
    </row>
    <row r="36" spans="1:24" s="96" customFormat="1" x14ac:dyDescent="0.25">
      <c r="A36" s="103" t="s">
        <v>247</v>
      </c>
      <c r="B36" s="104">
        <f>IF(Feuil1!B197="A chaque repas",3*150,IF(Feuil1!B197="1fois/jour",150,IF(Feuil1!B197="2 à 3 fois/ semaine",150*3/7,IF(Feuil1!B197="1 fois/semaine",150/7,"0"))))+IF(Feuil1!B198="A chaque repas",3*150,IF(Feuil1!B198="1fois/jour",150,IF(Feuil1!B198="2 à 3 fois/ semaine",150*3/7,IF(Feuil1!B198="1 fois/semaine",150/7,"0"))))+IF(Feuil1!E150="100% pur jus",IF(Feuil1!B150="&gt;3verres/jour",3*150,IF(Feuil1!B150="1 verre/repas",150*2,IF(Feuil1!B150="1verre/jour",150,IF(Feuil1!B150="2 à 3 fois/ semaine",150*3/7,0)))))</f>
        <v>0</v>
      </c>
      <c r="C36" s="105">
        <f t="shared" si="0"/>
        <v>0</v>
      </c>
      <c r="D36" s="105">
        <f t="shared" si="1"/>
        <v>0</v>
      </c>
      <c r="E36" s="105">
        <f>0.6*B36/100</f>
        <v>0</v>
      </c>
      <c r="F36" s="105">
        <f>0.24*B36/100</f>
        <v>0</v>
      </c>
      <c r="G36" s="105">
        <v>0</v>
      </c>
      <c r="H36" s="105">
        <v>0</v>
      </c>
      <c r="I36" s="105">
        <v>0</v>
      </c>
      <c r="J36" s="105"/>
      <c r="K36" s="105"/>
      <c r="L36" s="105">
        <f>0.02*B36/100</f>
        <v>0</v>
      </c>
      <c r="M36" s="105">
        <f>B36*10.9/100</f>
        <v>0</v>
      </c>
      <c r="N36" s="105">
        <f>11.3*B36/100</f>
        <v>0</v>
      </c>
      <c r="O36" s="105">
        <f>10.6*B36/100</f>
        <v>0</v>
      </c>
      <c r="P36" s="105">
        <f>0.25*B36/100</f>
        <v>0</v>
      </c>
      <c r="Q36" s="105">
        <f>23.2*B36/100</f>
        <v>0</v>
      </c>
      <c r="R36" s="105">
        <f>(0*B36/100)+(98*B36/100/6)</f>
        <v>0</v>
      </c>
      <c r="S36" s="105">
        <v>0</v>
      </c>
      <c r="T36" s="105">
        <f>0.36*B36/100</f>
        <v>0</v>
      </c>
      <c r="U36" s="105">
        <f>22.7*B36/100</f>
        <v>0</v>
      </c>
      <c r="V36" s="105">
        <v>0</v>
      </c>
      <c r="W36" s="105">
        <f>2*B36/100</f>
        <v>0</v>
      </c>
      <c r="X36" s="105">
        <f>B36*2.1/100</f>
        <v>0</v>
      </c>
    </row>
    <row r="37" spans="1:24" x14ac:dyDescent="0.25">
      <c r="A37" s="103" t="s">
        <v>333</v>
      </c>
      <c r="B37" s="104" t="str">
        <f>IF(Feuil1!D197="A chaque repas",3*10*Feuil1!F197,IF(Feuil1!D197="1fois/jour",10*Feuil1!F197,IF(Feuil1!D197="2 à 3 fois/ semaine",10*Feuil1!F197*3/7,IF(Feuil1!D197="1 fois/semaine",10*Feuil1!F197/7,"0"))))</f>
        <v>0</v>
      </c>
      <c r="C37" s="105">
        <f>1039.095*B37/100</f>
        <v>0</v>
      </c>
      <c r="D37" s="105">
        <f>246.94*B37/100</f>
        <v>0</v>
      </c>
      <c r="E37" s="105">
        <f>2.145*B37/100</f>
        <v>0</v>
      </c>
      <c r="F37" s="105">
        <f>0.47*B37/100</f>
        <v>0</v>
      </c>
      <c r="G37" s="105">
        <f>0.13*B37/100</f>
        <v>0</v>
      </c>
      <c r="H37" s="105">
        <f>0.125*B37/100</f>
        <v>0</v>
      </c>
      <c r="I37" s="105">
        <f>0.11775*B37/100</f>
        <v>0</v>
      </c>
      <c r="J37" s="105">
        <f>0.078*B37/100</f>
        <v>0</v>
      </c>
      <c r="K37" s="105">
        <f>0.03665*B37/100</f>
        <v>0</v>
      </c>
      <c r="L37" s="105">
        <v>0</v>
      </c>
      <c r="M37" s="105">
        <f>55.65*B37/100</f>
        <v>0</v>
      </c>
      <c r="N37" s="105">
        <f>50*B37/100</f>
        <v>0</v>
      </c>
      <c r="O37" s="105">
        <f>54.925*B37/100</f>
        <v>0</v>
      </c>
      <c r="P37" s="105">
        <f>2.2825*B37/100</f>
        <v>0</v>
      </c>
      <c r="Q37" s="105">
        <f>2.4425*B37/100</f>
        <v>0</v>
      </c>
      <c r="R37" s="105">
        <v>0</v>
      </c>
      <c r="S37" s="105">
        <v>0</v>
      </c>
      <c r="T37" s="105">
        <f>1.53*B37/100</f>
        <v>0</v>
      </c>
      <c r="U37" s="105">
        <f>23.15*B37/100</f>
        <v>0</v>
      </c>
      <c r="V37" s="105">
        <v>0</v>
      </c>
      <c r="W37" s="105">
        <f>81.625*B37/100</f>
        <v>0</v>
      </c>
      <c r="X37" s="105">
        <f>37.375*B37/100</f>
        <v>0</v>
      </c>
    </row>
    <row r="38" spans="1:24" x14ac:dyDescent="0.25">
      <c r="A38" s="103" t="s">
        <v>332</v>
      </c>
      <c r="B38" s="104" t="str">
        <f>IF(Feuil1!D198="A chaque repas",Feuil1!G198,IF(Feuil1!D198="1fois/jour",Feuil1!G198,IF(Feuil1!D198="2 à 3 fois/ semaine",Feuil1!G198*3/7,IF(Feuil1!D198="1 fois/semaine",Feuil1!G198/7,"0"))))</f>
        <v>0</v>
      </c>
      <c r="C38" s="105">
        <f>2776.6*B38/100</f>
        <v>0</v>
      </c>
      <c r="D38" s="105">
        <f>671.66*B38/100</f>
        <v>0</v>
      </c>
      <c r="E38" s="105">
        <f>14.46*B38/100</f>
        <v>0</v>
      </c>
      <c r="F38" s="105">
        <f>58.93*B38/100</f>
        <v>0</v>
      </c>
      <c r="G38" s="105">
        <f>6.8*B38/100</f>
        <v>0</v>
      </c>
      <c r="H38" s="105">
        <f>28.07*B38/100</f>
        <v>0</v>
      </c>
      <c r="I38" s="105">
        <f>20.29*B38/100</f>
        <v>0</v>
      </c>
      <c r="J38" s="105">
        <f>16.78*B38/100</f>
        <v>0</v>
      </c>
      <c r="K38" s="105">
        <f>2.53*B38/100</f>
        <v>0</v>
      </c>
      <c r="L38" s="105">
        <v>0</v>
      </c>
      <c r="M38" s="105">
        <f>14.99*B38/100</f>
        <v>0</v>
      </c>
      <c r="N38" s="105">
        <f>6.175*B38/100</f>
        <v>0</v>
      </c>
      <c r="O38" s="105">
        <f>79.8*B38/100</f>
        <v>0</v>
      </c>
      <c r="P38" s="105">
        <f>2.93*B38/100</f>
        <v>0</v>
      </c>
      <c r="Q38" s="105">
        <f>0.77*B38/100</f>
        <v>0</v>
      </c>
      <c r="R38" s="105">
        <v>0</v>
      </c>
      <c r="S38" s="105">
        <v>0</v>
      </c>
      <c r="T38" s="105">
        <f>2.6*B38/100</f>
        <v>0</v>
      </c>
      <c r="U38" s="105">
        <f>79.47*B38/100</f>
        <v>0</v>
      </c>
      <c r="V38" s="105">
        <v>0</v>
      </c>
      <c r="W38" s="105">
        <f>6.38*B38/100</f>
        <v>0</v>
      </c>
      <c r="X38" s="105">
        <f>158.8*B38/100</f>
        <v>0</v>
      </c>
    </row>
    <row r="39" spans="1:24" s="96" customFormat="1" x14ac:dyDescent="0.25">
      <c r="A39" s="103" t="s">
        <v>248</v>
      </c>
      <c r="B39" s="104">
        <f>IF(Feuil1!B199="A chaque repas",2*Feuil1!G199,IF(Feuil1!B199="1fois/jour",Feuil1!G199,IF(Feuil1!B199="2 à 3 fois/ semaine",Feuil1!G199*3/7,IF(Feuil1!B199="1 fois/semaine",Feuil1!G199/7,"0"))))+IF(Feuil1!B200="A chaque repas",3*Feuil1!G200,IF(Feuil1!B200="1fois/jour",Feuil1!G200,IF(Feuil1!B200="2 à 3 fois/ semaine",Feuil1!G200*3/7,IF(Feuil1!B200="1 fois/semaine",Feuil1!G200/7,"0"))))</f>
        <v>0</v>
      </c>
      <c r="C39" s="105">
        <f>121*B39/100</f>
        <v>0</v>
      </c>
      <c r="D39" s="105">
        <f>28.9*B39/100</f>
        <v>0</v>
      </c>
      <c r="E39" s="105">
        <f>1.63*B39/100</f>
        <v>0</v>
      </c>
      <c r="F39" s="105">
        <f>0.27*B39/100</f>
        <v>0</v>
      </c>
      <c r="G39" s="105">
        <f>0.056*B39/100</f>
        <v>0</v>
      </c>
      <c r="H39" s="105">
        <f>0.02*B39/100</f>
        <v>0</v>
      </c>
      <c r="I39" s="105">
        <f>0.1*B39/100</f>
        <v>0</v>
      </c>
      <c r="J39" s="105">
        <v>0</v>
      </c>
      <c r="K39" s="105">
        <v>0</v>
      </c>
      <c r="L39" s="105">
        <f>0.0056*B39/100</f>
        <v>0</v>
      </c>
      <c r="M39" s="105">
        <f>3.78*B39/100</f>
        <v>0</v>
      </c>
      <c r="N39" s="105">
        <f>2.54*B39/100</f>
        <v>0</v>
      </c>
      <c r="O39" s="105">
        <f>32*B39/100</f>
        <v>0</v>
      </c>
      <c r="P39" s="105">
        <f>0.45*B39/100</f>
        <v>0</v>
      </c>
      <c r="Q39" s="105">
        <f>10.2*B39/100</f>
        <v>0</v>
      </c>
      <c r="R39" s="105">
        <f>(0*B39/100)+(1784*B39/100/6)</f>
        <v>0</v>
      </c>
      <c r="S39" s="105">
        <f>0.012*B39/100</f>
        <v>0</v>
      </c>
      <c r="T39" s="105">
        <f>0.4*B39/100</f>
        <v>0</v>
      </c>
      <c r="U39" s="105">
        <v>0</v>
      </c>
      <c r="V39" s="105">
        <v>0</v>
      </c>
      <c r="W39" s="105">
        <f>2.47*B39/100</f>
        <v>0</v>
      </c>
      <c r="X39" s="105">
        <f>21.5*B39/100</f>
        <v>0</v>
      </c>
    </row>
    <row r="40" spans="1:24" s="97" customFormat="1" ht="15.75" x14ac:dyDescent="0.25">
      <c r="A40" s="34" t="s">
        <v>253</v>
      </c>
      <c r="B40" s="100"/>
      <c r="C40" s="101"/>
      <c r="D40" s="101"/>
      <c r="E40" s="101"/>
      <c r="F40" s="101"/>
      <c r="G40" s="101"/>
      <c r="H40" s="101"/>
      <c r="I40" s="101"/>
      <c r="J40" s="101"/>
      <c r="K40" s="101"/>
      <c r="L40" s="101"/>
      <c r="M40" s="101"/>
      <c r="N40" s="101"/>
      <c r="O40" s="101"/>
      <c r="P40" s="101"/>
      <c r="Q40" s="101"/>
      <c r="R40" s="101"/>
      <c r="S40" s="101"/>
      <c r="T40" s="101"/>
      <c r="U40" s="101"/>
      <c r="V40" s="101"/>
      <c r="W40" s="101"/>
      <c r="X40" s="101"/>
    </row>
    <row r="41" spans="1:24" s="96" customFormat="1" ht="15.75" x14ac:dyDescent="0.25">
      <c r="A41" s="108" t="s">
        <v>254</v>
      </c>
      <c r="B41" s="109" t="str">
        <f>IF(Feuil1!B209="A chaque repas",3*Feuil1!G209,IF(Feuil1!B209="1fois/jour",Feuil1!G209,IF(Feuil1!B209="2 à 3 fois/ semaine",Feuil1!G209*3/7,IF(Feuil1!B209="1 fois/semaine",Feuil1!G209/7,"0"))))</f>
        <v>0</v>
      </c>
      <c r="C41" s="110">
        <f>2100*B41/100</f>
        <v>0</v>
      </c>
      <c r="D41" s="110">
        <f>501*B41/100</f>
        <v>0</v>
      </c>
      <c r="E41" s="110">
        <f>7.42*B41/100</f>
        <v>0</v>
      </c>
      <c r="F41" s="110">
        <f>24.7*B41/100</f>
        <v>0</v>
      </c>
      <c r="G41" s="110">
        <f>8.45*B41/100</f>
        <v>0</v>
      </c>
      <c r="H41" s="110">
        <f>8.52*B41/100</f>
        <v>0</v>
      </c>
      <c r="I41" s="110">
        <f>2.08*B41/100</f>
        <v>0</v>
      </c>
      <c r="J41" s="110">
        <f>1.72*B41/100</f>
        <v>0</v>
      </c>
      <c r="K41" s="110">
        <f>0.36*B41/100</f>
        <v>0</v>
      </c>
      <c r="L41" s="110">
        <f>65*B41/100</f>
        <v>0</v>
      </c>
      <c r="M41" s="110">
        <f>61.2*B41/100</f>
        <v>0</v>
      </c>
      <c r="N41" s="110">
        <f>23.2*B41/100</f>
        <v>0</v>
      </c>
      <c r="O41" s="110">
        <f>26.5*B41/100</f>
        <v>0</v>
      </c>
      <c r="P41" s="110">
        <f>1.58*B41/100</f>
        <v>0</v>
      </c>
      <c r="Q41" s="110">
        <v>0</v>
      </c>
      <c r="R41" s="110">
        <v>0</v>
      </c>
      <c r="S41" s="110">
        <f>0.4*B41/100</f>
        <v>0</v>
      </c>
      <c r="T41" s="110">
        <f>0.76*B41/100</f>
        <v>0</v>
      </c>
      <c r="U41" s="110">
        <f>14*B41/100</f>
        <v>0</v>
      </c>
      <c r="V41" s="110">
        <f>0.075*B41/100</f>
        <v>0</v>
      </c>
      <c r="W41" s="110">
        <f>2.03*B41/100</f>
        <v>0</v>
      </c>
      <c r="X41" s="110">
        <f>252*B41/100</f>
        <v>0</v>
      </c>
    </row>
    <row r="42" spans="1:24" s="96" customFormat="1" x14ac:dyDescent="0.25">
      <c r="A42" s="111" t="s">
        <v>255</v>
      </c>
      <c r="B42" s="109" t="str">
        <f>IF(Feuil1!B208="A chaque repas",3*150,IF(Feuil1!B208="1fois/jour",150,IF(Feuil1!B208="2 à 3 fois/ semaine",150*3/7,IF(Feuil1!B208="1 fois/semaine",150/7,"0"))))</f>
        <v>0</v>
      </c>
      <c r="C42" s="110">
        <f>1490*B42/100</f>
        <v>0</v>
      </c>
      <c r="D42" s="110">
        <f>355*B42/100</f>
        <v>0</v>
      </c>
      <c r="E42" s="110">
        <f>5.12*B42/100</f>
        <v>0</v>
      </c>
      <c r="F42" s="110">
        <f>17.3*B42/100</f>
        <v>0</v>
      </c>
      <c r="G42" s="110">
        <f>6.94*B42/100</f>
        <v>0</v>
      </c>
      <c r="H42" s="110">
        <f>6.71*B42/100</f>
        <v>0</v>
      </c>
      <c r="I42" s="110">
        <f>2.2*B42/100</f>
        <v>0</v>
      </c>
      <c r="J42" s="110">
        <f>1.85*B42/100</f>
        <v>0</v>
      </c>
      <c r="K42" s="110">
        <f>0.53*B42/100</f>
        <v>0</v>
      </c>
      <c r="L42" s="110">
        <f>71.4*B42/100</f>
        <v>0</v>
      </c>
      <c r="M42" s="110">
        <f>43.5*B42/100</f>
        <v>0</v>
      </c>
      <c r="N42" s="110">
        <f>28.2*B42/100</f>
        <v>0</v>
      </c>
      <c r="O42" s="110">
        <f>64.4*B42/100</f>
        <v>0</v>
      </c>
      <c r="P42" s="110">
        <f>1.31*B42/100</f>
        <v>0</v>
      </c>
      <c r="Q42" s="110">
        <f>3.79*B42/100</f>
        <v>0</v>
      </c>
      <c r="R42" s="110">
        <f>69.9*B42/100</f>
        <v>0</v>
      </c>
      <c r="S42" s="110">
        <f>0.3*B42/100</f>
        <v>0</v>
      </c>
      <c r="T42" s="110">
        <f>2.39*B42/100</f>
        <v>0</v>
      </c>
      <c r="U42" s="110">
        <f>41.3*B42/100</f>
        <v>0</v>
      </c>
      <c r="V42" s="110">
        <f>0.24*B42/100</f>
        <v>0</v>
      </c>
      <c r="W42" s="110">
        <f>2.49*B42/100</f>
        <v>0</v>
      </c>
      <c r="X42" s="110">
        <f>154*B42/100</f>
        <v>0</v>
      </c>
    </row>
    <row r="43" spans="1:24" s="96" customFormat="1" x14ac:dyDescent="0.25">
      <c r="A43" s="111" t="s">
        <v>256</v>
      </c>
      <c r="B43" s="109" t="str">
        <f>IF(Feuil1!B211="A chaque repas",3*150,IF(Feuil1!B211="1fois/jour",150,IF(Feuil1!B211="2 à 3 fois/ semaine",150*3/7,IF(Feuil1!B211="1 fois/semaine",150/7,"0"))))</f>
        <v>0</v>
      </c>
      <c r="C43" s="110">
        <f>1600*B43/100</f>
        <v>0</v>
      </c>
      <c r="D43" s="110">
        <f>380*B43/100</f>
        <v>0</v>
      </c>
      <c r="E43" s="110">
        <f>7.64*B43/100</f>
        <v>0</v>
      </c>
      <c r="F43" s="110">
        <f>16.2*B43/100</f>
        <v>0</v>
      </c>
      <c r="G43" s="110">
        <f>8.52*B43/100</f>
        <v>0</v>
      </c>
      <c r="H43" s="110">
        <f>4.44*B43/100</f>
        <v>0</v>
      </c>
      <c r="I43" s="110">
        <f>1.45*B43/100</f>
        <v>0</v>
      </c>
      <c r="J43" s="110">
        <f>1.16*B43/100</f>
        <v>0</v>
      </c>
      <c r="K43" s="110">
        <f>0.17*B43/100</f>
        <v>0</v>
      </c>
      <c r="L43" s="110">
        <f>66*B43/100</f>
        <v>0</v>
      </c>
      <c r="M43" s="110">
        <f>49.5*B43/100</f>
        <v>0</v>
      </c>
      <c r="N43" s="110">
        <f>12.9*B43/100</f>
        <v>0</v>
      </c>
      <c r="O43" s="110">
        <f>38.4*B43/100</f>
        <v>0</v>
      </c>
      <c r="P43" s="110">
        <f>1.38*B43/100</f>
        <v>0</v>
      </c>
      <c r="Q43" s="110">
        <v>0</v>
      </c>
      <c r="R43" s="110">
        <f>66.6*B43/100</f>
        <v>0</v>
      </c>
      <c r="S43" s="110">
        <f>0.25*B43/100</f>
        <v>0</v>
      </c>
      <c r="T43" s="110">
        <f>1.59*B43/100</f>
        <v>0</v>
      </c>
      <c r="U43" s="110">
        <f>51.1*B43/100</f>
        <v>0</v>
      </c>
      <c r="V43" s="110">
        <f>0.32*B43/100</f>
        <v>0</v>
      </c>
      <c r="W43" s="110">
        <f>2.68*B43/100</f>
        <v>0</v>
      </c>
      <c r="X43" s="110">
        <f>415*B43/100</f>
        <v>0</v>
      </c>
    </row>
    <row r="44" spans="1:24" s="96" customFormat="1" x14ac:dyDescent="0.25">
      <c r="A44" s="111" t="s">
        <v>257</v>
      </c>
      <c r="B44" s="109" t="str">
        <f>IF(Feuil1!D210="Au lait",IF(Feuil1!B210="A chaque repas",3*Feuil1!G210,IF(Feuil1!B210="1fois/jour",Feuil1!G210,IF(Feuil1!B210="2 à 3 fois/ semaine",Feuil1!G210*3/7,IF(Feuil1!B210="1 fois/semaine",Feuil1!G210/7,"0")))),"0")</f>
        <v>0</v>
      </c>
      <c r="C44" s="110">
        <f>2310*B44/100</f>
        <v>0</v>
      </c>
      <c r="D44" s="110">
        <f>555*B44/100</f>
        <v>0</v>
      </c>
      <c r="E44" s="110">
        <f>7.41*B44/100</f>
        <v>0</v>
      </c>
      <c r="F44" s="110">
        <f>34.3*B44/100</f>
        <v>0</v>
      </c>
      <c r="G44" s="110">
        <f>21.6*B44/100</f>
        <v>0</v>
      </c>
      <c r="H44" s="110">
        <f>9.32*B44/100</f>
        <v>0</v>
      </c>
      <c r="I44" s="110">
        <f>1.16*B44/100</f>
        <v>0</v>
      </c>
      <c r="J44" s="110">
        <f>1.01*B44/100</f>
        <v>0</v>
      </c>
      <c r="K44" s="110">
        <f>0.093*B44/100</f>
        <v>0</v>
      </c>
      <c r="L44" s="110">
        <f>16.2*B44/100</f>
        <v>0</v>
      </c>
      <c r="M44" s="110">
        <f>52.9*B44/100</f>
        <v>0</v>
      </c>
      <c r="N44" s="110">
        <f>49.5*B44/100</f>
        <v>0</v>
      </c>
      <c r="O44" s="110">
        <f>227*B44/100</f>
        <v>0</v>
      </c>
      <c r="P44" s="110">
        <f>1.22*B44/100</f>
        <v>0</v>
      </c>
      <c r="Q44" s="110">
        <f>0.058*B44/100</f>
        <v>0</v>
      </c>
      <c r="R44" s="110">
        <f>79.5*B44/100</f>
        <v>0</v>
      </c>
      <c r="S44" s="110">
        <v>0</v>
      </c>
      <c r="T44" s="110">
        <f>0.25*B44/100</f>
        <v>0</v>
      </c>
      <c r="U44" s="110">
        <f>9*B44/100</f>
        <v>0</v>
      </c>
      <c r="V44" s="110">
        <f>0.41*B44/100</f>
        <v>0</v>
      </c>
      <c r="W44" s="110">
        <f>2.46*B44/100</f>
        <v>0</v>
      </c>
      <c r="X44" s="110">
        <f>102*B44/100</f>
        <v>0</v>
      </c>
    </row>
    <row r="45" spans="1:24" s="96" customFormat="1" x14ac:dyDescent="0.25">
      <c r="A45" s="111" t="s">
        <v>258</v>
      </c>
      <c r="B45" s="109" t="str">
        <f>IF(Feuil1!D210="Noir",IF(Feuil1!B210="A chaque repas",3*Feuil1!G210,IF(Feuil1!B210="1fois/jour",Feuil1!G210,IF(Feuil1!B210="2 à 3 fois/ semaine",Feuil1!G210*3/7,IF(Feuil1!B210="1 fois/semaine",Feuil1!G210/7,"0")))),"0")</f>
        <v>0</v>
      </c>
      <c r="C45" s="110">
        <f>2190*B45/100</f>
        <v>0</v>
      </c>
      <c r="D45" s="110">
        <f>527*B45/100</f>
        <v>0</v>
      </c>
      <c r="E45" s="110">
        <f>6.63*B45/100</f>
        <v>0</v>
      </c>
      <c r="F45" s="110">
        <f>33.8*B45/100</f>
        <v>0</v>
      </c>
      <c r="G45" s="110">
        <f>22.5*B45/100</f>
        <v>0</v>
      </c>
      <c r="H45" s="110">
        <f>9.37*B45/100</f>
        <v>0</v>
      </c>
      <c r="I45" s="110">
        <f>0.94*B45/100</f>
        <v>0</v>
      </c>
      <c r="J45" s="110">
        <f>0.88*B45/100</f>
        <v>0</v>
      </c>
      <c r="K45" s="110">
        <f>0.06*B45/100</f>
        <v>0</v>
      </c>
      <c r="L45" s="110">
        <f>1.45*B45/100</f>
        <v>0</v>
      </c>
      <c r="M45" s="110">
        <f>42.9*B45/100</f>
        <v>0</v>
      </c>
      <c r="N45" s="110">
        <f>38.3*B45/100</f>
        <v>0</v>
      </c>
      <c r="O45" s="110">
        <f>53.7*B45/100</f>
        <v>0</v>
      </c>
      <c r="P45" s="110">
        <f>3.7*B45/100</f>
        <v>0</v>
      </c>
      <c r="Q45" s="110">
        <f>0.15*B45/100</f>
        <v>0</v>
      </c>
      <c r="R45" s="110">
        <f>21.3*B45/100</f>
        <v>0</v>
      </c>
      <c r="S45" s="110">
        <v>0</v>
      </c>
      <c r="T45" s="110">
        <f>0.72*B45/100</f>
        <v>0</v>
      </c>
      <c r="U45" s="110">
        <f>22.3*B45/100</f>
        <v>0</v>
      </c>
      <c r="V45" s="110">
        <v>0</v>
      </c>
      <c r="W45" s="110">
        <f>12*B45/100</f>
        <v>0</v>
      </c>
      <c r="X45" s="110">
        <f>7.73*B45/100</f>
        <v>0</v>
      </c>
    </row>
    <row r="46" spans="1:24" s="96" customFormat="1" x14ac:dyDescent="0.25">
      <c r="A46" s="111" t="s">
        <v>259</v>
      </c>
      <c r="B46" s="112">
        <v>0</v>
      </c>
      <c r="C46" s="110">
        <f>(E46*17)+(F46*38)+(M46*17)</f>
        <v>0</v>
      </c>
      <c r="D46" s="110">
        <f>C46/4.18</f>
        <v>0</v>
      </c>
      <c r="E46" s="110">
        <f>3.58*B46/100</f>
        <v>0</v>
      </c>
      <c r="F46" s="110">
        <f>10.1*B46/100</f>
        <v>0</v>
      </c>
      <c r="G46" s="110">
        <f>5.8*B46/100</f>
        <v>0</v>
      </c>
      <c r="H46" s="110">
        <f>2.32*B46/100</f>
        <v>0</v>
      </c>
      <c r="I46" s="110">
        <f>0.27*B46/100</f>
        <v>0</v>
      </c>
      <c r="J46" s="110">
        <f>0.3*B46/100</f>
        <v>0</v>
      </c>
      <c r="K46" s="110">
        <f>0.03*B46/100</f>
        <v>0</v>
      </c>
      <c r="L46" s="110">
        <f>37.6*B46/100</f>
        <v>0</v>
      </c>
      <c r="M46" s="110">
        <f>33*B46/100</f>
        <v>0</v>
      </c>
      <c r="N46" s="110">
        <f>22*B46/100</f>
        <v>0</v>
      </c>
      <c r="O46" s="110">
        <f>104*B46/100</f>
        <v>0</v>
      </c>
      <c r="P46" s="110">
        <f>0.3*B46/100</f>
        <v>0</v>
      </c>
      <c r="Q46" s="110">
        <f>0.8*B46/100</f>
        <v>0</v>
      </c>
      <c r="R46" s="110">
        <f>(15*B46/100)+(102*B46/100/6)</f>
        <v>0</v>
      </c>
      <c r="S46" s="110">
        <f>0.15*B46/100</f>
        <v>0</v>
      </c>
      <c r="T46" s="110">
        <f>5.84*B46/100</f>
        <v>0</v>
      </c>
      <c r="U46" s="110">
        <f>7*B46/100</f>
        <v>0</v>
      </c>
      <c r="V46" s="110">
        <f>0.43*B46/100</f>
        <v>0</v>
      </c>
      <c r="W46" s="110">
        <f>0.2*B46/100</f>
        <v>0</v>
      </c>
      <c r="X46" s="110">
        <f>56.1*B46/100</f>
        <v>0</v>
      </c>
    </row>
    <row r="47" spans="1:24" s="96" customFormat="1" x14ac:dyDescent="0.25">
      <c r="A47" s="111" t="s">
        <v>260</v>
      </c>
      <c r="B47" s="112">
        <v>0</v>
      </c>
      <c r="C47" s="110">
        <f>(E47*17)+(F47*38)+(M47*17)</f>
        <v>0</v>
      </c>
      <c r="D47" s="110">
        <f>C47/4.18</f>
        <v>0</v>
      </c>
      <c r="E47" s="110">
        <f>0.7*B47/100</f>
        <v>0</v>
      </c>
      <c r="F47" s="110">
        <f>1.5*B47/100</f>
        <v>0</v>
      </c>
      <c r="G47" s="110">
        <v>0</v>
      </c>
      <c r="H47" s="110">
        <f>0.9*B47/100</f>
        <v>0</v>
      </c>
      <c r="I47" s="110">
        <f>0.12*B47/100</f>
        <v>0</v>
      </c>
      <c r="J47" s="110">
        <f>0.102*B47/100</f>
        <v>0</v>
      </c>
      <c r="K47" s="110">
        <f>0.017*B47/100</f>
        <v>0</v>
      </c>
      <c r="L47" s="110">
        <f>1*B47/100</f>
        <v>0</v>
      </c>
      <c r="M47" s="110">
        <f>26*B47/100</f>
        <v>0</v>
      </c>
      <c r="N47" s="110">
        <f>20*B47/100</f>
        <v>0</v>
      </c>
      <c r="O47" s="110">
        <f>15.3*B47/100</f>
        <v>0</v>
      </c>
      <c r="P47" s="110">
        <f>0.14*B47/100</f>
        <v>0</v>
      </c>
      <c r="Q47" s="110">
        <f>2.3*B47/100</f>
        <v>0</v>
      </c>
      <c r="R47" s="110">
        <f>(12*B47/100)+(1*B47/100/6)</f>
        <v>0</v>
      </c>
      <c r="S47" s="110">
        <f>0*B47/100</f>
        <v>0</v>
      </c>
      <c r="T47" s="110">
        <f>0*B47/100</f>
        <v>0</v>
      </c>
      <c r="U47" s="110">
        <f>0*B47/100</f>
        <v>0</v>
      </c>
      <c r="V47" s="110">
        <f>0.13*B47/100</f>
        <v>0</v>
      </c>
      <c r="W47" s="110">
        <f>1.11*B47/100</f>
        <v>0</v>
      </c>
      <c r="X47" s="110">
        <f>13.4*B47/100</f>
        <v>0</v>
      </c>
    </row>
    <row r="48" spans="1:24" s="96" customFormat="1" x14ac:dyDescent="0.25">
      <c r="A48" s="111" t="s">
        <v>130</v>
      </c>
      <c r="B48" s="112">
        <f>IF(Feuil1!B212="Oui",Feuil1!G212,"0")+IF(Feuil1!B162="A chaque repas",Feuil1!E162*3,IF(Feuil1!B162="1fois/jour",Feuil1!E162,IF(Feuil1!B162="2 à 3 fois/ semaine",Feuil1!E162*3/7,IF(Feuil1!B162="1 fois/semaine",Feuil1!E162/7,)))+IF(Feuil1!E150="Autre",IF(Feuil1!B150="&gt;3verres/jour",3*10,IF(Feuil1!B150="1 verre/repas",10*2,IF(Feuil1!B150="1verre/jour",10,IF(Feuil1!B150="2 à 3 fois/ semaine",10*3/7,0))))))+IF(Feuil1!B152="&gt;4 tasses/jour",Feuil1!G152*4,IF(Feuil1!B152="2-3 tasses/jour",Feuil1!G152*2,IF(Feuil1!B152="1 tasse/jour",Feuil1!G152,IF(Feuil1!B152="2 à 3 fois/ semaine",Feuil1!G152*3/7,))))+IF(Feuil1!B153="&gt;4 tasses/jour",Feuil1!G153*4,IF(Feuil1!B153="2-3 tasses/jour",Feuil1!G153*2,IF(Feuil1!B153="1 tasse/jour",Feuil1!G153,IF(Feuil1!B153="2 à 3 fois/ semaine",Feuil1!G153*3/7,))))+IF(Feuil1!E151="Normal",IF(Feuil1!B151="&gt;3verres/jour",15*3,IF(Feuil1!B151="1 verre/repas",15*2,IF(Feuil1!B151="1verre/jour",15,IF(Feuil1!B151="2 à 3 fois/semaines",15*3/7,)))),0)</f>
        <v>0</v>
      </c>
      <c r="C48" s="110">
        <f t="shared" si="0"/>
        <v>0</v>
      </c>
      <c r="D48" s="110">
        <f t="shared" si="1"/>
        <v>0</v>
      </c>
      <c r="E48" s="110">
        <v>0</v>
      </c>
      <c r="F48" s="110">
        <v>0</v>
      </c>
      <c r="G48" s="110">
        <v>0</v>
      </c>
      <c r="H48" s="110">
        <v>0</v>
      </c>
      <c r="I48" s="110">
        <v>0</v>
      </c>
      <c r="J48" s="110">
        <v>0</v>
      </c>
      <c r="K48" s="110">
        <v>0</v>
      </c>
      <c r="L48" s="110">
        <v>0</v>
      </c>
      <c r="M48" s="110">
        <f>100*B48/100</f>
        <v>0</v>
      </c>
      <c r="N48" s="110">
        <f>M48</f>
        <v>0</v>
      </c>
      <c r="O48" s="110">
        <v>0</v>
      </c>
      <c r="P48" s="110">
        <v>0</v>
      </c>
      <c r="Q48" s="110">
        <v>0</v>
      </c>
      <c r="R48" s="110">
        <v>0</v>
      </c>
      <c r="S48" s="110">
        <v>0</v>
      </c>
      <c r="T48" s="110">
        <v>0</v>
      </c>
      <c r="U48" s="110">
        <v>0</v>
      </c>
      <c r="V48" s="110">
        <f>0.27*B48/100</f>
        <v>0</v>
      </c>
      <c r="W48" s="110">
        <v>0</v>
      </c>
      <c r="X48" s="110">
        <v>0</v>
      </c>
    </row>
    <row r="49" spans="1:24" s="96" customFormat="1" x14ac:dyDescent="0.25">
      <c r="A49" s="111" t="s">
        <v>261</v>
      </c>
      <c r="B49" s="109" t="str">
        <f>IF(Feuil1!B234="A chaque repas",2*5,IF(Feuil1!B234="1fois/jour",5,IF(Feuil1!B234="2 à 3 fois/ semaine",5*3/7,IF(Feuil1!B234="1 fois/semaine",5/7,"0"))))</f>
        <v>0</v>
      </c>
      <c r="C49" s="110">
        <f>420*B49/100</f>
        <v>0</v>
      </c>
      <c r="D49" s="110">
        <f>99*B49/100</f>
        <v>0</v>
      </c>
      <c r="E49" s="110">
        <f>1.27*B49/100</f>
        <v>0</v>
      </c>
      <c r="F49" s="110">
        <f>0.19*B49/100</f>
        <v>0</v>
      </c>
      <c r="G49" s="110">
        <f>0.069*B49/100</f>
        <v>0</v>
      </c>
      <c r="H49" s="110">
        <f>0.018*B49/100</f>
        <v>0</v>
      </c>
      <c r="I49" s="110">
        <f>0.068*B49/100</f>
        <v>0</v>
      </c>
      <c r="J49" s="110">
        <f>0.057*B49/100</f>
        <v>0</v>
      </c>
      <c r="K49" s="110">
        <f>0.0057*B49/100</f>
        <v>0</v>
      </c>
      <c r="L49" s="110">
        <v>0</v>
      </c>
      <c r="M49" s="110">
        <f>21.4*B49/100</f>
        <v>0</v>
      </c>
      <c r="N49" s="110">
        <f>20.8*B49/100</f>
        <v>0</v>
      </c>
      <c r="O49" s="110">
        <f>21.4*B49/100</f>
        <v>0</v>
      </c>
      <c r="P49" s="110">
        <f>0.77*B49/100</f>
        <v>0</v>
      </c>
      <c r="Q49" s="110">
        <f>9.52*B49/100</f>
        <v>0</v>
      </c>
      <c r="R49" s="110">
        <f>(0*B49/100)+(560*B49/100/6)</f>
        <v>0</v>
      </c>
      <c r="S49" s="110">
        <v>0</v>
      </c>
      <c r="T49" s="110">
        <f>1.46*B49/100</f>
        <v>0</v>
      </c>
      <c r="U49" s="110">
        <f>7.5*B49/100</f>
        <v>0</v>
      </c>
      <c r="V49" s="110">
        <v>0</v>
      </c>
      <c r="W49" s="110">
        <f>1.15*B49/100</f>
        <v>0</v>
      </c>
      <c r="X49" s="110">
        <f>1030*B49/100</f>
        <v>0</v>
      </c>
    </row>
    <row r="50" spans="1:24" s="96" customFormat="1" x14ac:dyDescent="0.25">
      <c r="A50" s="111" t="s">
        <v>262</v>
      </c>
      <c r="B50" s="109" t="str">
        <f>IF(Feuil1!B235="A chaque repas",2*5,IF(Feuil1!B235="1fois/jour",5,IF(Feuil1!B235="2 à 3 fois/ semaine",5*3/7,IF(Feuil1!B235="1 fois/semaine",5/7,"0"))))</f>
        <v>0</v>
      </c>
      <c r="C50" s="110">
        <f>2860*B50/100</f>
        <v>0</v>
      </c>
      <c r="D50" s="110">
        <f>696*B50/100</f>
        <v>0</v>
      </c>
      <c r="E50" s="110">
        <f>1.3*B50/100</f>
        <v>0</v>
      </c>
      <c r="F50" s="110">
        <f>75.2*B50/100</f>
        <v>0</v>
      </c>
      <c r="G50" s="110">
        <f>7.27*B50/100</f>
        <v>0</v>
      </c>
      <c r="H50" s="110">
        <f>33.4*B50/100</f>
        <v>0</v>
      </c>
      <c r="I50" s="110">
        <f>31.2*B50/100</f>
        <v>0</v>
      </c>
      <c r="J50" s="110">
        <f>13.3*B50/100</f>
        <v>0</v>
      </c>
      <c r="K50" s="110">
        <f>4.8*B50/100</f>
        <v>0</v>
      </c>
      <c r="L50" s="110">
        <f>70*B50/100</f>
        <v>0</v>
      </c>
      <c r="M50" s="110">
        <f>2.62*B50/100</f>
        <v>0</v>
      </c>
      <c r="N50" s="110">
        <f>1.03*B50/100</f>
        <v>0</v>
      </c>
      <c r="O50" s="110">
        <f>17.6*B50/100</f>
        <v>0</v>
      </c>
      <c r="P50" s="110">
        <f>0.34*B50/100</f>
        <v>0</v>
      </c>
      <c r="Q50" s="110">
        <v>0</v>
      </c>
      <c r="R50" s="110">
        <f>(8.5*B50/100)+(80*B50/100/6)</f>
        <v>0</v>
      </c>
      <c r="S50" s="110">
        <v>0</v>
      </c>
      <c r="T50" s="110">
        <f>20.3*B50/100</f>
        <v>0</v>
      </c>
      <c r="U50" s="110">
        <v>0</v>
      </c>
      <c r="V50" s="110">
        <f>0.39*B50/100</f>
        <v>0</v>
      </c>
      <c r="W50" s="110">
        <f>0.32*B50/100</f>
        <v>0</v>
      </c>
      <c r="X50" s="110">
        <f>552*B50/100</f>
        <v>0</v>
      </c>
    </row>
    <row r="51" spans="1:24" s="96" customFormat="1" x14ac:dyDescent="0.25">
      <c r="A51" s="111" t="s">
        <v>139</v>
      </c>
      <c r="B51" s="109" t="str">
        <f>IF(Feuil1!B236="A chaque repas",2*5,IF(Feuil1!B236="1fois/jour",5,IF(Feuil1!B236="2 à 3 fois/ semaine",5*3/7,IF(Feuil1!B236="1 fois/semaine",5/7,"0"))))</f>
        <v>0</v>
      </c>
      <c r="C51" s="110">
        <f>632*B51/100</f>
        <v>0</v>
      </c>
      <c r="D51" s="110">
        <f>152*B51/100</f>
        <v>0</v>
      </c>
      <c r="E51" s="110">
        <f>6.92*B51/100</f>
        <v>0</v>
      </c>
      <c r="F51" s="110">
        <f>11.2*B51/100</f>
        <v>0</v>
      </c>
      <c r="G51" s="110">
        <f>0.76*B51/100</f>
        <v>0</v>
      </c>
      <c r="H51" s="110">
        <f>4.11*B51/100</f>
        <v>0</v>
      </c>
      <c r="I51" s="110">
        <f>2.3*B51/100</f>
        <v>0</v>
      </c>
      <c r="J51" s="110">
        <f>1.38*B51/100</f>
        <v>0</v>
      </c>
      <c r="K51" s="110">
        <f>0.91*B51/100</f>
        <v>0</v>
      </c>
      <c r="L51" s="110">
        <v>0</v>
      </c>
      <c r="M51" s="110">
        <f>4.33*B51/100</f>
        <v>0</v>
      </c>
      <c r="N51" s="110">
        <f>1.66*B51/100</f>
        <v>0</v>
      </c>
      <c r="O51" s="110">
        <f>86.3*B51/100</f>
        <v>0</v>
      </c>
      <c r="P51" s="110">
        <f>1.83*B51/100</f>
        <v>0</v>
      </c>
      <c r="Q51" s="110">
        <f>0.3*B51/100</f>
        <v>0</v>
      </c>
      <c r="R51" s="110">
        <v>0</v>
      </c>
      <c r="S51" s="110">
        <v>0</v>
      </c>
      <c r="T51" s="110">
        <f>0.36*B51/100</f>
        <v>0</v>
      </c>
      <c r="U51" s="110">
        <f>7.5*B51/100</f>
        <v>0</v>
      </c>
      <c r="V51" s="110">
        <v>0</v>
      </c>
      <c r="W51" s="110">
        <v>0</v>
      </c>
      <c r="X51" s="110">
        <f>1860*B51/100</f>
        <v>0</v>
      </c>
    </row>
    <row r="52" spans="1:24" s="96" customFormat="1" x14ac:dyDescent="0.25">
      <c r="A52" s="111" t="s">
        <v>334</v>
      </c>
      <c r="B52" s="109" t="str">
        <f>IF(Feuil1!D235="A chaque repas",2*Feuil1!G235,IF(Feuil1!D235="1fois/jour",Feuil1!G235,IF(Feuil1!D235="2 à 3 fois/ semaine",Feuil1!G235*3/7,IF(Feuil1!D235="1 fois/semaine",Feuil1!G235/7,"0"))))</f>
        <v>0</v>
      </c>
      <c r="C52" s="110">
        <f>1080*B52/100</f>
        <v>0</v>
      </c>
      <c r="D52" s="110">
        <f>259*B52/100</f>
        <v>0</v>
      </c>
      <c r="E52" s="110">
        <f>7.98*B52/100</f>
        <v>0</v>
      </c>
      <c r="F52" s="110">
        <f>14.9*B52/100</f>
        <v>0</v>
      </c>
      <c r="G52" s="110">
        <f>7.52*B52/100</f>
        <v>0</v>
      </c>
      <c r="H52" s="110">
        <f>4.91*B52/100</f>
        <v>0</v>
      </c>
      <c r="I52" s="110">
        <f>1.67*B52/100</f>
        <v>0</v>
      </c>
      <c r="J52" s="110">
        <f>1.29*B52/100</f>
        <v>0</v>
      </c>
      <c r="K52" s="110">
        <f>0.098*B52/100</f>
        <v>0</v>
      </c>
      <c r="L52" s="110">
        <f>67.1*B52/100</f>
        <v>0</v>
      </c>
      <c r="M52" s="110">
        <f>22.2*B52/100</f>
        <v>0</v>
      </c>
      <c r="N52" s="110">
        <f>3.06*B52/100</f>
        <v>0</v>
      </c>
      <c r="O52" s="110">
        <f>89.8*B52/100</f>
        <v>0</v>
      </c>
      <c r="P52" s="110">
        <f>0.64*B52/100</f>
        <v>0</v>
      </c>
      <c r="Q52" s="110">
        <f>1.39*B52/100</f>
        <v>0</v>
      </c>
      <c r="R52" s="110">
        <f>53.4*B52/100</f>
        <v>0</v>
      </c>
      <c r="S52" s="110">
        <f>0.98*B52/100</f>
        <v>0</v>
      </c>
      <c r="T52" s="110">
        <f>1.36*B52/100</f>
        <v>0</v>
      </c>
      <c r="U52" s="110">
        <f>26.8*B52/100</f>
        <v>0</v>
      </c>
      <c r="V52" s="110">
        <f>0.31*B52/100</f>
        <v>0</v>
      </c>
      <c r="W52" s="110">
        <f>1.77*B52/100</f>
        <v>0</v>
      </c>
      <c r="X52" s="110">
        <f>464*B52/100</f>
        <v>0</v>
      </c>
    </row>
    <row r="53" spans="1:24" s="97" customFormat="1" ht="15.75" x14ac:dyDescent="0.25">
      <c r="A53" s="35" t="s">
        <v>263</v>
      </c>
      <c r="B53" s="64"/>
      <c r="C53" s="102"/>
      <c r="D53" s="102"/>
      <c r="E53" s="102"/>
      <c r="F53" s="102"/>
      <c r="G53" s="102"/>
      <c r="H53" s="102"/>
      <c r="I53" s="102"/>
      <c r="J53" s="102"/>
      <c r="K53" s="102"/>
      <c r="L53" s="102"/>
      <c r="M53" s="102"/>
      <c r="N53" s="102"/>
      <c r="O53" s="102"/>
      <c r="P53" s="102"/>
      <c r="Q53" s="102"/>
      <c r="R53" s="102"/>
      <c r="S53" s="102"/>
      <c r="T53" s="102"/>
      <c r="U53" s="102"/>
      <c r="V53" s="102"/>
      <c r="W53" s="102"/>
      <c r="X53" s="102"/>
    </row>
    <row r="54" spans="1:24" s="96" customFormat="1" x14ac:dyDescent="0.25">
      <c r="A54" s="113" t="s">
        <v>264</v>
      </c>
      <c r="B54" s="114" t="str">
        <f>IF(Feuil1!$D$220="Olive",IF(Feuil1!$B$220="Tous les jours",2*Feuil1!$G$220,IF(Feuil1!$B$220="2-3 fois/ semaine",Feuil1!$G$220*3/7,IF(Feuil1!$B$220="1 fois/semaine",Feuil1!$G$220/7,"0"))),"0")</f>
        <v>0</v>
      </c>
      <c r="C54" s="115">
        <f t="shared" si="0"/>
        <v>0</v>
      </c>
      <c r="D54" s="115">
        <f t="shared" si="1"/>
        <v>0</v>
      </c>
      <c r="E54" s="115">
        <v>0</v>
      </c>
      <c r="F54" s="115">
        <f>B54*100/100</f>
        <v>0</v>
      </c>
      <c r="G54" s="115">
        <f>15.1*B54/100</f>
        <v>0</v>
      </c>
      <c r="H54" s="115">
        <f>77.2*B54/100</f>
        <v>0</v>
      </c>
      <c r="I54" s="115">
        <f>6.95*B54/100</f>
        <v>0</v>
      </c>
      <c r="J54" s="115">
        <f>I54</f>
        <v>0</v>
      </c>
      <c r="K54" s="115">
        <v>0</v>
      </c>
      <c r="L54" s="115">
        <v>0</v>
      </c>
      <c r="M54" s="115">
        <v>0</v>
      </c>
      <c r="N54" s="115">
        <v>0</v>
      </c>
      <c r="O54" s="115">
        <v>0</v>
      </c>
      <c r="P54" s="115">
        <v>0</v>
      </c>
      <c r="Q54" s="115">
        <v>0</v>
      </c>
      <c r="R54" s="115">
        <v>0</v>
      </c>
      <c r="S54" s="115">
        <v>0</v>
      </c>
      <c r="T54" s="115">
        <f>10*B54/100</f>
        <v>0</v>
      </c>
      <c r="U54" s="115">
        <v>0</v>
      </c>
      <c r="V54" s="115">
        <v>0</v>
      </c>
      <c r="W54" s="115">
        <v>0</v>
      </c>
      <c r="X54" s="115">
        <v>0</v>
      </c>
    </row>
    <row r="55" spans="1:24" s="96" customFormat="1" x14ac:dyDescent="0.25">
      <c r="A55" s="113" t="s">
        <v>265</v>
      </c>
      <c r="B55" s="114">
        <f>IF(Feuil1!$D$220="Tournesol",IF(Feuil1!$B$220="Tous les jours",2*Feuil1!$G$220,IF(Feuil1!$B$220="2-3 fois/ semaine",Feuil1!$G$220*3/7,IF(Feuil1!$B$220="1 fois/semaine",Feuil1!$G$220/7,"0"))),"0")+IF(Feuil1!$B$227="Tous les jours",30,IF(Feuil1!$B$227="2-3 fois/ semaine",30*3/7,IF(Feuil1!$B$227="1 fois/semaine",30/7,"0")))</f>
        <v>0</v>
      </c>
      <c r="C55" s="115">
        <f t="shared" si="0"/>
        <v>0</v>
      </c>
      <c r="D55" s="115">
        <f t="shared" si="1"/>
        <v>0</v>
      </c>
      <c r="E55" s="115">
        <v>0</v>
      </c>
      <c r="F55" s="115">
        <f>B55*100/100</f>
        <v>0</v>
      </c>
      <c r="G55" s="115">
        <f>11.15*B55/100</f>
        <v>0</v>
      </c>
      <c r="H55" s="115">
        <f>20*B55/100</f>
        <v>0</v>
      </c>
      <c r="I55" s="115">
        <f>64.4*B55/100</f>
        <v>0</v>
      </c>
      <c r="J55" s="115">
        <f>60/100*F55</f>
        <v>0</v>
      </c>
      <c r="K55" s="115">
        <f>I55-J55</f>
        <v>0</v>
      </c>
      <c r="L55" s="115">
        <v>0</v>
      </c>
      <c r="M55" s="115">
        <v>0</v>
      </c>
      <c r="N55" s="115">
        <v>0</v>
      </c>
      <c r="O55" s="115">
        <v>0</v>
      </c>
      <c r="P55" s="115">
        <v>0</v>
      </c>
      <c r="Q55" s="115">
        <v>0</v>
      </c>
      <c r="R55" s="115">
        <v>0</v>
      </c>
      <c r="S55" s="115">
        <v>0</v>
      </c>
      <c r="T55" s="115">
        <f>60.6*B55/100</f>
        <v>0</v>
      </c>
      <c r="U55" s="115">
        <v>0</v>
      </c>
      <c r="V55" s="115">
        <v>0</v>
      </c>
      <c r="W55" s="115">
        <v>0</v>
      </c>
      <c r="X55" s="115">
        <v>0</v>
      </c>
    </row>
    <row r="56" spans="1:24" s="96" customFormat="1" x14ac:dyDescent="0.25">
      <c r="A56" s="113" t="s">
        <v>266</v>
      </c>
      <c r="B56" s="114" t="str">
        <f>IF(Feuil1!$D$220="Colza",IF(Feuil1!$B$220="Tous les jours",2*Feuil1!$G$220,IF(Feuil1!$B$220="2-3 fois/ semaine",Feuil1!$G$220*3/7,IF(Feuil1!$B$220="1 fois/semaine",Feuil1!$G$220/7,"0"))),"0")</f>
        <v>0</v>
      </c>
      <c r="C56" s="115">
        <f t="shared" si="0"/>
        <v>0</v>
      </c>
      <c r="D56" s="115">
        <f t="shared" si="1"/>
        <v>0</v>
      </c>
      <c r="E56" s="115">
        <v>0</v>
      </c>
      <c r="F56" s="115">
        <f>B56*100/100</f>
        <v>0</v>
      </c>
      <c r="G56" s="115">
        <f>7.6*B56/100</f>
        <v>0</v>
      </c>
      <c r="H56" s="115">
        <f>59*B56/100</f>
        <v>0</v>
      </c>
      <c r="I56" s="115">
        <f>30*B56/100</f>
        <v>0</v>
      </c>
      <c r="J56" s="115">
        <f>I56-K56</f>
        <v>0</v>
      </c>
      <c r="K56" s="115">
        <f>13/100*F56</f>
        <v>0</v>
      </c>
      <c r="L56" s="115">
        <f>2.3*B56/100</f>
        <v>0</v>
      </c>
      <c r="M56" s="115">
        <v>0</v>
      </c>
      <c r="N56" s="115">
        <v>0</v>
      </c>
      <c r="O56" s="115">
        <v>0</v>
      </c>
      <c r="P56" s="115">
        <v>0</v>
      </c>
      <c r="Q56" s="115">
        <v>0</v>
      </c>
      <c r="R56" s="115">
        <v>0</v>
      </c>
      <c r="S56" s="115">
        <v>0</v>
      </c>
      <c r="T56" s="115">
        <f>22.5*B56/100</f>
        <v>0</v>
      </c>
      <c r="U56" s="115">
        <v>0</v>
      </c>
      <c r="V56" s="115">
        <v>0</v>
      </c>
      <c r="W56" s="115">
        <v>0</v>
      </c>
      <c r="X56" s="115">
        <v>0</v>
      </c>
    </row>
    <row r="57" spans="1:24" s="96" customFormat="1" x14ac:dyDescent="0.25">
      <c r="A57" s="113" t="s">
        <v>290</v>
      </c>
      <c r="B57" s="114" t="str">
        <f>IF(Feuil1!$D$220="Arachide",IF(Feuil1!$B$220="Tous les jours",2*Feuil1!$G$220,IF(Feuil1!$B$220="2-3 fois/ semaine",Feuil1!$G$220*3/7,IF(Feuil1!$B$220="1 fois/semaine",Feuil1!$G$220/7,"0"))),"0")</f>
        <v>0</v>
      </c>
      <c r="C57" s="115">
        <f t="shared" ref="C57" si="2">(E57*17)+(F57*38)+(M57*17)</f>
        <v>0</v>
      </c>
      <c r="D57" s="115">
        <f t="shared" ref="D57" si="3">C57/4.18</f>
        <v>0</v>
      </c>
      <c r="E57" s="115">
        <v>0</v>
      </c>
      <c r="F57" s="115">
        <f>B57*100/100</f>
        <v>0</v>
      </c>
      <c r="G57" s="115">
        <f>16.6*B57/100</f>
        <v>0</v>
      </c>
      <c r="H57" s="115">
        <f>49.5*B57/100</f>
        <v>0</v>
      </c>
      <c r="I57" s="115">
        <f>25.9*B57/100</f>
        <v>0</v>
      </c>
      <c r="J57" s="115">
        <f>I57-K57</f>
        <v>0</v>
      </c>
      <c r="K57" s="115">
        <f>49.5/100*F57</f>
        <v>0</v>
      </c>
      <c r="L57" s="115">
        <f>2.3*B57/100</f>
        <v>0</v>
      </c>
      <c r="M57" s="115">
        <v>0</v>
      </c>
      <c r="N57" s="115">
        <v>0</v>
      </c>
      <c r="O57" s="115">
        <v>0</v>
      </c>
      <c r="P57" s="115">
        <v>0</v>
      </c>
      <c r="Q57" s="115">
        <v>0</v>
      </c>
      <c r="R57" s="115">
        <v>0</v>
      </c>
      <c r="S57" s="115">
        <v>0</v>
      </c>
      <c r="T57" s="115">
        <f>10.1*B57/100</f>
        <v>0</v>
      </c>
      <c r="U57" s="115">
        <v>0</v>
      </c>
      <c r="V57" s="115">
        <v>0</v>
      </c>
      <c r="W57" s="115">
        <v>0</v>
      </c>
      <c r="X57" s="115">
        <v>0</v>
      </c>
    </row>
    <row r="58" spans="1:24" s="96" customFormat="1" x14ac:dyDescent="0.25">
      <c r="A58" s="113" t="s">
        <v>189</v>
      </c>
      <c r="B58" s="114" t="str">
        <f>IF(Feuil1!$D$220="Isio 4",IF(Feuil1!$B$220="Tous les jours",2*Feuil1!$G$220,IF(Feuil1!$B$220="2-3 fois/ semaine",Feuil1!$G$220*3/7,IF(Feuil1!$B$220="1 fois/semaine",Feuil1!$G$220/7,"0"))),"0")</f>
        <v>0</v>
      </c>
      <c r="C58" s="115">
        <f t="shared" si="0"/>
        <v>0</v>
      </c>
      <c r="D58" s="115">
        <f>C58/4.18</f>
        <v>0</v>
      </c>
      <c r="E58" s="115">
        <v>0</v>
      </c>
      <c r="F58" s="115">
        <f>B58*100/100</f>
        <v>0</v>
      </c>
      <c r="G58" s="115">
        <f>10.3*B58/100</f>
        <v>0</v>
      </c>
      <c r="H58" s="115">
        <f>40.2*B58/100</f>
        <v>0</v>
      </c>
      <c r="I58" s="115">
        <f>44.4*B58/100</f>
        <v>0</v>
      </c>
      <c r="J58" s="115">
        <f>38.4/100*F58</f>
        <v>0</v>
      </c>
      <c r="K58" s="115">
        <f>41.1/100*F58</f>
        <v>0</v>
      </c>
      <c r="L58" s="115">
        <f>2.3*B58/100</f>
        <v>0</v>
      </c>
      <c r="M58" s="115">
        <v>0</v>
      </c>
      <c r="N58" s="115">
        <v>0</v>
      </c>
      <c r="O58" s="115">
        <v>0</v>
      </c>
      <c r="P58" s="115">
        <v>0</v>
      </c>
      <c r="Q58" s="115">
        <v>0</v>
      </c>
      <c r="R58" s="115">
        <v>0</v>
      </c>
      <c r="S58" s="115">
        <v>0</v>
      </c>
      <c r="T58" s="115">
        <f>63.9*B58/100</f>
        <v>0</v>
      </c>
      <c r="U58" s="115">
        <v>0</v>
      </c>
      <c r="V58" s="115">
        <v>0</v>
      </c>
      <c r="W58" s="115">
        <v>0</v>
      </c>
      <c r="X58" s="115">
        <v>0</v>
      </c>
    </row>
    <row r="59" spans="1:24" s="96" customFormat="1" x14ac:dyDescent="0.25">
      <c r="A59" s="113" t="s">
        <v>134</v>
      </c>
      <c r="B59" s="114" t="str">
        <f>IF(Feuil1!B222="Tous les jours",2*Feuil1!G222,IF(Feuil1!B222="2-3 fois/ semaine",Feuil1!G222*3/7,IF(Feuil1!B222="1 fois/semaine",Feuil1!G222/7,"0")))</f>
        <v>0</v>
      </c>
      <c r="C59" s="115">
        <f t="shared" si="0"/>
        <v>0</v>
      </c>
      <c r="D59" s="115">
        <f t="shared" si="1"/>
        <v>0</v>
      </c>
      <c r="E59" s="115">
        <f>0.7*B59/100</f>
        <v>0</v>
      </c>
      <c r="F59" s="115">
        <f>B59*82.6/100</f>
        <v>0</v>
      </c>
      <c r="G59" s="115">
        <f>57*B59/100</f>
        <v>0</v>
      </c>
      <c r="H59" s="115">
        <f>22*B59/100</f>
        <v>0</v>
      </c>
      <c r="I59" s="115">
        <f>3.1*B59/100</f>
        <v>0</v>
      </c>
      <c r="J59" s="115">
        <f>1.5*B59/100</f>
        <v>0</v>
      </c>
      <c r="K59" s="115">
        <f>1.5*B59/100</f>
        <v>0</v>
      </c>
      <c r="L59" s="115">
        <f>226/100*B59</f>
        <v>0</v>
      </c>
      <c r="M59" s="115">
        <f>0.5*B59/100</f>
        <v>0</v>
      </c>
      <c r="N59" s="115">
        <f>0.5*B59/100</f>
        <v>0</v>
      </c>
      <c r="O59" s="115">
        <f>14.5*B59/100</f>
        <v>0</v>
      </c>
      <c r="P59" s="115">
        <f>0.2*B59/100</f>
        <v>0</v>
      </c>
      <c r="Q59" s="115">
        <v>0</v>
      </c>
      <c r="R59" s="115">
        <f>(708*B59/100)+(200*B59/100/6)</f>
        <v>0</v>
      </c>
      <c r="S59" s="115">
        <f>1.3*B59/100</f>
        <v>0</v>
      </c>
      <c r="T59" s="115">
        <f>2*B59/100</f>
        <v>0</v>
      </c>
      <c r="U59" s="115">
        <f>2*B59/100</f>
        <v>0</v>
      </c>
      <c r="V59" s="115">
        <f>0.02*B59/100</f>
        <v>0</v>
      </c>
      <c r="W59" s="115">
        <v>0</v>
      </c>
      <c r="X59" s="115">
        <f>12*B59/100</f>
        <v>0</v>
      </c>
    </row>
    <row r="60" spans="1:24" s="96" customFormat="1" x14ac:dyDescent="0.25">
      <c r="A60" s="113" t="s">
        <v>267</v>
      </c>
      <c r="B60" s="114" t="str">
        <f>IF(Feuil1!$D$223="Riche en w3",IF(Feuil1!$B$223="Tous les jours",2*Feuil1!$G$222,IF(Feuil1!$B$223="2-3 fois/ semaine",Feuil1!$G$222*3/7,IF(Feuil1!$B$223="1 fois/semaine",Feuil1!$G$222/7,"0"))),"0")</f>
        <v>0</v>
      </c>
      <c r="C60" s="115">
        <f>(E60*17)+(F60*38)+(M60*17)</f>
        <v>0</v>
      </c>
      <c r="D60" s="115">
        <f t="shared" si="1"/>
        <v>0</v>
      </c>
      <c r="E60" s="115">
        <f>0.1*B60/100</f>
        <v>0</v>
      </c>
      <c r="F60" s="115">
        <f>57.2*B60/100</f>
        <v>0</v>
      </c>
      <c r="G60" s="115">
        <f>12.8*B60/100</f>
        <v>0</v>
      </c>
      <c r="H60" s="115">
        <f>26.6*B60/100</f>
        <v>0</v>
      </c>
      <c r="I60" s="115">
        <f>16*B60/100</f>
        <v>0</v>
      </c>
      <c r="J60" s="115">
        <f>94/100*I60</f>
        <v>0</v>
      </c>
      <c r="K60" s="115">
        <f>6/100*I60</f>
        <v>0</v>
      </c>
      <c r="L60" s="115">
        <v>0</v>
      </c>
      <c r="M60" s="115">
        <f>0.1*B60/100</f>
        <v>0</v>
      </c>
      <c r="N60" s="115">
        <v>0</v>
      </c>
      <c r="O60" s="115">
        <f>4.3*B60/100</f>
        <v>0</v>
      </c>
      <c r="P60" s="115">
        <f>0.6*B60/100</f>
        <v>0</v>
      </c>
      <c r="Q60" s="115">
        <v>0</v>
      </c>
      <c r="R60" s="115">
        <f>(0*B60/100)+(516*B60/100/6)</f>
        <v>0</v>
      </c>
      <c r="S60" s="115">
        <v>0</v>
      </c>
      <c r="T60" s="115">
        <f>26.7*B60/100</f>
        <v>0</v>
      </c>
      <c r="U60" s="115">
        <v>0</v>
      </c>
      <c r="V60" s="115">
        <v>0</v>
      </c>
      <c r="W60" s="115">
        <v>0</v>
      </c>
      <c r="X60" s="115">
        <f>114*B60/100</f>
        <v>0</v>
      </c>
    </row>
    <row r="61" spans="1:24" s="96" customFormat="1" x14ac:dyDescent="0.25">
      <c r="A61" s="113" t="s">
        <v>268</v>
      </c>
      <c r="B61" s="114" t="str">
        <f>IF(Feuil1!$D$223="Anti-cholestérol",IF(Feuil1!$B$223="Tous les jours",2*Feuil1!$G$222,IF(Feuil1!$B$223="2-3 fois/ semaine",Feuil1!$G$222*3/7,IF(Feuil1!$B$223="1 fois/semaine",Feuil1!$G$222/7,"0"))),"0")</f>
        <v>0</v>
      </c>
      <c r="C61" s="115">
        <f>(E61*17)+(F61*38)+(M61*17)</f>
        <v>0</v>
      </c>
      <c r="D61" s="115">
        <f t="shared" si="1"/>
        <v>0</v>
      </c>
      <c r="E61" s="115">
        <v>0</v>
      </c>
      <c r="F61" s="115">
        <f>62*B61/100</f>
        <v>0</v>
      </c>
      <c r="G61" s="115">
        <f>13.7*B61/100</f>
        <v>0</v>
      </c>
      <c r="H61" s="115">
        <f>20.2*B61/100</f>
        <v>0</v>
      </c>
      <c r="I61" s="115">
        <f>24.8*B61/100</f>
        <v>0</v>
      </c>
      <c r="J61" s="115">
        <f>23.5/100*B61</f>
        <v>0</v>
      </c>
      <c r="K61" s="115">
        <v>0</v>
      </c>
      <c r="L61" s="115">
        <f>7.77*B61/100</f>
        <v>0</v>
      </c>
      <c r="M61" s="115">
        <v>0</v>
      </c>
      <c r="N61" s="115">
        <v>0</v>
      </c>
      <c r="O61" s="115">
        <f>2.3*B61/7</f>
        <v>0</v>
      </c>
      <c r="P61" s="115">
        <f>0.6*B61/100</f>
        <v>0</v>
      </c>
      <c r="Q61" s="115">
        <f>2.5*B61/100</f>
        <v>0</v>
      </c>
      <c r="R61" s="115">
        <f>(0*B61/100)+(50*B61/100/6)</f>
        <v>0</v>
      </c>
      <c r="S61" s="115">
        <v>0</v>
      </c>
      <c r="T61" s="115">
        <f>16*B61/100</f>
        <v>0</v>
      </c>
      <c r="U61" s="115">
        <f>8*B61/100</f>
        <v>0</v>
      </c>
      <c r="V61" s="115">
        <f>0.25*B61/100</f>
        <v>0</v>
      </c>
      <c r="W61" s="115">
        <v>0</v>
      </c>
      <c r="X61" s="115">
        <f>195*B61/100</f>
        <v>0</v>
      </c>
    </row>
    <row r="62" spans="1:24" s="96" customFormat="1" x14ac:dyDescent="0.25">
      <c r="A62" s="113" t="s">
        <v>269</v>
      </c>
      <c r="B62" s="114" t="str">
        <f>IF(Feuil1!$D$223="Classique",IF(Feuil1!$B$223="Tous les jours",2*Feuil1!$G$222,IF(Feuil1!$B$223="2-3 fois/ semaine",Feuil1!$G$222*3/7,IF(Feuil1!$B$223="1 fois/semaine",Feuil1!$G$222/7,"0"))),"0")</f>
        <v>0</v>
      </c>
      <c r="C62" s="115">
        <f>(E62*17)+(F62*38)+(M62*17)</f>
        <v>0</v>
      </c>
      <c r="D62" s="115">
        <f t="shared" si="1"/>
        <v>0</v>
      </c>
      <c r="E62" s="115">
        <f>0.4*B62/100</f>
        <v>0</v>
      </c>
      <c r="F62" s="115">
        <f>59.3*B62/100</f>
        <v>0</v>
      </c>
      <c r="G62" s="115">
        <f>20.2*B62/100</f>
        <v>0</v>
      </c>
      <c r="H62" s="115">
        <f>18.4*B62/100</f>
        <v>0</v>
      </c>
      <c r="I62" s="115">
        <f>14.6*B62/100</f>
        <v>0</v>
      </c>
      <c r="J62" s="115">
        <f>13.2/100*B62</f>
        <v>0</v>
      </c>
      <c r="K62" s="115">
        <v>0</v>
      </c>
      <c r="L62" s="115">
        <v>0</v>
      </c>
      <c r="M62" s="115">
        <f>0.25*B62/100</f>
        <v>0</v>
      </c>
      <c r="N62" s="115">
        <v>0</v>
      </c>
      <c r="O62" s="115">
        <f>13.4*B62/100</f>
        <v>0</v>
      </c>
      <c r="P62" s="115">
        <f>0.6*B62/100</f>
        <v>0</v>
      </c>
      <c r="Q62" s="115">
        <f>1*B62/100</f>
        <v>0</v>
      </c>
      <c r="R62" s="115">
        <f>(76*B62/100)+(511*B62/100/6)</f>
        <v>0</v>
      </c>
      <c r="S62" s="115">
        <f>1*B62/100</f>
        <v>0</v>
      </c>
      <c r="T62" s="115">
        <f>10.6*B62/100</f>
        <v>0</v>
      </c>
      <c r="U62" s="115">
        <v>0</v>
      </c>
      <c r="V62" s="115">
        <v>0</v>
      </c>
      <c r="W62" s="115">
        <v>0</v>
      </c>
      <c r="X62" s="115">
        <f>203*B62/100</f>
        <v>0</v>
      </c>
    </row>
    <row r="63" spans="1:24" s="96" customFormat="1" x14ac:dyDescent="0.25">
      <c r="A63" s="113" t="s">
        <v>136</v>
      </c>
      <c r="B63" s="114" t="str">
        <f>IF(Feuil1!B225="A chaque repas",2*30,IF(Feuil1!B225="1fois/jour",30,IF(Feuil1!B225="2 à 3 fois/ semaine",30*3/7,IF(Feuil1!B225="1 fois/semaine",30/7,"0"))))</f>
        <v>0</v>
      </c>
      <c r="C63" s="115">
        <f t="shared" si="0"/>
        <v>0</v>
      </c>
      <c r="D63" s="115">
        <f t="shared" si="1"/>
        <v>0</v>
      </c>
      <c r="E63" s="115">
        <f>3.2*B63/100</f>
        <v>0</v>
      </c>
      <c r="F63" s="115">
        <f>15.6*B63/100</f>
        <v>0</v>
      </c>
      <c r="G63" s="115">
        <f>10*B63/100</f>
        <v>0</v>
      </c>
      <c r="H63" s="115">
        <f>4*B63/100</f>
        <v>0</v>
      </c>
      <c r="I63" s="115">
        <f>0.5*B63/100</f>
        <v>0</v>
      </c>
      <c r="J63" s="115">
        <f>0.43*B63/100</f>
        <v>0</v>
      </c>
      <c r="K63" s="115">
        <f>0.169*B63/100</f>
        <v>0</v>
      </c>
      <c r="L63" s="115">
        <f>63.5*B63/100</f>
        <v>0</v>
      </c>
      <c r="M63" s="115">
        <f>5*B63/100</f>
        <v>0</v>
      </c>
      <c r="N63" s="115">
        <f>3*B63/100</f>
        <v>0</v>
      </c>
      <c r="O63" s="115">
        <f>103*B63/100</f>
        <v>0</v>
      </c>
      <c r="P63" s="115">
        <f>0.22*B63/100</f>
        <v>0</v>
      </c>
      <c r="Q63" s="115">
        <f>0.05*B63/100</f>
        <v>0</v>
      </c>
      <c r="R63" s="115">
        <f>(189*B63/100)+(105*B63/100/6)</f>
        <v>0</v>
      </c>
      <c r="S63" s="115">
        <f>0.18*B63/100</f>
        <v>0</v>
      </c>
      <c r="T63" s="115">
        <f>0.38*B63/100</f>
        <v>0</v>
      </c>
      <c r="U63" s="115">
        <f>22*B63/100</f>
        <v>0</v>
      </c>
      <c r="V63" s="115">
        <f>0.24*B63/100</f>
        <v>0</v>
      </c>
      <c r="W63" s="115">
        <v>0</v>
      </c>
      <c r="X63" s="115">
        <f>41*B63/100</f>
        <v>0</v>
      </c>
    </row>
    <row r="64" spans="1:24" s="96" customFormat="1" x14ac:dyDescent="0.25">
      <c r="A64" s="113" t="s">
        <v>270</v>
      </c>
      <c r="B64" s="114" t="str">
        <f>IF(Feuil1!B226="A chaque repas",2*30,IF(Feuil1!B226="1fois/jour",30,IF(Feuil1!B226="2 à 3 fois/ semaine",30*3/7,IF(Feuil1!B226="1 fois/semaine",30/7,"0"))))</f>
        <v>0</v>
      </c>
      <c r="C64" s="115">
        <f t="shared" si="0"/>
        <v>0</v>
      </c>
      <c r="D64" s="115">
        <f t="shared" si="1"/>
        <v>0</v>
      </c>
      <c r="E64" s="115">
        <f>2*B64/100</f>
        <v>0</v>
      </c>
      <c r="F64" s="115">
        <f>17.6*B64/100</f>
        <v>0</v>
      </c>
      <c r="G64" s="115">
        <f>15.7*B64/100</f>
        <v>0</v>
      </c>
      <c r="H64" s="115">
        <f>0.9*B64/100</f>
        <v>0</v>
      </c>
      <c r="I64" s="115">
        <f>0.2*B64/100</f>
        <v>0</v>
      </c>
      <c r="J64" s="115">
        <f>I64</f>
        <v>0</v>
      </c>
      <c r="K64" s="115">
        <v>0</v>
      </c>
      <c r="L64" s="115">
        <v>0</v>
      </c>
      <c r="M64" s="115">
        <f>6.33*B64/100</f>
        <v>0</v>
      </c>
      <c r="N64" s="115">
        <f>2*B64/100</f>
        <v>0</v>
      </c>
      <c r="O64" s="115">
        <f>18*B64/100</f>
        <v>0</v>
      </c>
      <c r="P64" s="115">
        <f>3.3*B64/100</f>
        <v>0</v>
      </c>
      <c r="Q64" s="115">
        <f>1*B64/100</f>
        <v>0</v>
      </c>
      <c r="R64" s="115">
        <f>(0*B64/100)+(0*B64/100/6)</f>
        <v>0</v>
      </c>
      <c r="S64" s="115">
        <f>0.18*B64/100</f>
        <v>0</v>
      </c>
      <c r="T64" s="115">
        <f>0*B64/100</f>
        <v>0</v>
      </c>
      <c r="U64" s="115">
        <f>14*B64/100</f>
        <v>0</v>
      </c>
      <c r="V64" s="115">
        <f>0*B64/100</f>
        <v>0</v>
      </c>
      <c r="W64" s="115">
        <f>0.2*B64/100</f>
        <v>0</v>
      </c>
      <c r="X64" s="115">
        <f>7.7*B64/100</f>
        <v>0</v>
      </c>
    </row>
    <row r="65" spans="1:24" s="96" customFormat="1" x14ac:dyDescent="0.25">
      <c r="A65" s="116" t="s">
        <v>97</v>
      </c>
      <c r="B65" s="68" t="str">
        <f>IF(Feuil1!B149="&gt;3verres/jour",3*10,IF(Feuil1!B149="1 verre/repas",2*10,IF(Feuil1!B149="1verre/jour",10,IF(Feuil1!B149="2 à 3 fois/semaines",10*3/7,"0"))))</f>
        <v>0</v>
      </c>
      <c r="C65" s="36">
        <f>B65*29.9</f>
        <v>0</v>
      </c>
      <c r="D65" s="36">
        <f t="shared" si="1"/>
        <v>0</v>
      </c>
      <c r="E65" s="36"/>
      <c r="F65" s="36"/>
      <c r="G65" s="36"/>
      <c r="H65" s="36"/>
      <c r="I65" s="36"/>
      <c r="J65" s="36"/>
      <c r="K65" s="36"/>
      <c r="L65" s="36"/>
      <c r="M65" s="36"/>
      <c r="N65" s="36"/>
      <c r="O65" s="36"/>
      <c r="P65" s="36"/>
      <c r="Q65" s="36"/>
      <c r="R65" s="36"/>
      <c r="S65" s="36"/>
      <c r="T65" s="36"/>
      <c r="U65" s="36"/>
      <c r="V65" s="36"/>
      <c r="W65" s="36"/>
      <c r="X65" s="36"/>
    </row>
    <row r="66" spans="1:24" s="96" customFormat="1" ht="15.75" x14ac:dyDescent="0.25">
      <c r="A66" s="76"/>
      <c r="B66" s="94" t="s">
        <v>271</v>
      </c>
      <c r="C66" s="95">
        <f>SUM(C8:C65)</f>
        <v>0</v>
      </c>
      <c r="D66" s="95">
        <f>SUM(D8:D65)</f>
        <v>0</v>
      </c>
      <c r="E66" s="95">
        <f t="shared" ref="E66:K66" si="4">SUM(E8:E63)</f>
        <v>0</v>
      </c>
      <c r="F66" s="95">
        <f t="shared" si="4"/>
        <v>0</v>
      </c>
      <c r="G66" s="95">
        <f t="shared" si="4"/>
        <v>0</v>
      </c>
      <c r="H66" s="95">
        <f t="shared" si="4"/>
        <v>0</v>
      </c>
      <c r="I66" s="95">
        <f t="shared" si="4"/>
        <v>0</v>
      </c>
      <c r="J66" s="95">
        <f t="shared" si="4"/>
        <v>0</v>
      </c>
      <c r="K66" s="95">
        <f t="shared" si="4"/>
        <v>0</v>
      </c>
      <c r="L66" s="95">
        <f>SUM(L8:L64)</f>
        <v>0</v>
      </c>
      <c r="M66" s="95">
        <f t="shared" ref="M66:X66" si="5">SUM(M8:M63)</f>
        <v>0</v>
      </c>
      <c r="N66" s="95">
        <f>SUM(N17:N65)</f>
        <v>0</v>
      </c>
      <c r="O66" s="95">
        <f t="shared" si="5"/>
        <v>0</v>
      </c>
      <c r="P66" s="95">
        <f t="shared" si="5"/>
        <v>0</v>
      </c>
      <c r="Q66" s="95">
        <f t="shared" si="5"/>
        <v>0</v>
      </c>
      <c r="R66" s="95">
        <f t="shared" si="5"/>
        <v>0</v>
      </c>
      <c r="S66" s="95">
        <f t="shared" si="5"/>
        <v>0</v>
      </c>
      <c r="T66" s="95">
        <f t="shared" si="5"/>
        <v>0</v>
      </c>
      <c r="U66" s="95">
        <f t="shared" si="5"/>
        <v>0</v>
      </c>
      <c r="V66" s="95">
        <f t="shared" si="5"/>
        <v>0</v>
      </c>
      <c r="W66" s="95">
        <f t="shared" si="5"/>
        <v>0</v>
      </c>
      <c r="X66" s="95">
        <f t="shared" si="5"/>
        <v>0</v>
      </c>
    </row>
    <row r="67" spans="1:24" x14ac:dyDescent="0.25">
      <c r="A67" s="41" t="s">
        <v>273</v>
      </c>
      <c r="B67" s="184" t="s">
        <v>297</v>
      </c>
      <c r="C67" s="38">
        <f ca="1">H4</f>
        <v>0</v>
      </c>
      <c r="D67" s="39">
        <f ca="1">C67/4.18</f>
        <v>0</v>
      </c>
      <c r="E67" s="40">
        <f ca="1">(10*$C$67/100)/17</f>
        <v>0</v>
      </c>
      <c r="F67" s="40">
        <f ca="1">(35*$C$67/100)/38</f>
        <v>0</v>
      </c>
      <c r="G67" s="39">
        <f ca="1">12/100*C67/38</f>
        <v>0</v>
      </c>
      <c r="H67" s="39">
        <f ca="1">15/100*C67/38</f>
        <v>0</v>
      </c>
      <c r="I67" s="39">
        <f ca="1">5/100*C67/38</f>
        <v>0</v>
      </c>
      <c r="J67" s="39">
        <f ca="1">4/100*C67/38</f>
        <v>0</v>
      </c>
      <c r="K67" s="39">
        <f ca="1">1/100*C67/38</f>
        <v>0</v>
      </c>
      <c r="L67" s="37">
        <v>300</v>
      </c>
      <c r="M67" s="40">
        <f ca="1">(40*$C$67/100)/17</f>
        <v>0</v>
      </c>
      <c r="N67" s="75">
        <v>100</v>
      </c>
      <c r="O67" s="37">
        <f ca="1">IF(B4&gt;70,1200,950)</f>
        <v>1200</v>
      </c>
      <c r="P67" s="37">
        <v>10</v>
      </c>
      <c r="Q67" s="37">
        <v>120</v>
      </c>
      <c r="R67" s="37">
        <f>IF($B$5=1,750,650)</f>
        <v>650</v>
      </c>
      <c r="S67" s="37">
        <v>10</v>
      </c>
      <c r="T67" s="37">
        <f>IF($B$5=1,10.5,9.9)</f>
        <v>9.9</v>
      </c>
      <c r="U67" s="37">
        <v>330</v>
      </c>
      <c r="V67" s="37">
        <v>4</v>
      </c>
      <c r="W67" s="37">
        <v>20</v>
      </c>
      <c r="X67" s="37">
        <f>IF($B$5=1,3200,2600)</f>
        <v>2600</v>
      </c>
    </row>
    <row r="68" spans="1:24" x14ac:dyDescent="0.25">
      <c r="A68" s="46"/>
      <c r="B68" s="185"/>
      <c r="C68" s="71"/>
      <c r="D68" s="72"/>
      <c r="E68" s="40">
        <f ca="1">(20*$C$67/100)/17</f>
        <v>0</v>
      </c>
      <c r="F68" s="40">
        <f ca="1">(40*$C$67/100)/38</f>
        <v>0</v>
      </c>
      <c r="G68" s="72"/>
      <c r="H68" s="39">
        <f ca="1">20/100*C67/38</f>
        <v>0</v>
      </c>
      <c r="I68" s="72"/>
      <c r="J68" s="73"/>
      <c r="K68" s="73"/>
      <c r="L68" s="74"/>
      <c r="M68" s="40">
        <f ca="1">(55*$C$67/100)/17</f>
        <v>0</v>
      </c>
      <c r="N68" s="74"/>
      <c r="O68" s="74"/>
      <c r="P68" s="74"/>
      <c r="Q68" s="74"/>
      <c r="R68" s="74"/>
      <c r="S68" s="37">
        <v>15</v>
      </c>
      <c r="T68" s="74"/>
      <c r="U68" s="74"/>
      <c r="V68" s="74"/>
      <c r="W68" s="37">
        <v>25</v>
      </c>
      <c r="X68" s="74"/>
    </row>
    <row r="69" spans="1:24" x14ac:dyDescent="0.25">
      <c r="B69" s="79" t="s">
        <v>272</v>
      </c>
      <c r="C69" s="42"/>
      <c r="D69" s="43"/>
      <c r="E69" s="79" t="e">
        <f>E66*17/C66*100</f>
        <v>#DIV/0!</v>
      </c>
      <c r="F69" s="80" t="e">
        <f>F66*38/C66*100</f>
        <v>#DIV/0!</v>
      </c>
      <c r="G69" s="43"/>
      <c r="H69" s="43"/>
      <c r="I69" s="43"/>
      <c r="J69" s="41"/>
      <c r="K69" s="41"/>
      <c r="L69" s="41"/>
      <c r="M69" s="79" t="e">
        <f>M66*17/C66*100</f>
        <v>#DIV/0!</v>
      </c>
      <c r="O69" s="41"/>
      <c r="P69" s="41"/>
      <c r="Q69" s="41"/>
      <c r="R69" s="41"/>
      <c r="S69" s="41"/>
      <c r="T69" s="41"/>
      <c r="U69" s="41"/>
      <c r="V69" s="41"/>
      <c r="W69" s="44"/>
      <c r="X69" s="41"/>
    </row>
    <row r="70" spans="1:24" x14ac:dyDescent="0.25">
      <c r="B70" s="65"/>
      <c r="C70" s="44"/>
      <c r="D70" s="44"/>
      <c r="E70" s="44"/>
      <c r="F70" s="44"/>
      <c r="G70" s="44"/>
      <c r="H70" s="44"/>
      <c r="I70" s="44"/>
      <c r="J70" s="191" t="e">
        <f>J66/K66</f>
        <v>#DIV/0!</v>
      </c>
      <c r="K70" s="191"/>
      <c r="L70" s="44"/>
      <c r="M70" s="45"/>
      <c r="N70" s="45"/>
      <c r="O70" s="44"/>
      <c r="P70" s="44"/>
      <c r="Q70" s="44"/>
      <c r="R70" s="44"/>
      <c r="S70" s="44"/>
      <c r="T70" s="44"/>
      <c r="U70" s="44"/>
      <c r="V70" s="44"/>
      <c r="W70" s="44"/>
      <c r="X70" s="44"/>
    </row>
    <row r="71" spans="1:24" ht="27" customHeight="1" x14ac:dyDescent="0.25">
      <c r="B71" s="65"/>
      <c r="C71" s="44"/>
      <c r="D71" s="44"/>
      <c r="E71" s="47"/>
      <c r="F71" s="44"/>
      <c r="G71" s="44"/>
      <c r="H71" s="44"/>
      <c r="I71" s="44"/>
      <c r="J71" s="182" t="s">
        <v>274</v>
      </c>
      <c r="K71" s="183"/>
      <c r="L71" s="44"/>
      <c r="M71" s="44"/>
      <c r="N71" s="44"/>
      <c r="O71" s="44"/>
      <c r="P71" s="44"/>
      <c r="Q71" s="44"/>
      <c r="R71" s="44"/>
      <c r="S71" s="44"/>
      <c r="T71" s="44"/>
      <c r="U71" s="44"/>
      <c r="V71" s="44"/>
      <c r="X71" s="44"/>
    </row>
    <row r="72" spans="1:24" x14ac:dyDescent="0.25">
      <c r="A72" s="44"/>
      <c r="B72" s="65"/>
      <c r="C72" s="44"/>
      <c r="D72" s="44"/>
      <c r="E72" s="44"/>
      <c r="F72" s="44"/>
      <c r="G72" s="44"/>
      <c r="H72" s="44"/>
      <c r="I72" s="44"/>
      <c r="J72" s="44"/>
      <c r="K72" s="44"/>
      <c r="L72" s="44"/>
      <c r="M72" s="44"/>
      <c r="N72" s="44"/>
      <c r="O72" s="44"/>
      <c r="P72" s="44"/>
      <c r="Q72" s="44"/>
      <c r="R72" s="44"/>
      <c r="S72" s="44"/>
      <c r="T72" s="44"/>
      <c r="U72" s="44"/>
      <c r="V72" s="44"/>
      <c r="W72" s="44"/>
      <c r="X72" s="44"/>
    </row>
  </sheetData>
  <mergeCells count="6">
    <mergeCell ref="J71:K71"/>
    <mergeCell ref="B67:B68"/>
    <mergeCell ref="F2:G2"/>
    <mergeCell ref="F3:G3"/>
    <mergeCell ref="I4:J4"/>
    <mergeCell ref="J70:K70"/>
  </mergeCells>
  <conditionalFormatting sqref="E66">
    <cfRule type="cellIs" dxfId="16" priority="17" operator="notBetween">
      <formula>$E$67</formula>
      <formula>$E$68</formula>
    </cfRule>
  </conditionalFormatting>
  <conditionalFormatting sqref="F66">
    <cfRule type="cellIs" dxfId="15" priority="16" operator="notBetween">
      <formula>$F$67</formula>
      <formula>$F$68</formula>
    </cfRule>
  </conditionalFormatting>
  <conditionalFormatting sqref="G66">
    <cfRule type="cellIs" dxfId="14" priority="15" operator="greaterThan">
      <formula>$G$67</formula>
    </cfRule>
  </conditionalFormatting>
  <conditionalFormatting sqref="H66">
    <cfRule type="cellIs" dxfId="13" priority="14" operator="notBetween">
      <formula>$H$67</formula>
      <formula>$H$68</formula>
    </cfRule>
  </conditionalFormatting>
  <conditionalFormatting sqref="M66">
    <cfRule type="cellIs" dxfId="12" priority="13" operator="notBetween">
      <formula>$M$67</formula>
      <formula>$M$68</formula>
    </cfRule>
  </conditionalFormatting>
  <conditionalFormatting sqref="L66">
    <cfRule type="cellIs" dxfId="11" priority="12" operator="greaterThan">
      <formula>$L$67</formula>
    </cfRule>
  </conditionalFormatting>
  <conditionalFormatting sqref="N66">
    <cfRule type="cellIs" dxfId="10" priority="11" operator="greaterThan">
      <formula>$N$67</formula>
    </cfRule>
  </conditionalFormatting>
  <conditionalFormatting sqref="W66">
    <cfRule type="cellIs" dxfId="9" priority="10" operator="notBetween">
      <formula>$W$67</formula>
      <formula>$W$68</formula>
    </cfRule>
  </conditionalFormatting>
  <conditionalFormatting sqref="O66">
    <cfRule type="cellIs" dxfId="8" priority="9" operator="lessThan">
      <formula>$O$67</formula>
    </cfRule>
  </conditionalFormatting>
  <conditionalFormatting sqref="S66">
    <cfRule type="cellIs" dxfId="7" priority="8" operator="notBetween">
      <formula>$S$67</formula>
      <formula>$S$68</formula>
    </cfRule>
  </conditionalFormatting>
  <conditionalFormatting sqref="P66">
    <cfRule type="cellIs" dxfId="6" priority="7" operator="lessThan">
      <formula>$P$67</formula>
    </cfRule>
  </conditionalFormatting>
  <conditionalFormatting sqref="R66">
    <cfRule type="cellIs" dxfId="5" priority="6" operator="lessThan">
      <formula>$R$67</formula>
    </cfRule>
  </conditionalFormatting>
  <conditionalFormatting sqref="Q66">
    <cfRule type="cellIs" dxfId="4" priority="5" operator="lessThan">
      <formula>$Q$67</formula>
    </cfRule>
  </conditionalFormatting>
  <conditionalFormatting sqref="T66">
    <cfRule type="cellIs" dxfId="3" priority="4" operator="lessThan">
      <formula>$T$67</formula>
    </cfRule>
  </conditionalFormatting>
  <conditionalFormatting sqref="U66">
    <cfRule type="cellIs" dxfId="2" priority="3" operator="lessThan">
      <formula>$U$67</formula>
    </cfRule>
  </conditionalFormatting>
  <conditionalFormatting sqref="V66">
    <cfRule type="cellIs" dxfId="1" priority="2" operator="lessThan">
      <formula>$V$67</formula>
    </cfRule>
  </conditionalFormatting>
  <conditionalFormatting sqref="X66">
    <cfRule type="cellIs" dxfId="0" priority="1" operator="greaterThan">
      <formula>$X$67</formula>
    </cfRule>
  </conditionalFormatting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L47"/>
  <sheetViews>
    <sheetView workbookViewId="0">
      <selection activeCell="I7" sqref="I7"/>
    </sheetView>
  </sheetViews>
  <sheetFormatPr baseColWidth="10" defaultRowHeight="15" x14ac:dyDescent="0.25"/>
  <cols>
    <col min="3" max="3" width="20.28515625" bestFit="1" customWidth="1"/>
    <col min="5" max="5" width="19.140625" bestFit="1" customWidth="1"/>
  </cols>
  <sheetData>
    <row r="1" spans="1:7" x14ac:dyDescent="0.25">
      <c r="A1" t="s">
        <v>10</v>
      </c>
      <c r="C1" t="s">
        <v>42</v>
      </c>
      <c r="E1" t="s">
        <v>61</v>
      </c>
      <c r="G1" t="s">
        <v>88</v>
      </c>
    </row>
    <row r="2" spans="1:7" x14ac:dyDescent="0.25">
      <c r="A2" t="s">
        <v>11</v>
      </c>
      <c r="C2" t="s">
        <v>43</v>
      </c>
      <c r="E2" t="s">
        <v>62</v>
      </c>
      <c r="G2" t="s">
        <v>87</v>
      </c>
    </row>
    <row r="3" spans="1:7" x14ac:dyDescent="0.25">
      <c r="A3" t="s">
        <v>12</v>
      </c>
      <c r="C3" t="s">
        <v>44</v>
      </c>
      <c r="G3" t="s">
        <v>89</v>
      </c>
    </row>
    <row r="4" spans="1:7" x14ac:dyDescent="0.25">
      <c r="C4" t="s">
        <v>45</v>
      </c>
      <c r="E4" t="s">
        <v>65</v>
      </c>
    </row>
    <row r="5" spans="1:7" x14ac:dyDescent="0.25">
      <c r="E5" t="s">
        <v>66</v>
      </c>
      <c r="G5" t="s">
        <v>91</v>
      </c>
    </row>
    <row r="6" spans="1:7" x14ac:dyDescent="0.25">
      <c r="C6" t="s">
        <v>48</v>
      </c>
      <c r="G6" t="s">
        <v>329</v>
      </c>
    </row>
    <row r="7" spans="1:7" x14ac:dyDescent="0.25">
      <c r="A7" t="s">
        <v>9</v>
      </c>
      <c r="C7" t="s">
        <v>49</v>
      </c>
      <c r="E7" t="s">
        <v>67</v>
      </c>
      <c r="G7" t="s">
        <v>92</v>
      </c>
    </row>
    <row r="8" spans="1:7" x14ac:dyDescent="0.25">
      <c r="A8" t="s">
        <v>8</v>
      </c>
      <c r="C8" t="s">
        <v>50</v>
      </c>
      <c r="E8" t="s">
        <v>68</v>
      </c>
      <c r="G8" t="s">
        <v>93</v>
      </c>
    </row>
    <row r="9" spans="1:7" x14ac:dyDescent="0.25">
      <c r="A9">
        <v>0</v>
      </c>
      <c r="C9" t="s">
        <v>51</v>
      </c>
      <c r="E9" t="s">
        <v>69</v>
      </c>
    </row>
    <row r="10" spans="1:7" x14ac:dyDescent="0.25">
      <c r="A10">
        <v>1</v>
      </c>
      <c r="G10">
        <v>1.2</v>
      </c>
    </row>
    <row r="11" spans="1:7" x14ac:dyDescent="0.25">
      <c r="A11">
        <v>2</v>
      </c>
      <c r="C11" t="s">
        <v>52</v>
      </c>
      <c r="G11">
        <v>1.3</v>
      </c>
    </row>
    <row r="12" spans="1:7" x14ac:dyDescent="0.25">
      <c r="A12">
        <v>3</v>
      </c>
      <c r="C12" t="s">
        <v>53</v>
      </c>
      <c r="E12" t="s">
        <v>42</v>
      </c>
      <c r="G12">
        <v>1.4</v>
      </c>
    </row>
    <row r="13" spans="1:7" x14ac:dyDescent="0.25">
      <c r="A13">
        <v>4</v>
      </c>
      <c r="C13" t="s">
        <v>54</v>
      </c>
      <c r="E13" t="s">
        <v>71</v>
      </c>
      <c r="G13">
        <v>1.5</v>
      </c>
    </row>
    <row r="14" spans="1:7" x14ac:dyDescent="0.25">
      <c r="A14">
        <v>5</v>
      </c>
      <c r="C14" t="s">
        <v>55</v>
      </c>
      <c r="E14" t="s">
        <v>72</v>
      </c>
      <c r="G14">
        <v>1.6</v>
      </c>
    </row>
    <row r="15" spans="1:7" x14ac:dyDescent="0.25">
      <c r="A15">
        <v>6</v>
      </c>
      <c r="C15" t="s">
        <v>56</v>
      </c>
      <c r="G15">
        <v>1.7</v>
      </c>
    </row>
    <row r="16" spans="1:7" x14ac:dyDescent="0.25">
      <c r="A16">
        <v>7</v>
      </c>
      <c r="C16" t="s">
        <v>76</v>
      </c>
      <c r="E16" t="s">
        <v>82</v>
      </c>
      <c r="G16">
        <v>1.8</v>
      </c>
    </row>
    <row r="17" spans="1:12" x14ac:dyDescent="0.25">
      <c r="A17">
        <v>8</v>
      </c>
      <c r="E17" t="s">
        <v>83</v>
      </c>
      <c r="G17">
        <v>1.9</v>
      </c>
    </row>
    <row r="18" spans="1:12" x14ac:dyDescent="0.25">
      <c r="A18">
        <v>9</v>
      </c>
      <c r="C18" t="s">
        <v>63</v>
      </c>
      <c r="E18" t="s">
        <v>84</v>
      </c>
      <c r="G18">
        <v>2</v>
      </c>
    </row>
    <row r="19" spans="1:12" x14ac:dyDescent="0.25">
      <c r="A19">
        <v>10</v>
      </c>
      <c r="C19" t="s">
        <v>64</v>
      </c>
    </row>
    <row r="22" spans="1:12" x14ac:dyDescent="0.25">
      <c r="A22" s="8"/>
      <c r="B22" s="8"/>
      <c r="C22" s="8"/>
      <c r="D22" s="8"/>
      <c r="E22" s="8"/>
      <c r="F22" s="8"/>
      <c r="G22" s="8"/>
      <c r="H22" s="8"/>
      <c r="I22" s="8"/>
      <c r="J22" s="8"/>
      <c r="K22" s="8"/>
      <c r="L22" s="8"/>
    </row>
    <row r="25" spans="1:12" x14ac:dyDescent="0.25">
      <c r="A25" t="s">
        <v>154</v>
      </c>
      <c r="C25" t="s">
        <v>172</v>
      </c>
      <c r="E25" t="s">
        <v>182</v>
      </c>
      <c r="G25" t="s">
        <v>195</v>
      </c>
      <c r="I25" t="s">
        <v>281</v>
      </c>
    </row>
    <row r="26" spans="1:12" x14ac:dyDescent="0.25">
      <c r="A26" t="s">
        <v>155</v>
      </c>
      <c r="C26" t="s">
        <v>174</v>
      </c>
      <c r="E26" t="s">
        <v>183</v>
      </c>
      <c r="G26" t="s">
        <v>196</v>
      </c>
      <c r="I26" t="s">
        <v>282</v>
      </c>
    </row>
    <row r="27" spans="1:12" x14ac:dyDescent="0.25">
      <c r="A27" t="s">
        <v>156</v>
      </c>
      <c r="C27" t="s">
        <v>171</v>
      </c>
      <c r="E27" t="s">
        <v>184</v>
      </c>
      <c r="G27" t="s">
        <v>197</v>
      </c>
    </row>
    <row r="28" spans="1:12" x14ac:dyDescent="0.25">
      <c r="A28" t="s">
        <v>157</v>
      </c>
      <c r="C28" t="s">
        <v>173</v>
      </c>
      <c r="E28" t="s">
        <v>138</v>
      </c>
    </row>
    <row r="29" spans="1:12" x14ac:dyDescent="0.25">
      <c r="A29" t="s">
        <v>158</v>
      </c>
      <c r="C29" t="s">
        <v>164</v>
      </c>
      <c r="I29" t="s">
        <v>292</v>
      </c>
    </row>
    <row r="30" spans="1:12" x14ac:dyDescent="0.25">
      <c r="A30" t="s">
        <v>159</v>
      </c>
      <c r="E30" t="s">
        <v>185</v>
      </c>
      <c r="G30" t="s">
        <v>198</v>
      </c>
      <c r="I30" t="s">
        <v>293</v>
      </c>
    </row>
    <row r="31" spans="1:12" x14ac:dyDescent="0.25">
      <c r="E31" t="s">
        <v>186</v>
      </c>
      <c r="G31" t="s">
        <v>199</v>
      </c>
      <c r="I31" t="s">
        <v>294</v>
      </c>
    </row>
    <row r="32" spans="1:12" x14ac:dyDescent="0.25">
      <c r="C32" t="s">
        <v>175</v>
      </c>
      <c r="E32" t="s">
        <v>187</v>
      </c>
      <c r="G32" t="s">
        <v>200</v>
      </c>
    </row>
    <row r="33" spans="1:7" x14ac:dyDescent="0.25">
      <c r="A33" t="s">
        <v>160</v>
      </c>
      <c r="C33" t="s">
        <v>173</v>
      </c>
      <c r="E33" t="s">
        <v>188</v>
      </c>
      <c r="G33" t="s">
        <v>201</v>
      </c>
    </row>
    <row r="34" spans="1:7" x14ac:dyDescent="0.25">
      <c r="A34" t="s">
        <v>161</v>
      </c>
      <c r="C34" t="s">
        <v>176</v>
      </c>
      <c r="E34" t="s">
        <v>189</v>
      </c>
      <c r="G34" t="s">
        <v>202</v>
      </c>
    </row>
    <row r="35" spans="1:7" x14ac:dyDescent="0.25">
      <c r="A35" t="s">
        <v>162</v>
      </c>
      <c r="G35" t="s">
        <v>203</v>
      </c>
    </row>
    <row r="36" spans="1:7" x14ac:dyDescent="0.25">
      <c r="A36" t="s">
        <v>163</v>
      </c>
      <c r="G36" t="s">
        <v>204</v>
      </c>
    </row>
    <row r="37" spans="1:7" x14ac:dyDescent="0.25">
      <c r="A37" t="s">
        <v>164</v>
      </c>
      <c r="C37" t="s">
        <v>177</v>
      </c>
      <c r="E37" t="s">
        <v>190</v>
      </c>
    </row>
    <row r="38" spans="1:7" x14ac:dyDescent="0.25">
      <c r="C38" t="s">
        <v>173</v>
      </c>
      <c r="E38" t="s">
        <v>191</v>
      </c>
      <c r="G38" t="s">
        <v>276</v>
      </c>
    </row>
    <row r="39" spans="1:7" x14ac:dyDescent="0.25">
      <c r="A39" t="s">
        <v>166</v>
      </c>
      <c r="C39" t="s">
        <v>55</v>
      </c>
      <c r="E39" t="s">
        <v>173</v>
      </c>
      <c r="G39" t="s">
        <v>277</v>
      </c>
    </row>
    <row r="40" spans="1:7" x14ac:dyDescent="0.25">
      <c r="A40" t="s">
        <v>167</v>
      </c>
      <c r="C40" t="s">
        <v>56</v>
      </c>
      <c r="E40" t="s">
        <v>164</v>
      </c>
      <c r="G40" t="s">
        <v>278</v>
      </c>
    </row>
    <row r="41" spans="1:7" x14ac:dyDescent="0.25">
      <c r="A41" t="s">
        <v>138</v>
      </c>
      <c r="C41" t="s">
        <v>164</v>
      </c>
      <c r="G41" t="s">
        <v>138</v>
      </c>
    </row>
    <row r="43" spans="1:7" x14ac:dyDescent="0.25">
      <c r="A43" t="s">
        <v>168</v>
      </c>
      <c r="C43" t="s">
        <v>178</v>
      </c>
      <c r="E43" t="s">
        <v>194</v>
      </c>
      <c r="G43" t="s">
        <v>285</v>
      </c>
    </row>
    <row r="44" spans="1:7" x14ac:dyDescent="0.25">
      <c r="A44" t="s">
        <v>169</v>
      </c>
      <c r="C44" t="s">
        <v>179</v>
      </c>
      <c r="E44" t="s">
        <v>192</v>
      </c>
      <c r="G44" t="s">
        <v>286</v>
      </c>
    </row>
    <row r="45" spans="1:7" x14ac:dyDescent="0.25">
      <c r="A45" t="s">
        <v>170</v>
      </c>
      <c r="C45" t="s">
        <v>245</v>
      </c>
      <c r="E45" t="s">
        <v>291</v>
      </c>
    </row>
    <row r="46" spans="1:7" x14ac:dyDescent="0.25">
      <c r="A46" t="s">
        <v>171</v>
      </c>
      <c r="C46" t="s">
        <v>180</v>
      </c>
      <c r="E46" t="s">
        <v>193</v>
      </c>
    </row>
    <row r="47" spans="1:7" x14ac:dyDescent="0.25">
      <c r="A47" t="s">
        <v>164</v>
      </c>
      <c r="C47" t="s">
        <v>181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12</vt:i4>
      </vt:variant>
    </vt:vector>
  </HeadingPairs>
  <TitlesOfParts>
    <vt:vector size="15" baseType="lpstr">
      <vt:lpstr>Feuil1</vt:lpstr>
      <vt:lpstr>Feuil2</vt:lpstr>
      <vt:lpstr>Feuil3</vt:lpstr>
      <vt:lpstr>Activité</vt:lpstr>
      <vt:lpstr>Date</vt:lpstr>
      <vt:lpstr>Habitudes</vt:lpstr>
      <vt:lpstr>Historique</vt:lpstr>
      <vt:lpstr>IMC</vt:lpstr>
      <vt:lpstr>Naissance</vt:lpstr>
      <vt:lpstr>Nom</vt:lpstr>
      <vt:lpstr>Objectifs</vt:lpstr>
      <vt:lpstr>Poids_actuel</vt:lpstr>
      <vt:lpstr>Prénom</vt:lpstr>
      <vt:lpstr>Repas</vt:lpstr>
      <vt:lpstr>Taille</vt:lpstr>
    </vt:vector>
  </TitlesOfParts>
  <Company>APHP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 BRITO Julie</dc:creator>
  <cp:lastModifiedBy>DE BRITO Julie</cp:lastModifiedBy>
  <cp:lastPrinted>2017-12-12T13:34:46Z</cp:lastPrinted>
  <dcterms:created xsi:type="dcterms:W3CDTF">2017-12-11T09:06:33Z</dcterms:created>
  <dcterms:modified xsi:type="dcterms:W3CDTF">2018-03-30T10:38:17Z</dcterms:modified>
</cp:coreProperties>
</file>