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6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daniel/Dropbox/A Einomi Consulting/Customers/T&amp;T Finance/"/>
    </mc:Choice>
  </mc:AlternateContent>
  <xr:revisionPtr revIDLastSave="0" documentId="13_ncr:1_{5820EC7F-0CD2-8845-BDBF-401F9BB83157}" xr6:coauthVersionLast="47" xr6:coauthVersionMax="47" xr10:uidLastSave="{00000000-0000-0000-0000-000000000000}"/>
  <bookViews>
    <workbookView xWindow="0" yWindow="500" windowWidth="28800" windowHeight="17500" activeTab="3" xr2:uid="{5A5BCD8E-03A8-8D46-BDC6-5CDE07F1BE0E}"/>
  </bookViews>
  <sheets>
    <sheet name="Investisseurs" sheetId="1" r:id="rId1"/>
    <sheet name="Emprunteurs" sheetId="2" r:id="rId2"/>
    <sheet name="Biens" sheetId="3" r:id="rId3"/>
    <sheet name="Résultat" sheetId="6" r:id="rId4"/>
    <sheet name="Paiements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4" i="3" l="1"/>
  <c r="O5" i="3"/>
  <c r="O6" i="3"/>
  <c r="O7" i="3"/>
  <c r="O8" i="3"/>
  <c r="O9" i="3"/>
  <c r="O10" i="3"/>
  <c r="O11" i="3"/>
  <c r="O12" i="3"/>
  <c r="O13" i="3"/>
  <c r="O14" i="3"/>
  <c r="O15" i="3"/>
  <c r="H4" i="3"/>
  <c r="H5" i="3"/>
  <c r="H6" i="3"/>
  <c r="H7" i="3"/>
  <c r="H8" i="3"/>
  <c r="H9" i="3"/>
  <c r="H10" i="3"/>
  <c r="H11" i="3"/>
  <c r="H12" i="3"/>
  <c r="H13" i="3"/>
  <c r="H14" i="3"/>
  <c r="H15" i="3"/>
  <c r="D21" i="5"/>
  <c r="C11" i="5"/>
  <c r="E11" i="5" s="1"/>
  <c r="C12" i="5"/>
  <c r="E12" i="5" s="1"/>
  <c r="C13" i="5"/>
  <c r="E13" i="5" s="1"/>
  <c r="C14" i="5"/>
  <c r="E14" i="5" s="1"/>
  <c r="C15" i="5"/>
  <c r="E15" i="5" s="1"/>
  <c r="C16" i="5"/>
  <c r="E16" i="5" s="1"/>
  <c r="C17" i="5"/>
  <c r="E17" i="5" s="1"/>
  <c r="C18" i="5"/>
  <c r="E18" i="5" s="1"/>
  <c r="C19" i="5"/>
  <c r="E19" i="5" s="1"/>
  <c r="C20" i="5"/>
  <c r="E20" i="5" s="1"/>
  <c r="Q5" i="3"/>
  <c r="Q6" i="3"/>
  <c r="Q7" i="3"/>
  <c r="Q8" i="3"/>
  <c r="Q9" i="3"/>
  <c r="Q10" i="3"/>
  <c r="Q11" i="3"/>
  <c r="Q12" i="3"/>
  <c r="Q13" i="3"/>
  <c r="Q14" i="3"/>
  <c r="Q15" i="3"/>
  <c r="Q4" i="3"/>
  <c r="L9" i="3" l="1"/>
  <c r="I9" i="3" s="1"/>
  <c r="L12" i="3"/>
  <c r="I12" i="3" s="1"/>
  <c r="L8" i="3"/>
  <c r="I8" i="3" s="1"/>
  <c r="L4" i="3"/>
  <c r="I4" i="3" s="1"/>
  <c r="E4" i="1"/>
  <c r="E5" i="1"/>
  <c r="E6" i="1"/>
  <c r="L14" i="3"/>
  <c r="L10" i="3"/>
  <c r="I10" i="3" s="1"/>
  <c r="L6" i="3"/>
  <c r="M6" i="3" s="1"/>
  <c r="E9" i="1"/>
  <c r="L13" i="3"/>
  <c r="I13" i="3" s="1"/>
  <c r="L5" i="3"/>
  <c r="E7" i="1"/>
  <c r="E8" i="1"/>
  <c r="L15" i="3"/>
  <c r="L11" i="3"/>
  <c r="I11" i="3" s="1"/>
  <c r="L7" i="3"/>
  <c r="E12" i="1"/>
  <c r="E11" i="1"/>
  <c r="E16" i="1"/>
  <c r="E13" i="1"/>
  <c r="E14" i="1"/>
  <c r="E10" i="1"/>
  <c r="E15" i="1"/>
  <c r="I6" i="3"/>
  <c r="R6" i="3" l="1"/>
  <c r="F8" i="5" s="1"/>
  <c r="R5" i="3"/>
  <c r="C7" i="5"/>
  <c r="E7" i="5" s="1"/>
  <c r="M5" i="3"/>
  <c r="C5" i="5"/>
  <c r="E5" i="5" s="1"/>
  <c r="R14" i="3"/>
  <c r="M14" i="3"/>
  <c r="I5" i="3"/>
  <c r="C10" i="5"/>
  <c r="E10" i="5" s="1"/>
  <c r="M4" i="3"/>
  <c r="C4" i="5"/>
  <c r="C9" i="5"/>
  <c r="E9" i="5" s="1"/>
  <c r="R4" i="3"/>
  <c r="M12" i="3"/>
  <c r="R12" i="3"/>
  <c r="F6" i="5"/>
  <c r="R7" i="3"/>
  <c r="M7" i="3"/>
  <c r="R11" i="3"/>
  <c r="M11" i="3"/>
  <c r="M13" i="3"/>
  <c r="R13" i="3"/>
  <c r="R10" i="3"/>
  <c r="M10" i="3"/>
  <c r="R15" i="3"/>
  <c r="M15" i="3"/>
  <c r="C6" i="5"/>
  <c r="E6" i="5" s="1"/>
  <c r="C8" i="5"/>
  <c r="E8" i="5" s="1"/>
  <c r="I7" i="3"/>
  <c r="I15" i="3"/>
  <c r="I14" i="3"/>
  <c r="M8" i="3"/>
  <c r="R8" i="3"/>
  <c r="M9" i="3"/>
  <c r="R9" i="3"/>
  <c r="E4" i="5" l="1"/>
  <c r="E21" i="5" s="1"/>
  <c r="C21" i="5"/>
  <c r="F14" i="5"/>
  <c r="F18" i="5"/>
  <c r="F11" i="5"/>
  <c r="F15" i="5"/>
  <c r="F19" i="5"/>
  <c r="F12" i="5"/>
  <c r="F16" i="5"/>
  <c r="F20" i="5"/>
  <c r="F13" i="5"/>
  <c r="F17" i="5"/>
  <c r="F10" i="5"/>
  <c r="F4" i="5"/>
  <c r="F9" i="5"/>
  <c r="F7" i="5"/>
  <c r="F5" i="5"/>
</calcChain>
</file>

<file path=xl/sharedStrings.xml><?xml version="1.0" encoding="utf-8"?>
<sst xmlns="http://schemas.openxmlformats.org/spreadsheetml/2006/main" count="91" uniqueCount="58">
  <si>
    <t>Deal</t>
  </si>
  <si>
    <t>Jessica Fox</t>
  </si>
  <si>
    <t>John Kollman</t>
  </si>
  <si>
    <t>Julia Tranmer</t>
  </si>
  <si>
    <t>Louis Hardison</t>
  </si>
  <si>
    <t>Martin Spacks</t>
  </si>
  <si>
    <t>Michelle Slone</t>
  </si>
  <si>
    <t>jfox@mail.com</t>
  </si>
  <si>
    <t>jkollman@mail.com</t>
  </si>
  <si>
    <t>jtranmer@mail.com</t>
  </si>
  <si>
    <t>lhardison@mail.com</t>
  </si>
  <si>
    <t>mspacks@mail.com</t>
  </si>
  <si>
    <t>mslone@mail.com</t>
  </si>
  <si>
    <t>TUY1</t>
  </si>
  <si>
    <t>JK2</t>
  </si>
  <si>
    <t>LP3</t>
  </si>
  <si>
    <t>ID</t>
  </si>
  <si>
    <t>TT1</t>
  </si>
  <si>
    <t>TT2</t>
  </si>
  <si>
    <t>TT3</t>
  </si>
  <si>
    <t>TT4</t>
  </si>
  <si>
    <t>TT5</t>
  </si>
  <si>
    <t>TT6</t>
  </si>
  <si>
    <t>Amount</t>
  </si>
  <si>
    <t>LTV</t>
  </si>
  <si>
    <t>LTP</t>
  </si>
  <si>
    <t>Daily
Payment</t>
  </si>
  <si>
    <t>Monthly
Payment</t>
  </si>
  <si>
    <t>Date</t>
  </si>
  <si>
    <t>Colonne6</t>
  </si>
  <si>
    <t>Payment</t>
  </si>
  <si>
    <t>Balance</t>
  </si>
  <si>
    <t>Total</t>
  </si>
  <si>
    <t>Emprunteur</t>
  </si>
  <si>
    <t>Nom</t>
  </si>
  <si>
    <t>Adresse</t>
  </si>
  <si>
    <t>E-mail</t>
  </si>
  <si>
    <t>Téléphone</t>
  </si>
  <si>
    <t>Affaire</t>
  </si>
  <si>
    <t>%</t>
  </si>
  <si>
    <t>Montant</t>
  </si>
  <si>
    <t>Adresse E-Mail</t>
  </si>
  <si>
    <t>Valeur</t>
  </si>
  <si>
    <t>Prix d'achat</t>
  </si>
  <si>
    <t>Intérêts
Mensuels</t>
  </si>
  <si>
    <t>Frais de dossier</t>
  </si>
  <si>
    <t>Montant Brut</t>
  </si>
  <si>
    <t>Montant Net</t>
  </si>
  <si>
    <t>23 Avenue de la République</t>
  </si>
  <si>
    <t>12 rue Jean Jaurès</t>
  </si>
  <si>
    <t>145 Boulevard de Clichy</t>
  </si>
  <si>
    <t>Date du transfert des fonds</t>
  </si>
  <si>
    <t>Date de fin du prêt</t>
  </si>
  <si>
    <t>Durée
du prêt (m)</t>
  </si>
  <si>
    <t>Durée
du prêt (j)</t>
  </si>
  <si>
    <t>Intérêts Total</t>
  </si>
  <si>
    <t>Retenu</t>
  </si>
  <si>
    <t>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</si>
</sst>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6" formatCode="&quot;£&quot;#,##0.00"/>
    <numFmt numFmtId="167" formatCode="[$£-809]#,##0;\-[$£-809]#,##0"/>
    <numFmt numFmtId="168" formatCode="[$£-809]#,##0.00;\-[$£-809]#,##0.00"/>
    <numFmt numFmtId="169" formatCode="0.00000"/>
    <numFmt numFmtId="171" formatCode="dd/mm/yyyy;@"/>
    <numFmt numFmtId="172" formatCode="#,##0.00\ &quot;€&quot;"/>
    <numFmt numFmtId="174" formatCode="#,##0\ &quot;€&quot;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9" fontId="0" fillId="0" borderId="0" xfId="1" applyFont="1" applyAlignment="1">
      <alignment horizontal="center" vertical="center"/>
    </xf>
    <xf numFmtId="0" fontId="0" fillId="0" borderId="0" xfId="0" applyAlignment="1">
      <alignment horizontal="left"/>
    </xf>
    <xf numFmtId="166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3" fillId="0" borderId="0" xfId="0" applyNumberFormat="1" applyFont="1" applyAlignment="1">
      <alignment horizontal="center" vertical="center" wrapText="1"/>
    </xf>
    <xf numFmtId="168" fontId="0" fillId="0" borderId="0" xfId="0" applyNumberFormat="1"/>
    <xf numFmtId="167" fontId="0" fillId="0" borderId="0" xfId="0" applyNumberFormat="1"/>
    <xf numFmtId="9" fontId="0" fillId="3" borderId="0" xfId="1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10" fontId="0" fillId="3" borderId="0" xfId="1" applyNumberFormat="1" applyFont="1" applyFill="1" applyAlignment="1">
      <alignment vertical="center"/>
    </xf>
    <xf numFmtId="1" fontId="0" fillId="3" borderId="0" xfId="0" applyNumberFormat="1" applyFill="1" applyAlignment="1">
      <alignment horizontal="center" vertical="center"/>
    </xf>
    <xf numFmtId="14" fontId="0" fillId="2" borderId="0" xfId="0" applyNumberFormat="1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0" fillId="2" borderId="0" xfId="0" applyFill="1" applyAlignment="1">
      <alignment vertical="center"/>
    </xf>
    <xf numFmtId="169" fontId="0" fillId="0" borderId="0" xfId="0" applyNumberFormat="1"/>
    <xf numFmtId="14" fontId="0" fillId="0" borderId="0" xfId="0" applyNumberFormat="1" applyAlignment="1">
      <alignment horizontal="center"/>
    </xf>
    <xf numFmtId="174" fontId="0" fillId="0" borderId="0" xfId="1" applyNumberFormat="1" applyFont="1" applyAlignment="1">
      <alignment horizontal="center" vertical="center"/>
    </xf>
    <xf numFmtId="174" fontId="0" fillId="3" borderId="0" xfId="0" applyNumberFormat="1" applyFill="1" applyAlignment="1">
      <alignment vertical="center"/>
    </xf>
    <xf numFmtId="172" fontId="0" fillId="2" borderId="0" xfId="0" applyNumberFormat="1" applyFill="1" applyAlignment="1">
      <alignment vertical="center"/>
    </xf>
    <xf numFmtId="174" fontId="0" fillId="2" borderId="0" xfId="0" applyNumberFormat="1" applyFill="1" applyAlignment="1">
      <alignment vertical="center"/>
    </xf>
    <xf numFmtId="1" fontId="0" fillId="0" borderId="0" xfId="0" applyNumberFormat="1" applyAlignment="1">
      <alignment horizontal="center" vertical="center" wrapText="1"/>
    </xf>
    <xf numFmtId="171" fontId="0" fillId="0" borderId="0" xfId="0" applyNumberFormat="1"/>
    <xf numFmtId="172" fontId="0" fillId="0" borderId="0" xfId="0" applyNumberFormat="1"/>
    <xf numFmtId="172" fontId="0" fillId="2" borderId="0" xfId="0" applyNumberFormat="1" applyFill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0" fontId="4" fillId="0" borderId="0" xfId="0" applyFont="1" applyAlignment="1">
      <alignment wrapText="1"/>
    </xf>
    <xf numFmtId="14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 vertical="center"/>
    </xf>
    <xf numFmtId="172" fontId="0" fillId="4" borderId="0" xfId="0" applyNumberFormat="1" applyFill="1" applyAlignment="1">
      <alignment horizontal="center" vertical="center"/>
    </xf>
    <xf numFmtId="172" fontId="0" fillId="4" borderId="0" xfId="0" applyNumberFormat="1" applyFill="1"/>
  </cellXfs>
  <cellStyles count="2">
    <cellStyle name="Normal" xfId="0" builtinId="0"/>
    <cellStyle name="Pourcentage" xfId="1" builtinId="5"/>
  </cellStyles>
  <dxfs count="38">
    <dxf>
      <numFmt numFmtId="172" formatCode="#,##0.00\ &quot;€&quot;"/>
    </dxf>
    <dxf>
      <numFmt numFmtId="172" formatCode="#,##0.00\ &quot;€&quot;"/>
      <alignment horizontal="center" vertical="center" textRotation="0" wrapText="0" indent="0" justifyLastLine="0" shrinkToFit="0" readingOrder="0"/>
    </dxf>
    <dxf>
      <numFmt numFmtId="172" formatCode="#,##0.00\ &quot;€&quot;"/>
      <alignment horizontal="center" vertical="center" textRotation="0" wrapText="0" indent="0" justifyLastLine="0" shrinkToFit="0" readingOrder="0"/>
    </dxf>
    <dxf>
      <numFmt numFmtId="172" formatCode="#,##0.00\ &quot;€&quot;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numFmt numFmtId="172" formatCode="#,##0.00\ &quot;€&quot;"/>
    </dxf>
    <dxf>
      <numFmt numFmtId="172" formatCode="#,##0.00\ &quot;€&quot;"/>
      <alignment horizontal="center" vertical="center" textRotation="0" wrapText="0" indent="0" justifyLastLine="0" shrinkToFit="0" readingOrder="0"/>
    </dxf>
    <dxf>
      <numFmt numFmtId="172" formatCode="#,##0.00\ &quot;€&quot;"/>
      <alignment horizontal="center" vertical="center" textRotation="0" wrapText="0" indent="0" justifyLastLine="0" shrinkToFit="0" readingOrder="0"/>
    </dxf>
    <dxf>
      <numFmt numFmtId="172" formatCode="#,##0.00\ &quot;€&quot;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numFmt numFmtId="174" formatCode="#,##0\ &quot;€&quot;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172" formatCode="#,##0.00\ &quot;€&quot;"/>
      <alignment horizontal="general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172" formatCode="#,##0.00\ &quot;€&quot;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174" formatCode="#,##0\ &quot;€&quot;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numFmt numFmtId="174" formatCode="#,##0\ &quot;€&quot;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4" formatCode="#,##0\ &quot;€&quot;"/>
      <alignment horizontal="center" vertical="center" textRotation="0" wrapText="0" indent="0" justifyLastLine="0" shrinkToFit="0" readingOrder="0"/>
    </dxf>
    <dxf>
      <numFmt numFmtId="165" formatCode="[$£-809]#,##0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6" formatCode="&quot;£&quot;#,##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901700</xdr:colOff>
      <xdr:row>1</xdr:row>
      <xdr:rowOff>190500</xdr:rowOff>
    </xdr:from>
    <xdr:to>
      <xdr:col>7</xdr:col>
      <xdr:colOff>520700</xdr:colOff>
      <xdr:row>17</xdr:row>
      <xdr:rowOff>12700</xdr:rowOff>
    </xdr:to>
    <xdr:sp macro="" textlink="">
      <xdr:nvSpPr>
        <xdr:cNvPr id="4097" name="Text Box 1">
          <a:extLst>
            <a:ext uri="{FF2B5EF4-FFF2-40B4-BE49-F238E27FC236}">
              <a16:creationId xmlns:a16="http://schemas.microsoft.com/office/drawing/2014/main" id="{5ED0A7E0-CF6A-FD43-A72E-BD10365C0ED8}"/>
            </a:ext>
          </a:extLst>
        </xdr:cNvPr>
        <xdr:cNvSpPr txBox="1">
          <a:spLocks noChangeArrowheads="1"/>
        </xdr:cNvSpPr>
      </xdr:nvSpPr>
      <xdr:spPr bwMode="auto">
        <a:xfrm>
          <a:off x="5854700" y="393700"/>
          <a:ext cx="4381500" cy="30734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2000" b="0" i="0" u="none" strike="noStrike" baseline="0">
              <a:solidFill>
                <a:srgbClr val="000000"/>
              </a:solidFill>
              <a:latin typeface="Calibri" pitchFamily="2" charset="0"/>
              <a:cs typeface="Calibri" pitchFamily="2" charset="0"/>
            </a:rPr>
            <a:t>Je souhaiterais que ce tableau soit généré automatiquement et que les biens dont il ne reste plus rien à payer, n'y apparaissent plus</a:t>
          </a:r>
        </a:p>
        <a:p>
          <a:pPr algn="l" rtl="0">
            <a:defRPr sz="1000"/>
          </a:pPr>
          <a:r>
            <a:rPr lang="fr-FR" sz="2000" b="0" i="0" u="none" strike="noStrike" baseline="0">
              <a:solidFill>
                <a:srgbClr val="000000"/>
              </a:solidFill>
              <a:latin typeface="Calibri" pitchFamily="2" charset="0"/>
              <a:cs typeface="Calibri" pitchFamily="2" charset="0"/>
            </a:rPr>
            <a:t>et pourquoi pas avec une colonne vide dans laquelle je pourrais mettre d'autres informations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184469</xdr:colOff>
      <xdr:row>2</xdr:row>
      <xdr:rowOff>148994</xdr:rowOff>
    </xdr:from>
    <xdr:to>
      <xdr:col>10</xdr:col>
      <xdr:colOff>78045</xdr:colOff>
      <xdr:row>14</xdr:row>
      <xdr:rowOff>56758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5B26F81-9A96-FC47-8173-6C47B50ACA22}"/>
            </a:ext>
          </a:extLst>
        </xdr:cNvPr>
        <xdr:cNvSpPr txBox="1"/>
      </xdr:nvSpPr>
      <xdr:spPr>
        <a:xfrm>
          <a:off x="6293240" y="560502"/>
          <a:ext cx="2362626" cy="23768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ne suis pas certain</a:t>
          </a:r>
          <a:r>
            <a:rPr lang="fr-FR" sz="1100" baseline="0"/>
            <a:t> la formule que je devrais utilisé en Colonne6 pour que la balance finale soit correcte.</a:t>
          </a:r>
        </a:p>
        <a:p>
          <a:r>
            <a:rPr lang="fr-FR" sz="1100" baseline="0"/>
            <a:t>Exemple : les intérêts pour l'affaire TUY1 sont de 48 375€</a:t>
          </a:r>
        </a:p>
        <a:p>
          <a:r>
            <a:rPr lang="fr-FR" sz="1100" baseline="0"/>
            <a:t>le 18/02 on a un paiement de 5000€ ce qui réduit la balance à 43 375€</a:t>
          </a:r>
        </a:p>
        <a:p>
          <a:r>
            <a:rPr lang="fr-FR" sz="1100" baseline="0"/>
            <a:t>mais pour les deux autres paiements ma Colonne6 est inexacte, je devrais avoir pour le 18/3 une balance de 33 375€</a:t>
          </a:r>
        </a:p>
        <a:p>
          <a:r>
            <a:rPr lang="fr-FR" sz="1100" baseline="0"/>
            <a:t>et le 25/04 une balance de 0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6DBE57-80A7-614A-8F86-54380358DDA4}" name="T_Investors" displayName="T_Investors" ref="A3:F16" totalsRowShown="0" headerRowDxfId="37">
  <autoFilter ref="A3:F16" xr:uid="{D26DBE57-80A7-614A-8F86-54380358DDA4}"/>
  <tableColumns count="6">
    <tableColumn id="9" xr3:uid="{69A7AEB8-3CA9-904D-BCA5-849395CE37F4}" name="ID" dataDxfId="36"/>
    <tableColumn id="1" xr3:uid="{209AD38D-9790-6745-BE0B-D84A6082C72F}" name="Nom"/>
    <tableColumn id="4" xr3:uid="{C4C160C7-4E86-6942-B25F-7A2BA2D16797}" name="Affaire" dataDxfId="35"/>
    <tableColumn id="5" xr3:uid="{B9F14C43-7E4E-A34B-A24C-97523E815827}" name="%" dataDxfId="23" dataCellStyle="Pourcentage"/>
    <tableColumn id="10" xr3:uid="{9ABBB31A-1027-104E-BB7D-EA6A61FB38CD}" name="Montant" dataDxfId="21" dataCellStyle="Pourcentage">
      <calculatedColumnFormula>IFERROR((_xlfn.XLOOKUP(T_Investors[[#This Row],[Affaire]],T_Deals[ID],T_Deals[Montant Brut])*T_Investors[[#This Row],[%]]),"")</calculatedColumnFormula>
    </tableColumn>
    <tableColumn id="2" xr3:uid="{7E32B7BC-DAD6-C841-9571-04B429EF4B15}" name="Adresse E-Mail" dataDxfId="22" dataCellStyle="Pourcent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EEC886-8F46-E840-B29C-5AFAD7278AFE}" name="T_Borrowers" displayName="T_Borrowers" ref="A3:E16" totalsRowShown="0" headerRowDxfId="26">
  <autoFilter ref="A3:E16" xr:uid="{D26DBE57-80A7-614A-8F86-54380358DDA4}"/>
  <tableColumns count="5">
    <tableColumn id="1" xr3:uid="{631D2B8D-6853-5F46-8498-E7F1A3E72B99}" name="Emprunteur"/>
    <tableColumn id="2" xr3:uid="{F12BA0B7-74A6-B048-9040-0735F7B6EBCD}" name="Nom"/>
    <tableColumn id="3" xr3:uid="{C43539D6-A73D-B044-BDE8-8DD6F12AD40E}" name="Adresse"/>
    <tableColumn id="4" xr3:uid="{4036D8F2-D19E-544B-9888-CAECD2B09649}" name="E-mail"/>
    <tableColumn id="5" xr3:uid="{89D7519E-B6F3-9448-BA1D-86EBE656B89B}" name="Téléphone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34BED71-5E72-CC48-AF09-5E580F37FFF6}" name="T_Deals" displayName="T_Deals" ref="A3:R15" totalsRowShown="0" headerRowDxfId="34" dataDxfId="33">
  <autoFilter ref="A3:R15" xr:uid="{A34BED71-5E72-CC48-AF09-5E580F37FFF6}"/>
  <tableColumns count="18">
    <tableColumn id="29" xr3:uid="{65D3CC9D-117C-5546-A555-D67512B0C67F}" name="ID" dataDxfId="32"/>
    <tableColumn id="1" xr3:uid="{1460DB28-A027-9644-927A-6F10BBB55183}" name="Adresse" dataDxfId="31"/>
    <tableColumn id="6" xr3:uid="{97F50CDF-8C5B-3C4C-B964-BDFB3B2A334F}" name="Valeur" dataDxfId="30"/>
    <tableColumn id="7" xr3:uid="{607F04BA-3A8A-C141-8FA5-A24C1CB1AF26}" name="Prix d'achat" dataDxfId="29"/>
    <tableColumn id="13" xr3:uid="{02621E5F-F6A5-6D45-99AB-A9C15DF79B42}" name="Intérêts_x000a_Mensuels" dataDxfId="28"/>
    <tableColumn id="15" xr3:uid="{AE32F7B8-DA12-F34E-809C-63158BA7112B}" name="Frais de dossier" dataDxfId="27"/>
    <tableColumn id="31" xr3:uid="{6918C55C-ABBE-334C-96D2-88FE7F73AB2E}" name="Retenu" dataDxfId="20"/>
    <tableColumn id="17" xr3:uid="{5B676AFD-A4EF-2648-BE28-72544AF75615}" name="Montant Brut" dataDxfId="17">
      <calculatedColumnFormula>IFERROR(MIN((T_Deals[[#This Row],[LTV]]*T_Deals[[#This Row],[Valeur]]),(T_Deals[[#This Row],[LTP]]*T_Deals[[#This Row],[Prix d''achat]])),"")</calculatedColumnFormula>
    </tableColumn>
    <tableColumn id="18" xr3:uid="{2DD994D5-2F2F-F642-B2E7-38BC247B0B66}" name="Montant Net" dataDxfId="18">
      <calculatedColumnFormula>(T_Deals[[#This Row],[Montant Brut]]-(T_Deals[[#This Row],[Retenu]]*T_Deals[[#This Row],[Monthly
Payment]])-T_Deals[[#This Row],[Frais de dossier]])</calculatedColumnFormula>
    </tableColumn>
    <tableColumn id="19" xr3:uid="{5752621D-06FF-BD4C-A32F-C684C3DA0789}" name="LTV" dataDxfId="19"/>
    <tableColumn id="30" xr3:uid="{6B9A0E86-6424-BE43-ABC3-1C848C3E248C}" name="LTP" dataDxfId="16"/>
    <tableColumn id="20" xr3:uid="{E9098C55-21E7-3E4D-823C-465E93E7D11F}" name="Monthly_x000a_Payment" dataDxfId="15">
      <calculatedColumnFormula>T_Deals[[#This Row],[Montant Brut]]*T_Deals[[#This Row],[Intérêts
Mensuels]]</calculatedColumnFormula>
    </tableColumn>
    <tableColumn id="21" xr3:uid="{84E0147B-0E04-EA43-83B6-D5BD57255028}" name="Daily_x000a_Payment" dataDxfId="13">
      <calculatedColumnFormula>(T_Deals[[#This Row],[Monthly
Payment]]*12)/365</calculatedColumnFormula>
    </tableColumn>
    <tableColumn id="22" xr3:uid="{02CA64EC-4202-6F49-9EE7-03564785CC99}" name="Date du transfert des fonds" dataDxfId="14"/>
    <tableColumn id="23" xr3:uid="{31707043-058F-364B-B7D9-E5EA1FA8BB60}" name="Date de fin du prêt" dataDxfId="9">
      <calculatedColumnFormula>EDATE(T_Deals[[#This Row],[Date du transfert des fonds]],T_Deals[[#This Row],[Durée
du prêt (m)]])</calculatedColumnFormula>
    </tableColumn>
    <tableColumn id="28" xr3:uid="{673C8D83-4EF5-7440-9BBF-0E49D987DA89}" name="Durée_x000a_du prêt (m)" dataDxfId="12"/>
    <tableColumn id="24" xr3:uid="{A5CB8BCA-4355-0E44-A644-50BA5C3C213B}" name="Durée_x000a_du prêt (j)" dataDxfId="11">
      <calculatedColumnFormula>T_Deals[[#This Row],[Date de fin du prêt]]-T_Deals[[#This Row],[Date du transfert des fonds]]</calculatedColumnFormula>
    </tableColumn>
    <tableColumn id="25" xr3:uid="{46F61ED9-4880-DE43-8268-ED16C8DFCC75}" name="Intérêts Total" dataDxfId="10">
      <calculatedColumnFormula>T_Deals[[#This Row],[Monthly
Payment]]*T_Deals[[#This Row],[Durée
du prêt (m)]]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7B31700-BF7C-0F4E-9DC4-2883D04E3E64}" name="T_Payments" displayName="T_Payments" ref="A3:F21" totalsRowCount="1" headerRowDxfId="25">
  <autoFilter ref="A3:F20" xr:uid="{D7B31700-BF7C-0F4E-9DC4-2883D04E3E64}"/>
  <tableColumns count="6">
    <tableColumn id="1" xr3:uid="{74716E71-C495-B544-9AF1-5761BC598B4E}" name="Date" totalsRowLabel="Total" dataDxfId="24"/>
    <tableColumn id="2" xr3:uid="{2B8FFE4F-6608-314A-BF7C-BEF85AE0526D}" name="Deal" dataDxfId="8"/>
    <tableColumn id="3" xr3:uid="{9475B7BA-0407-8B4E-BB51-96F6F5BDC49A}" name="Amount" totalsRowFunction="sum" dataDxfId="7" totalsRowDxfId="3">
      <calculatedColumnFormula>IFERROR(INDEX(T_Deals[Monthly
Payment],MATCH(T_Payments[[#This Row],[Deal]],T_Deals[ID],0)),"")</calculatedColumnFormula>
    </tableColumn>
    <tableColumn id="4" xr3:uid="{F71ABB57-2B4B-8648-B372-D38141B0992C}" name="Payment" totalsRowFunction="sum" dataDxfId="6" totalsRowDxfId="2"/>
    <tableColumn id="5" xr3:uid="{076EE4E4-5B6A-CB4E-8104-79046C84A081}" name="Balance" totalsRowFunction="sum" dataDxfId="5" totalsRowDxfId="1">
      <calculatedColumnFormula>IFERROR(T_Payments[[#This Row],[Amount]]-T_Payments[[#This Row],[Payment]],"")</calculatedColumnFormula>
    </tableColumn>
    <tableColumn id="6" xr3:uid="{75CB2A96-27E3-5946-8C74-907C9534E2D6}" name="Colonne6" dataDxfId="4" totalsRowDxfId="0">
      <calculatedColumnFormula>IFERROR((_xlfn.XLOOKUP(T_Payments[[#This Row],[Deal]],T_Deals[ID],T_Deals[Intérêts Total])-T_Payments[[#This Row],[Payment]]),"")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ED231D-74A5-1344-8177-4FE9BD74A289}">
  <dimension ref="A3:F16"/>
  <sheetViews>
    <sheetView zoomScale="173" workbookViewId="0">
      <selection activeCell="E10" sqref="E10:E12"/>
    </sheetView>
  </sheetViews>
  <sheetFormatPr baseColWidth="10" defaultRowHeight="16" x14ac:dyDescent="0.2"/>
  <cols>
    <col min="1" max="1" width="7" customWidth="1"/>
    <col min="2" max="2" width="20.83203125" customWidth="1"/>
    <col min="5" max="5" width="18.1640625" customWidth="1"/>
    <col min="6" max="6" width="19.83203125" customWidth="1"/>
    <col min="7" max="7" width="16.1640625" customWidth="1"/>
    <col min="8" max="8" width="17.1640625" customWidth="1"/>
  </cols>
  <sheetData>
    <row r="3" spans="1:6" x14ac:dyDescent="0.2">
      <c r="A3" s="1" t="s">
        <v>16</v>
      </c>
      <c r="B3" s="1" t="s">
        <v>34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">
      <c r="A4" s="1" t="s">
        <v>17</v>
      </c>
      <c r="B4" t="s">
        <v>1</v>
      </c>
      <c r="C4" s="1" t="s">
        <v>13</v>
      </c>
      <c r="D4" s="3">
        <v>0.35</v>
      </c>
      <c r="E4" s="24">
        <f>IFERROR((_xlfn.XLOOKUP(T_Investors[[#This Row],[Affaire]],T_Deals[ID],T_Deals[Montant Brut])*T_Investors[[#This Row],[%]]),"")</f>
        <v>282187.5</v>
      </c>
      <c r="F4" s="4" t="s">
        <v>7</v>
      </c>
    </row>
    <row r="5" spans="1:6" x14ac:dyDescent="0.2">
      <c r="A5" s="1" t="s">
        <v>18</v>
      </c>
      <c r="B5" t="s">
        <v>2</v>
      </c>
      <c r="C5" s="1" t="s">
        <v>13</v>
      </c>
      <c r="D5" s="3">
        <v>0.35</v>
      </c>
      <c r="E5" s="24">
        <f>IFERROR((_xlfn.XLOOKUP(T_Investors[[#This Row],[Affaire]],T_Deals[ID],T_Deals[Montant Brut])*T_Investors[[#This Row],[%]]),"")</f>
        <v>282187.5</v>
      </c>
      <c r="F5" s="4" t="s">
        <v>8</v>
      </c>
    </row>
    <row r="6" spans="1:6" x14ac:dyDescent="0.2">
      <c r="A6" s="1" t="s">
        <v>19</v>
      </c>
      <c r="B6" t="s">
        <v>3</v>
      </c>
      <c r="C6" s="1" t="s">
        <v>13</v>
      </c>
      <c r="D6" s="3">
        <v>0.3</v>
      </c>
      <c r="E6" s="24">
        <f>IFERROR((_xlfn.XLOOKUP(T_Investors[[#This Row],[Affaire]],T_Deals[ID],T_Deals[Montant Brut])*T_Investors[[#This Row],[%]]),"")</f>
        <v>241875</v>
      </c>
      <c r="F6" s="4" t="s">
        <v>9</v>
      </c>
    </row>
    <row r="7" spans="1:6" x14ac:dyDescent="0.2">
      <c r="A7" s="1" t="s">
        <v>20</v>
      </c>
      <c r="B7" t="s">
        <v>4</v>
      </c>
      <c r="C7" s="1" t="s">
        <v>14</v>
      </c>
      <c r="D7" s="3">
        <v>0.5</v>
      </c>
      <c r="E7" s="24">
        <f>IFERROR((_xlfn.XLOOKUP(T_Investors[[#This Row],[Affaire]],T_Deals[ID],T_Deals[Montant Brut])*T_Investors[[#This Row],[%]]),"")</f>
        <v>56000</v>
      </c>
      <c r="F7" s="4" t="s">
        <v>10</v>
      </c>
    </row>
    <row r="8" spans="1:6" x14ac:dyDescent="0.2">
      <c r="A8" s="1" t="s">
        <v>21</v>
      </c>
      <c r="B8" t="s">
        <v>5</v>
      </c>
      <c r="C8" s="1" t="s">
        <v>14</v>
      </c>
      <c r="D8" s="3">
        <v>0.5</v>
      </c>
      <c r="E8" s="24">
        <f>IFERROR((_xlfn.XLOOKUP(T_Investors[[#This Row],[Affaire]],T_Deals[ID],T_Deals[Montant Brut])*T_Investors[[#This Row],[%]]),"")</f>
        <v>56000</v>
      </c>
      <c r="F8" s="4" t="s">
        <v>11</v>
      </c>
    </row>
    <row r="9" spans="1:6" x14ac:dyDescent="0.2">
      <c r="A9" s="1" t="s">
        <v>22</v>
      </c>
      <c r="B9" t="s">
        <v>6</v>
      </c>
      <c r="C9" s="1" t="s">
        <v>15</v>
      </c>
      <c r="D9" s="3">
        <v>1</v>
      </c>
      <c r="E9" s="24">
        <f>IFERROR((_xlfn.XLOOKUP(T_Investors[[#This Row],[Affaire]],T_Deals[ID],T_Deals[Montant Brut])*T_Investors[[#This Row],[%]]),"")</f>
        <v>153000</v>
      </c>
      <c r="F9" s="4" t="s">
        <v>12</v>
      </c>
    </row>
    <row r="10" spans="1:6" x14ac:dyDescent="0.2">
      <c r="A10" s="1"/>
      <c r="C10" s="1"/>
      <c r="D10" s="3"/>
      <c r="E10" s="24">
        <f>IFERROR((_xlfn.XLOOKUP(T_Investors[[#This Row],[Affaire]],T_Deals[ID],T_Deals[Montant Brut])*T_Investors[[#This Row],[%]]),"")</f>
        <v>0</v>
      </c>
      <c r="F10" s="2"/>
    </row>
    <row r="11" spans="1:6" x14ac:dyDescent="0.2">
      <c r="A11" s="1"/>
      <c r="C11" s="1"/>
      <c r="D11" s="3"/>
      <c r="E11" s="24">
        <f>IFERROR((_xlfn.XLOOKUP(T_Investors[[#This Row],[Affaire]],T_Deals[ID],T_Deals[Montant Brut])*T_Investors[[#This Row],[%]]),"")</f>
        <v>0</v>
      </c>
      <c r="F11" s="2"/>
    </row>
    <row r="12" spans="1:6" x14ac:dyDescent="0.2">
      <c r="A12" s="1"/>
      <c r="C12" s="1"/>
      <c r="D12" s="3"/>
      <c r="E12" s="24">
        <f>IFERROR((_xlfn.XLOOKUP(T_Investors[[#This Row],[Affaire]],T_Deals[ID],T_Deals[Montant Brut])*T_Investors[[#This Row],[%]]),"")</f>
        <v>0</v>
      </c>
      <c r="F12" s="2"/>
    </row>
    <row r="13" spans="1:6" x14ac:dyDescent="0.2">
      <c r="A13" s="1"/>
      <c r="C13" s="1"/>
      <c r="D13" s="3"/>
      <c r="E13" s="24">
        <f>IFERROR((_xlfn.XLOOKUP(T_Investors[[#This Row],[Affaire]],T_Deals[ID],T_Deals[Montant Brut])*T_Investors[[#This Row],[%]]),"")</f>
        <v>0</v>
      </c>
      <c r="F13" s="2"/>
    </row>
    <row r="14" spans="1:6" x14ac:dyDescent="0.2">
      <c r="A14" s="1"/>
      <c r="C14" s="1"/>
      <c r="D14" s="3"/>
      <c r="E14" s="24">
        <f>IFERROR((_xlfn.XLOOKUP(T_Investors[[#This Row],[Affaire]],T_Deals[ID],T_Deals[Montant Brut])*T_Investors[[#This Row],[%]]),"")</f>
        <v>0</v>
      </c>
      <c r="F14" s="2"/>
    </row>
    <row r="15" spans="1:6" x14ac:dyDescent="0.2">
      <c r="A15" s="1"/>
      <c r="C15" s="1"/>
      <c r="D15" s="3"/>
      <c r="E15" s="24">
        <f>IFERROR((_xlfn.XLOOKUP(T_Investors[[#This Row],[Affaire]],T_Deals[ID],T_Deals[Montant Brut])*T_Investors[[#This Row],[%]]),"")</f>
        <v>0</v>
      </c>
      <c r="F15" s="2"/>
    </row>
    <row r="16" spans="1:6" x14ac:dyDescent="0.2">
      <c r="A16" s="1"/>
      <c r="C16" s="1"/>
      <c r="D16" s="3"/>
      <c r="E16" s="24">
        <f>IFERROR((_xlfn.XLOOKUP(T_Investors[[#This Row],[Affaire]],T_Deals[ID],T_Deals[Montant Brut])*T_Investors[[#This Row],[%]]),"")</f>
        <v>0</v>
      </c>
      <c r="F16" s="2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04159-6CEB-1240-8BDA-5D395C890D12}">
  <dimension ref="A3:E3"/>
  <sheetViews>
    <sheetView zoomScale="173" workbookViewId="0">
      <selection activeCell="E4" sqref="E4"/>
    </sheetView>
  </sheetViews>
  <sheetFormatPr baseColWidth="10" defaultRowHeight="16" x14ac:dyDescent="0.2"/>
  <cols>
    <col min="1" max="1" width="15" customWidth="1"/>
    <col min="2" max="3" width="17.5" customWidth="1"/>
    <col min="4" max="5" width="15" customWidth="1"/>
  </cols>
  <sheetData>
    <row r="3" spans="1:5" x14ac:dyDescent="0.2">
      <c r="A3" s="1" t="s">
        <v>33</v>
      </c>
      <c r="B3" s="1" t="s">
        <v>34</v>
      </c>
      <c r="C3" s="1" t="s">
        <v>35</v>
      </c>
      <c r="D3" s="1" t="s">
        <v>36</v>
      </c>
      <c r="E3" s="1" t="s">
        <v>37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FA455A-4402-5D41-9C30-021F33C805AB}">
  <dimension ref="A3:R24"/>
  <sheetViews>
    <sheetView topLeftCell="C2" zoomScale="110" zoomScaleNormal="110" workbookViewId="0">
      <selection activeCell="O5" sqref="O5"/>
    </sheetView>
  </sheetViews>
  <sheetFormatPr baseColWidth="10" defaultRowHeight="16" x14ac:dyDescent="0.2"/>
  <cols>
    <col min="1" max="1" width="5.6640625" customWidth="1"/>
    <col min="2" max="2" width="26.1640625" customWidth="1"/>
    <col min="3" max="3" width="15.33203125" customWidth="1"/>
    <col min="4" max="4" width="10.83203125" customWidth="1"/>
    <col min="5" max="5" width="12" customWidth="1"/>
    <col min="6" max="6" width="11.33203125" customWidth="1"/>
    <col min="7" max="7" width="9" customWidth="1"/>
    <col min="8" max="9" width="13.5" customWidth="1"/>
    <col min="10" max="11" width="7.6640625" customWidth="1"/>
    <col min="12" max="13" width="13" customWidth="1"/>
    <col min="14" max="15" width="17" customWidth="1"/>
    <col min="16" max="16" width="15.5" bestFit="1" customWidth="1"/>
    <col min="17" max="17" width="14.5" bestFit="1" customWidth="1"/>
    <col min="18" max="18" width="17.33203125" bestFit="1" customWidth="1"/>
  </cols>
  <sheetData>
    <row r="3" spans="1:18" s="1" customFormat="1" ht="39" customHeight="1" x14ac:dyDescent="0.2">
      <c r="A3" s="5" t="s">
        <v>16</v>
      </c>
      <c r="B3" s="1" t="s">
        <v>35</v>
      </c>
      <c r="C3" s="5" t="s">
        <v>42</v>
      </c>
      <c r="D3" s="9" t="s">
        <v>43</v>
      </c>
      <c r="E3" s="8" t="s">
        <v>44</v>
      </c>
      <c r="F3" s="11" t="s">
        <v>45</v>
      </c>
      <c r="G3" s="8" t="s">
        <v>56</v>
      </c>
      <c r="H3" s="10" t="s">
        <v>46</v>
      </c>
      <c r="I3" s="10" t="s">
        <v>47</v>
      </c>
      <c r="J3" s="6" t="s">
        <v>24</v>
      </c>
      <c r="K3" s="6" t="s">
        <v>25</v>
      </c>
      <c r="L3" s="10" t="s">
        <v>27</v>
      </c>
      <c r="M3" s="10" t="s">
        <v>26</v>
      </c>
      <c r="N3" s="10" t="s">
        <v>51</v>
      </c>
      <c r="O3" s="1" t="s">
        <v>52</v>
      </c>
      <c r="P3" s="10" t="s">
        <v>53</v>
      </c>
      <c r="Q3" s="28" t="s">
        <v>54</v>
      </c>
      <c r="R3" s="5" t="s">
        <v>55</v>
      </c>
    </row>
    <row r="4" spans="1:18" s="7" customFormat="1" ht="25" customHeight="1" x14ac:dyDescent="0.2">
      <c r="A4" s="15" t="s">
        <v>13</v>
      </c>
      <c r="B4" s="16" t="s">
        <v>48</v>
      </c>
      <c r="C4" s="25">
        <v>1075000</v>
      </c>
      <c r="D4" s="25">
        <v>990000</v>
      </c>
      <c r="E4" s="17">
        <v>0.01</v>
      </c>
      <c r="F4" s="25">
        <v>500</v>
      </c>
      <c r="G4" s="18">
        <v>1</v>
      </c>
      <c r="H4" s="27">
        <f>IFERROR(MIN((T_Deals[[#This Row],[LTV]]*T_Deals[[#This Row],[Valeur]]),(T_Deals[[#This Row],[LTP]]*T_Deals[[#This Row],[Prix d''achat]])),"")</f>
        <v>806250</v>
      </c>
      <c r="I4" s="27">
        <f>(T_Deals[[#This Row],[Montant Brut]]-(T_Deals[[#This Row],[Retenu]]*T_Deals[[#This Row],[Monthly
Payment]])-T_Deals[[#This Row],[Frais de dossier]])</f>
        <v>797687.5</v>
      </c>
      <c r="J4" s="14">
        <v>0.75</v>
      </c>
      <c r="K4" s="14">
        <v>0.9</v>
      </c>
      <c r="L4" s="26">
        <f>T_Deals[[#This Row],[Montant Brut]]*T_Deals[[#This Row],[Intérêts
Mensuels]]</f>
        <v>8062.5</v>
      </c>
      <c r="M4" s="26">
        <f>(T_Deals[[#This Row],[Monthly
Payment]]*12)/365</f>
        <v>265.06849315068496</v>
      </c>
      <c r="N4" s="20">
        <v>44213</v>
      </c>
      <c r="O4" s="19">
        <f>EDATE(T_Deals[[#This Row],[Date du transfert des fonds]],T_Deals[[#This Row],[Durée
du prêt (m)]])</f>
        <v>44394</v>
      </c>
      <c r="P4" s="16">
        <v>6</v>
      </c>
      <c r="Q4" s="21">
        <f>T_Deals[[#This Row],[Date de fin du prêt]]-T_Deals[[#This Row],[Date du transfert des fonds]]</f>
        <v>181</v>
      </c>
      <c r="R4" s="27">
        <f>T_Deals[[#This Row],[Monthly
Payment]]*T_Deals[[#This Row],[Durée
du prêt (m)]]</f>
        <v>48375</v>
      </c>
    </row>
    <row r="5" spans="1:18" s="7" customFormat="1" ht="25" customHeight="1" x14ac:dyDescent="0.2">
      <c r="A5" s="15" t="s">
        <v>14</v>
      </c>
      <c r="B5" s="16" t="s">
        <v>49</v>
      </c>
      <c r="C5" s="25">
        <v>160000</v>
      </c>
      <c r="D5" s="25">
        <v>140000</v>
      </c>
      <c r="E5" s="17">
        <v>5.0000000000000001E-3</v>
      </c>
      <c r="F5" s="25">
        <v>0</v>
      </c>
      <c r="G5" s="18">
        <v>2</v>
      </c>
      <c r="H5" s="27">
        <f>IFERROR(MIN((T_Deals[[#This Row],[LTV]]*T_Deals[[#This Row],[Valeur]]),(T_Deals[[#This Row],[LTP]]*T_Deals[[#This Row],[Prix d''achat]])),"")</f>
        <v>112000</v>
      </c>
      <c r="I5" s="27">
        <f>(T_Deals[[#This Row],[Montant Brut]]-(T_Deals[[#This Row],[Retenu]]*T_Deals[[#This Row],[Monthly
Payment]])-T_Deals[[#This Row],[Frais de dossier]])</f>
        <v>110880</v>
      </c>
      <c r="J5" s="14">
        <v>0.7</v>
      </c>
      <c r="K5" s="14">
        <v>0.85</v>
      </c>
      <c r="L5" s="26">
        <f>T_Deals[[#This Row],[Montant Brut]]*T_Deals[[#This Row],[Intérêts
Mensuels]]</f>
        <v>560</v>
      </c>
      <c r="M5" s="26">
        <f>(T_Deals[[#This Row],[Monthly
Payment]]*12)/365</f>
        <v>18.410958904109588</v>
      </c>
      <c r="N5" s="20">
        <v>44267</v>
      </c>
      <c r="O5" s="19">
        <f>EDATE(T_Deals[[#This Row],[Date du transfert des fonds]],T_Deals[[#This Row],[Durée
du prêt (m)]])</f>
        <v>44420</v>
      </c>
      <c r="P5" s="16">
        <v>5</v>
      </c>
      <c r="Q5" s="21">
        <f>T_Deals[[#This Row],[Date de fin du prêt]]-T_Deals[[#This Row],[Date du transfert des fonds]]</f>
        <v>153</v>
      </c>
      <c r="R5" s="27">
        <f>T_Deals[[#This Row],[Monthly
Payment]]*T_Deals[[#This Row],[Durée
du prêt (m)]]</f>
        <v>2800</v>
      </c>
    </row>
    <row r="6" spans="1:18" s="7" customFormat="1" ht="25" customHeight="1" x14ac:dyDescent="0.2">
      <c r="A6" s="15" t="s">
        <v>15</v>
      </c>
      <c r="B6" s="16" t="s">
        <v>50</v>
      </c>
      <c r="C6" s="25">
        <v>230000</v>
      </c>
      <c r="D6" s="25">
        <v>180000</v>
      </c>
      <c r="E6" s="17">
        <v>0.02</v>
      </c>
      <c r="F6" s="25">
        <v>1530</v>
      </c>
      <c r="G6" s="18">
        <v>0</v>
      </c>
      <c r="H6" s="27">
        <f>IFERROR(MIN((T_Deals[[#This Row],[LTV]]*T_Deals[[#This Row],[Valeur]]),(T_Deals[[#This Row],[LTP]]*T_Deals[[#This Row],[Prix d''achat]])),"")</f>
        <v>153000</v>
      </c>
      <c r="I6" s="27">
        <f>(T_Deals[[#This Row],[Montant Brut]]-(T_Deals[[#This Row],[Retenu]]*T_Deals[[#This Row],[Monthly
Payment]])-T_Deals[[#This Row],[Frais de dossier]])</f>
        <v>151470</v>
      </c>
      <c r="J6" s="14">
        <v>0.75</v>
      </c>
      <c r="K6" s="14">
        <v>0.85</v>
      </c>
      <c r="L6" s="26">
        <f>T_Deals[[#This Row],[Montant Brut]]*T_Deals[[#This Row],[Intérêts
Mensuels]]</f>
        <v>3060</v>
      </c>
      <c r="M6" s="26">
        <f>(T_Deals[[#This Row],[Monthly
Payment]]*12)/365</f>
        <v>100.60273972602739</v>
      </c>
      <c r="N6" s="20">
        <v>44304</v>
      </c>
      <c r="O6" s="19">
        <f>EDATE(T_Deals[[#This Row],[Date du transfert des fonds]],T_Deals[[#This Row],[Durée
du prêt (m)]])</f>
        <v>44395</v>
      </c>
      <c r="P6" s="16">
        <v>3</v>
      </c>
      <c r="Q6" s="21">
        <f>T_Deals[[#This Row],[Date de fin du prêt]]-T_Deals[[#This Row],[Date du transfert des fonds]]</f>
        <v>91</v>
      </c>
      <c r="R6" s="27">
        <f>T_Deals[[#This Row],[Monthly
Payment]]*T_Deals[[#This Row],[Durée
du prêt (m)]]</f>
        <v>9180</v>
      </c>
    </row>
    <row r="7" spans="1:18" s="7" customFormat="1" ht="25" customHeight="1" x14ac:dyDescent="0.2">
      <c r="A7" s="15"/>
      <c r="B7" s="16"/>
      <c r="C7" s="16"/>
      <c r="D7" s="16"/>
      <c r="E7" s="16"/>
      <c r="F7" s="16"/>
      <c r="G7" s="18"/>
      <c r="H7" s="27">
        <f>IFERROR(MIN((T_Deals[[#This Row],[LTV]]*T_Deals[[#This Row],[Valeur]]),(T_Deals[[#This Row],[LTP]]*T_Deals[[#This Row],[Prix d''achat]])),"  ")</f>
        <v>0</v>
      </c>
      <c r="I7" s="27">
        <f>(T_Deals[[#This Row],[Montant Brut]]-(T_Deals[[#This Row],[Retenu]]*T_Deals[[#This Row],[Monthly
Payment]])-T_Deals[[#This Row],[Frais de dossier]])</f>
        <v>0</v>
      </c>
      <c r="J7" s="15"/>
      <c r="K7" s="15"/>
      <c r="L7" s="26">
        <f>T_Deals[[#This Row],[Montant Brut]]*T_Deals[[#This Row],[Intérêts
Mensuels]]</f>
        <v>0</v>
      </c>
      <c r="M7" s="26">
        <f>(T_Deals[[#This Row],[Monthly
Payment]]*12)/365</f>
        <v>0</v>
      </c>
      <c r="N7" s="20"/>
      <c r="O7" s="19">
        <f>EDATE(T_Deals[[#This Row],[Date du transfert des fonds]],T_Deals[[#This Row],[Durée
du prêt (m)]])</f>
        <v>0</v>
      </c>
      <c r="P7" s="16"/>
      <c r="Q7" s="21">
        <f>T_Deals[[#This Row],[Date de fin du prêt]]-T_Deals[[#This Row],[Date du transfert des fonds]]</f>
        <v>0</v>
      </c>
      <c r="R7" s="27">
        <f>T_Deals[[#This Row],[Monthly
Payment]]*T_Deals[[#This Row],[Durée
du prêt (m)]]</f>
        <v>0</v>
      </c>
    </row>
    <row r="8" spans="1:18" s="7" customFormat="1" ht="25" customHeight="1" x14ac:dyDescent="0.2">
      <c r="A8" s="15"/>
      <c r="B8" s="16"/>
      <c r="C8" s="16"/>
      <c r="D8" s="16"/>
      <c r="E8" s="16"/>
      <c r="F8" s="16"/>
      <c r="G8" s="18"/>
      <c r="H8" s="27">
        <f>IFERROR(MIN((T_Deals[[#This Row],[LTV]]*T_Deals[[#This Row],[Valeur]]),(T_Deals[[#This Row],[LTP]]*T_Deals[[#This Row],[Prix d''achat]])),"")</f>
        <v>0</v>
      </c>
      <c r="I8" s="27">
        <f>(T_Deals[[#This Row],[Montant Brut]]-(T_Deals[[#This Row],[Retenu]]*T_Deals[[#This Row],[Monthly
Payment]])-T_Deals[[#This Row],[Frais de dossier]])</f>
        <v>0</v>
      </c>
      <c r="J8" s="15"/>
      <c r="K8" s="15"/>
      <c r="L8" s="26">
        <f>T_Deals[[#This Row],[Montant Brut]]*T_Deals[[#This Row],[Intérêts
Mensuels]]</f>
        <v>0</v>
      </c>
      <c r="M8" s="26">
        <f>(T_Deals[[#This Row],[Monthly
Payment]]*12)/365</f>
        <v>0</v>
      </c>
      <c r="N8" s="20"/>
      <c r="O8" s="19">
        <f>EDATE(T_Deals[[#This Row],[Date du transfert des fonds]],T_Deals[[#This Row],[Durée
du prêt (m)]])</f>
        <v>0</v>
      </c>
      <c r="P8" s="16"/>
      <c r="Q8" s="21">
        <f>T_Deals[[#This Row],[Date de fin du prêt]]-T_Deals[[#This Row],[Date du transfert des fonds]]</f>
        <v>0</v>
      </c>
      <c r="R8" s="27">
        <f>T_Deals[[#This Row],[Monthly
Payment]]*T_Deals[[#This Row],[Durée
du prêt (m)]]</f>
        <v>0</v>
      </c>
    </row>
    <row r="9" spans="1:18" s="7" customFormat="1" ht="25" customHeight="1" x14ac:dyDescent="0.2">
      <c r="A9" s="15"/>
      <c r="B9" s="16"/>
      <c r="C9" s="16"/>
      <c r="D9" s="16"/>
      <c r="E9" s="16"/>
      <c r="F9" s="16"/>
      <c r="G9" s="18"/>
      <c r="H9" s="27">
        <f>IFERROR(MIN((T_Deals[[#This Row],[LTV]]*T_Deals[[#This Row],[Valeur]]),(T_Deals[[#This Row],[LTP]]*T_Deals[[#This Row],[Prix d''achat]])),"")</f>
        <v>0</v>
      </c>
      <c r="I9" s="27">
        <f>(T_Deals[[#This Row],[Montant Brut]]-(T_Deals[[#This Row],[Retenu]]*T_Deals[[#This Row],[Monthly
Payment]])-T_Deals[[#This Row],[Frais de dossier]])</f>
        <v>0</v>
      </c>
      <c r="J9" s="15"/>
      <c r="K9" s="15"/>
      <c r="L9" s="26">
        <f>T_Deals[[#This Row],[Montant Brut]]*T_Deals[[#This Row],[Intérêts
Mensuels]]</f>
        <v>0</v>
      </c>
      <c r="M9" s="26">
        <f>(T_Deals[[#This Row],[Monthly
Payment]]*12)/365</f>
        <v>0</v>
      </c>
      <c r="N9" s="20"/>
      <c r="O9" s="19">
        <f>EDATE(T_Deals[[#This Row],[Date du transfert des fonds]],T_Deals[[#This Row],[Durée
du prêt (m)]])</f>
        <v>0</v>
      </c>
      <c r="P9" s="16"/>
      <c r="Q9" s="21">
        <f>T_Deals[[#This Row],[Date de fin du prêt]]-T_Deals[[#This Row],[Date du transfert des fonds]]</f>
        <v>0</v>
      </c>
      <c r="R9" s="27">
        <f>T_Deals[[#This Row],[Monthly
Payment]]*T_Deals[[#This Row],[Durée
du prêt (m)]]</f>
        <v>0</v>
      </c>
    </row>
    <row r="10" spans="1:18" s="7" customFormat="1" ht="25" customHeight="1" x14ac:dyDescent="0.2">
      <c r="A10" s="15"/>
      <c r="B10" s="16"/>
      <c r="C10" s="16"/>
      <c r="D10" s="16"/>
      <c r="E10" s="16"/>
      <c r="F10" s="16"/>
      <c r="G10" s="18"/>
      <c r="H10" s="27">
        <f>IFERROR(MIN((T_Deals[[#This Row],[LTV]]*T_Deals[[#This Row],[Valeur]]),(T_Deals[[#This Row],[LTP]]*T_Deals[[#This Row],[Prix d''achat]])),"")</f>
        <v>0</v>
      </c>
      <c r="I10" s="27">
        <f>(T_Deals[[#This Row],[Montant Brut]]-(T_Deals[[#This Row],[Retenu]]*T_Deals[[#This Row],[Monthly
Payment]])-T_Deals[[#This Row],[Frais de dossier]])</f>
        <v>0</v>
      </c>
      <c r="J10" s="15"/>
      <c r="K10" s="15"/>
      <c r="L10" s="26">
        <f>T_Deals[[#This Row],[Montant Brut]]*T_Deals[[#This Row],[Intérêts
Mensuels]]</f>
        <v>0</v>
      </c>
      <c r="M10" s="26">
        <f>(T_Deals[[#This Row],[Monthly
Payment]]*12)/365</f>
        <v>0</v>
      </c>
      <c r="N10" s="20"/>
      <c r="O10" s="19">
        <f>EDATE(T_Deals[[#This Row],[Date du transfert des fonds]],T_Deals[[#This Row],[Durée
du prêt (m)]])</f>
        <v>0</v>
      </c>
      <c r="P10" s="16"/>
      <c r="Q10" s="21">
        <f>T_Deals[[#This Row],[Date de fin du prêt]]-T_Deals[[#This Row],[Date du transfert des fonds]]</f>
        <v>0</v>
      </c>
      <c r="R10" s="27">
        <f>T_Deals[[#This Row],[Monthly
Payment]]*T_Deals[[#This Row],[Durée
du prêt (m)]]</f>
        <v>0</v>
      </c>
    </row>
    <row r="11" spans="1:18" s="7" customFormat="1" ht="25" customHeight="1" x14ac:dyDescent="0.2">
      <c r="A11" s="15"/>
      <c r="B11" s="16"/>
      <c r="C11" s="16"/>
      <c r="D11" s="16"/>
      <c r="E11" s="16"/>
      <c r="F11" s="16"/>
      <c r="G11" s="18"/>
      <c r="H11" s="27">
        <f>IFERROR(MIN((T_Deals[[#This Row],[LTV]]*T_Deals[[#This Row],[Valeur]]),(T_Deals[[#This Row],[LTP]]*T_Deals[[#This Row],[Prix d''achat]])),"")</f>
        <v>0</v>
      </c>
      <c r="I11" s="27">
        <f>(T_Deals[[#This Row],[Montant Brut]]-(T_Deals[[#This Row],[Retenu]]*T_Deals[[#This Row],[Monthly
Payment]])-T_Deals[[#This Row],[Frais de dossier]])</f>
        <v>0</v>
      </c>
      <c r="J11" s="15"/>
      <c r="K11" s="15"/>
      <c r="L11" s="26">
        <f>T_Deals[[#This Row],[Montant Brut]]*T_Deals[[#This Row],[Intérêts
Mensuels]]</f>
        <v>0</v>
      </c>
      <c r="M11" s="26">
        <f>(T_Deals[[#This Row],[Monthly
Payment]]*12)/365</f>
        <v>0</v>
      </c>
      <c r="N11" s="20"/>
      <c r="O11" s="19">
        <f>EDATE(T_Deals[[#This Row],[Date du transfert des fonds]],T_Deals[[#This Row],[Durée
du prêt (m)]])</f>
        <v>0</v>
      </c>
      <c r="P11" s="16"/>
      <c r="Q11" s="21">
        <f>T_Deals[[#This Row],[Date de fin du prêt]]-T_Deals[[#This Row],[Date du transfert des fonds]]</f>
        <v>0</v>
      </c>
      <c r="R11" s="27">
        <f>T_Deals[[#This Row],[Monthly
Payment]]*T_Deals[[#This Row],[Durée
du prêt (m)]]</f>
        <v>0</v>
      </c>
    </row>
    <row r="12" spans="1:18" s="7" customFormat="1" ht="25" customHeight="1" x14ac:dyDescent="0.2">
      <c r="A12" s="15"/>
      <c r="B12" s="16"/>
      <c r="C12" s="16"/>
      <c r="D12" s="16"/>
      <c r="E12" s="16"/>
      <c r="F12" s="16"/>
      <c r="G12" s="18"/>
      <c r="H12" s="27">
        <f>IFERROR(MIN((T_Deals[[#This Row],[LTV]]*T_Deals[[#This Row],[Valeur]]),(T_Deals[[#This Row],[LTP]]*T_Deals[[#This Row],[Prix d''achat]])),"")</f>
        <v>0</v>
      </c>
      <c r="I12" s="27">
        <f>(T_Deals[[#This Row],[Montant Brut]]-(T_Deals[[#This Row],[Retenu]]*T_Deals[[#This Row],[Monthly
Payment]])-T_Deals[[#This Row],[Frais de dossier]])</f>
        <v>0</v>
      </c>
      <c r="J12" s="15"/>
      <c r="K12" s="15"/>
      <c r="L12" s="26">
        <f>T_Deals[[#This Row],[Montant Brut]]*T_Deals[[#This Row],[Intérêts
Mensuels]]</f>
        <v>0</v>
      </c>
      <c r="M12" s="26">
        <f>(T_Deals[[#This Row],[Monthly
Payment]]*12)/365</f>
        <v>0</v>
      </c>
      <c r="N12" s="20"/>
      <c r="O12" s="19">
        <f>EDATE(T_Deals[[#This Row],[Date du transfert des fonds]],T_Deals[[#This Row],[Durée
du prêt (m)]])</f>
        <v>0</v>
      </c>
      <c r="P12" s="16"/>
      <c r="Q12" s="21">
        <f>T_Deals[[#This Row],[Date de fin du prêt]]-T_Deals[[#This Row],[Date du transfert des fonds]]</f>
        <v>0</v>
      </c>
      <c r="R12" s="27">
        <f>T_Deals[[#This Row],[Monthly
Payment]]*T_Deals[[#This Row],[Durée
du prêt (m)]]</f>
        <v>0</v>
      </c>
    </row>
    <row r="13" spans="1:18" s="7" customFormat="1" ht="25" customHeight="1" x14ac:dyDescent="0.2">
      <c r="A13" s="15"/>
      <c r="B13" s="16"/>
      <c r="C13" s="16"/>
      <c r="D13" s="16"/>
      <c r="E13" s="16"/>
      <c r="F13" s="16"/>
      <c r="G13" s="18"/>
      <c r="H13" s="27">
        <f>IFERROR(MIN((T_Deals[[#This Row],[LTV]]*T_Deals[[#This Row],[Valeur]]),(T_Deals[[#This Row],[LTP]]*T_Deals[[#This Row],[Prix d''achat]])),"")</f>
        <v>0</v>
      </c>
      <c r="I13" s="27">
        <f>(T_Deals[[#This Row],[Montant Brut]]-(T_Deals[[#This Row],[Retenu]]*T_Deals[[#This Row],[Monthly
Payment]])-T_Deals[[#This Row],[Frais de dossier]])</f>
        <v>0</v>
      </c>
      <c r="J13" s="15"/>
      <c r="K13" s="15"/>
      <c r="L13" s="26">
        <f>T_Deals[[#This Row],[Montant Brut]]*T_Deals[[#This Row],[Intérêts
Mensuels]]</f>
        <v>0</v>
      </c>
      <c r="M13" s="26">
        <f>(T_Deals[[#This Row],[Monthly
Payment]]*12)/365</f>
        <v>0</v>
      </c>
      <c r="N13" s="20"/>
      <c r="O13" s="19">
        <f>EDATE(T_Deals[[#This Row],[Date du transfert des fonds]],T_Deals[[#This Row],[Durée
du prêt (m)]])</f>
        <v>0</v>
      </c>
      <c r="P13" s="16"/>
      <c r="Q13" s="21">
        <f>T_Deals[[#This Row],[Date de fin du prêt]]-T_Deals[[#This Row],[Date du transfert des fonds]]</f>
        <v>0</v>
      </c>
      <c r="R13" s="27">
        <f>T_Deals[[#This Row],[Monthly
Payment]]*T_Deals[[#This Row],[Durée
du prêt (m)]]</f>
        <v>0</v>
      </c>
    </row>
    <row r="14" spans="1:18" s="7" customFormat="1" ht="25" customHeight="1" x14ac:dyDescent="0.2">
      <c r="A14" s="15"/>
      <c r="B14" s="16"/>
      <c r="C14" s="16"/>
      <c r="D14" s="16"/>
      <c r="E14" s="16"/>
      <c r="F14" s="16"/>
      <c r="G14" s="18"/>
      <c r="H14" s="27">
        <f>IFERROR(MIN((T_Deals[[#This Row],[LTV]]*T_Deals[[#This Row],[Valeur]]),(T_Deals[[#This Row],[LTP]]*T_Deals[[#This Row],[Prix d''achat]])),"")</f>
        <v>0</v>
      </c>
      <c r="I14" s="27">
        <f>(T_Deals[[#This Row],[Montant Brut]]-(T_Deals[[#This Row],[Retenu]]*T_Deals[[#This Row],[Monthly
Payment]])-T_Deals[[#This Row],[Frais de dossier]])</f>
        <v>0</v>
      </c>
      <c r="J14" s="15"/>
      <c r="K14" s="15"/>
      <c r="L14" s="26">
        <f>T_Deals[[#This Row],[Montant Brut]]*T_Deals[[#This Row],[Intérêts
Mensuels]]</f>
        <v>0</v>
      </c>
      <c r="M14" s="26">
        <f>(T_Deals[[#This Row],[Monthly
Payment]]*12)/365</f>
        <v>0</v>
      </c>
      <c r="N14" s="20"/>
      <c r="O14" s="19">
        <f>EDATE(T_Deals[[#This Row],[Date du transfert des fonds]],T_Deals[[#This Row],[Durée
du prêt (m)]])</f>
        <v>0</v>
      </c>
      <c r="P14" s="16"/>
      <c r="Q14" s="21">
        <f>T_Deals[[#This Row],[Date de fin du prêt]]-T_Deals[[#This Row],[Date du transfert des fonds]]</f>
        <v>0</v>
      </c>
      <c r="R14" s="27">
        <f>T_Deals[[#This Row],[Monthly
Payment]]*T_Deals[[#This Row],[Durée
du prêt (m)]]</f>
        <v>0</v>
      </c>
    </row>
    <row r="15" spans="1:18" s="7" customFormat="1" ht="25" customHeight="1" x14ac:dyDescent="0.2">
      <c r="A15" s="15"/>
      <c r="B15" s="16"/>
      <c r="C15" s="16"/>
      <c r="D15" s="16"/>
      <c r="E15" s="16"/>
      <c r="F15" s="16"/>
      <c r="G15" s="18"/>
      <c r="H15" s="27">
        <f>IFERROR(MIN((T_Deals[[#This Row],[LTV]]*T_Deals[[#This Row],[Valeur]]),(T_Deals[[#This Row],[LTP]]*T_Deals[[#This Row],[Prix d''achat]])),"")</f>
        <v>0</v>
      </c>
      <c r="I15" s="27">
        <f>(T_Deals[[#This Row],[Montant Brut]]-(T_Deals[[#This Row],[Retenu]]*T_Deals[[#This Row],[Monthly
Payment]])-T_Deals[[#This Row],[Frais de dossier]])</f>
        <v>0</v>
      </c>
      <c r="J15" s="15"/>
      <c r="K15" s="15"/>
      <c r="L15" s="26">
        <f>T_Deals[[#This Row],[Montant Brut]]*T_Deals[[#This Row],[Intérêts
Mensuels]]</f>
        <v>0</v>
      </c>
      <c r="M15" s="26">
        <f>(T_Deals[[#This Row],[Monthly
Payment]]*12)/365</f>
        <v>0</v>
      </c>
      <c r="N15" s="20"/>
      <c r="O15" s="19">
        <f>EDATE(T_Deals[[#This Row],[Date du transfert des fonds]],T_Deals[[#This Row],[Durée
du prêt (m)]])</f>
        <v>0</v>
      </c>
      <c r="P15" s="16"/>
      <c r="Q15" s="21">
        <f>T_Deals[[#This Row],[Date de fin du prêt]]-T_Deals[[#This Row],[Date du transfert des fonds]]</f>
        <v>0</v>
      </c>
      <c r="R15" s="27">
        <f>T_Deals[[#This Row],[Monthly
Payment]]*T_Deals[[#This Row],[Durée
du prêt (m)]]</f>
        <v>0</v>
      </c>
    </row>
    <row r="19" spans="6:18" x14ac:dyDescent="0.2">
      <c r="M19" s="12"/>
    </row>
    <row r="20" spans="6:18" x14ac:dyDescent="0.2">
      <c r="M20" s="12"/>
      <c r="O20" s="12"/>
    </row>
    <row r="21" spans="6:18" x14ac:dyDescent="0.2">
      <c r="F21" s="13"/>
      <c r="L21" s="12"/>
    </row>
    <row r="22" spans="6:18" x14ac:dyDescent="0.2">
      <c r="O22" s="12"/>
      <c r="R22" s="12"/>
    </row>
    <row r="24" spans="6:18" x14ac:dyDescent="0.2">
      <c r="N24" s="12"/>
      <c r="O24" s="22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A2A943-E9FB-CE46-A29A-5FEC135977E7}">
  <sheetPr>
    <tabColor rgb="FF00B050"/>
  </sheetPr>
  <dimension ref="A3:G17"/>
  <sheetViews>
    <sheetView tabSelected="1" workbookViewId="0">
      <selection activeCell="G21" sqref="G21"/>
    </sheetView>
  </sheetViews>
  <sheetFormatPr baseColWidth="10" defaultRowHeight="16" x14ac:dyDescent="0.2"/>
  <cols>
    <col min="7" max="7" width="62.5" customWidth="1"/>
  </cols>
  <sheetData>
    <row r="3" spans="1:7" x14ac:dyDescent="0.2">
      <c r="A3" s="1" t="s">
        <v>38</v>
      </c>
      <c r="B3" s="1" t="s">
        <v>28</v>
      </c>
      <c r="C3" s="1" t="s">
        <v>40</v>
      </c>
      <c r="D3" s="1" t="s">
        <v>57</v>
      </c>
    </row>
    <row r="4" spans="1:7" x14ac:dyDescent="0.2">
      <c r="A4" t="s">
        <v>13</v>
      </c>
      <c r="B4" s="29">
        <v>44244</v>
      </c>
      <c r="C4" s="30">
        <v>8062.5</v>
      </c>
      <c r="G4" s="33"/>
    </row>
    <row r="5" spans="1:7" x14ac:dyDescent="0.2">
      <c r="A5" t="s">
        <v>13</v>
      </c>
      <c r="B5" s="29">
        <v>44272</v>
      </c>
      <c r="C5" s="30">
        <v>8062.5</v>
      </c>
    </row>
    <row r="6" spans="1:7" x14ac:dyDescent="0.2">
      <c r="A6" t="s">
        <v>13</v>
      </c>
      <c r="B6" s="29">
        <v>44303</v>
      </c>
      <c r="C6" s="30">
        <v>8062.5</v>
      </c>
    </row>
    <row r="7" spans="1:7" x14ac:dyDescent="0.2">
      <c r="A7" t="s">
        <v>13</v>
      </c>
      <c r="B7" s="29">
        <v>44333</v>
      </c>
      <c r="C7" s="30">
        <v>8062.5</v>
      </c>
    </row>
    <row r="8" spans="1:7" x14ac:dyDescent="0.2">
      <c r="A8" t="s">
        <v>13</v>
      </c>
      <c r="B8" s="29">
        <v>44364</v>
      </c>
      <c r="C8" s="30">
        <v>8062.5</v>
      </c>
    </row>
    <row r="9" spans="1:7" x14ac:dyDescent="0.2">
      <c r="A9" t="s">
        <v>13</v>
      </c>
      <c r="B9" s="29">
        <v>44394</v>
      </c>
      <c r="C9" s="30">
        <v>8062.5</v>
      </c>
    </row>
    <row r="10" spans="1:7" x14ac:dyDescent="0.2">
      <c r="A10" t="s">
        <v>14</v>
      </c>
      <c r="B10" s="29">
        <v>44298</v>
      </c>
      <c r="C10" s="30">
        <v>560</v>
      </c>
    </row>
    <row r="11" spans="1:7" x14ac:dyDescent="0.2">
      <c r="A11" t="s">
        <v>14</v>
      </c>
      <c r="B11" s="29">
        <v>44328</v>
      </c>
      <c r="C11" s="30">
        <v>560</v>
      </c>
    </row>
    <row r="12" spans="1:7" x14ac:dyDescent="0.2">
      <c r="A12" t="s">
        <v>14</v>
      </c>
      <c r="B12" s="29">
        <v>44359</v>
      </c>
      <c r="C12" s="30">
        <v>560</v>
      </c>
    </row>
    <row r="13" spans="1:7" x14ac:dyDescent="0.2">
      <c r="A13" t="s">
        <v>14</v>
      </c>
      <c r="B13" s="29">
        <v>44389</v>
      </c>
      <c r="C13" s="30">
        <v>560</v>
      </c>
    </row>
    <row r="14" spans="1:7" x14ac:dyDescent="0.2">
      <c r="A14" t="s">
        <v>14</v>
      </c>
      <c r="B14" s="29">
        <v>44420</v>
      </c>
      <c r="C14" s="30">
        <v>560</v>
      </c>
    </row>
    <row r="15" spans="1:7" x14ac:dyDescent="0.2">
      <c r="A15" t="s">
        <v>15</v>
      </c>
      <c r="B15" s="29">
        <v>44334</v>
      </c>
      <c r="C15" s="30">
        <v>3060</v>
      </c>
    </row>
    <row r="16" spans="1:7" x14ac:dyDescent="0.2">
      <c r="A16" t="s">
        <v>15</v>
      </c>
      <c r="B16" s="29">
        <v>44365</v>
      </c>
      <c r="C16" s="30">
        <v>3060</v>
      </c>
    </row>
    <row r="17" spans="1:3" x14ac:dyDescent="0.2">
      <c r="A17" t="s">
        <v>15</v>
      </c>
      <c r="B17" s="29">
        <v>44395</v>
      </c>
      <c r="C17" s="30">
        <v>3060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58B25E-66E3-4E47-990C-16CAF118E341}">
  <dimension ref="A3:F21"/>
  <sheetViews>
    <sheetView zoomScale="179" workbookViewId="0">
      <selection activeCell="G10" sqref="G10"/>
    </sheetView>
  </sheetViews>
  <sheetFormatPr baseColWidth="10" defaultRowHeight="16" x14ac:dyDescent="0.2"/>
  <cols>
    <col min="1" max="2" width="11" customWidth="1"/>
    <col min="3" max="3" width="11.5" customWidth="1"/>
    <col min="4" max="4" width="11.6640625" customWidth="1"/>
    <col min="5" max="6" width="11" customWidth="1"/>
  </cols>
  <sheetData>
    <row r="3" spans="1:6" x14ac:dyDescent="0.2">
      <c r="A3" s="1" t="s">
        <v>28</v>
      </c>
      <c r="B3" s="1" t="s">
        <v>0</v>
      </c>
      <c r="C3" s="1" t="s">
        <v>23</v>
      </c>
      <c r="D3" s="1" t="s">
        <v>30</v>
      </c>
      <c r="E3" s="1" t="s">
        <v>31</v>
      </c>
      <c r="F3" s="1" t="s">
        <v>29</v>
      </c>
    </row>
    <row r="4" spans="1:6" x14ac:dyDescent="0.2">
      <c r="A4" s="34">
        <v>44245</v>
      </c>
      <c r="B4" s="35" t="s">
        <v>13</v>
      </c>
      <c r="C4" s="36">
        <f>IFERROR(INDEX(T_Deals[Monthly
Payment],MATCH(T_Payments[[#This Row],[Deal]],T_Deals[ID],0)),"")</f>
        <v>8062.5</v>
      </c>
      <c r="D4" s="36">
        <v>5000</v>
      </c>
      <c r="E4" s="36">
        <f>IFERROR(T_Payments[[#This Row],[Amount]]-T_Payments[[#This Row],[Payment]],"")</f>
        <v>3062.5</v>
      </c>
      <c r="F4" s="37">
        <f>IFERROR((_xlfn.XLOOKUP(T_Payments[[#This Row],[Deal]],T_Deals[ID],T_Deals[Intérêts Total])-T_Payments[[#This Row],[Payment]]),"")</f>
        <v>43375</v>
      </c>
    </row>
    <row r="5" spans="1:6" x14ac:dyDescent="0.2">
      <c r="A5" s="23">
        <v>44299</v>
      </c>
      <c r="B5" s="1" t="s">
        <v>14</v>
      </c>
      <c r="C5" s="31">
        <f>IFERROR(INDEX(T_Deals[Monthly
Payment],MATCH(T_Payments[[#This Row],[Deal]],T_Deals[ID],0)),"")</f>
        <v>560</v>
      </c>
      <c r="D5" s="32">
        <v>560</v>
      </c>
      <c r="E5" s="32">
        <f>IFERROR(T_Payments[[#This Row],[Amount]]-T_Payments[[#This Row],[Payment]],"")</f>
        <v>0</v>
      </c>
      <c r="F5" s="30">
        <f>IFERROR((_xlfn.XLOOKUP(T_Payments[[#This Row],[Deal]],T_Deals[ID],T_Deals[Intérêts Total])-T_Payments[[#This Row],[Payment]]),"")</f>
        <v>2240</v>
      </c>
    </row>
    <row r="6" spans="1:6" x14ac:dyDescent="0.2">
      <c r="A6" s="23">
        <v>44335</v>
      </c>
      <c r="B6" s="1" t="s">
        <v>15</v>
      </c>
      <c r="C6" s="31">
        <f>IFERROR(INDEX(T_Deals[Monthly
Payment],MATCH(T_Payments[[#This Row],[Deal]],T_Deals[ID],0)),"")</f>
        <v>3060</v>
      </c>
      <c r="D6" s="32">
        <v>3060</v>
      </c>
      <c r="E6" s="32">
        <f>IFERROR(T_Payments[[#This Row],[Amount]]-T_Payments[[#This Row],[Payment]],"")</f>
        <v>0</v>
      </c>
      <c r="F6" s="30">
        <f>IFERROR((_xlfn.XLOOKUP(T_Payments[[#This Row],[Deal]],T_Deals[ID],T_Deals[Intérêts Total])-T_Payments[[#This Row],[Payment]]),"")</f>
        <v>6120</v>
      </c>
    </row>
    <row r="7" spans="1:6" x14ac:dyDescent="0.2">
      <c r="A7" s="23">
        <v>44336</v>
      </c>
      <c r="B7" s="1" t="s">
        <v>14</v>
      </c>
      <c r="C7" s="31">
        <f>IFERROR(INDEX(T_Deals[Monthly
Payment],MATCH(T_Payments[[#This Row],[Deal]],T_Deals[ID],0)),"")</f>
        <v>560</v>
      </c>
      <c r="D7" s="32">
        <v>560</v>
      </c>
      <c r="E7" s="32">
        <f>IFERROR(T_Payments[[#This Row],[Amount]]-T_Payments[[#This Row],[Payment]],"")</f>
        <v>0</v>
      </c>
      <c r="F7" s="30">
        <f>IFERROR((_xlfn.XLOOKUP(T_Payments[[#This Row],[Deal]],T_Deals[ID],T_Deals[Intérêts Total])-T_Payments[[#This Row],[Payment]]),"")</f>
        <v>2240</v>
      </c>
    </row>
    <row r="8" spans="1:6" x14ac:dyDescent="0.2">
      <c r="A8" s="23">
        <v>44369</v>
      </c>
      <c r="B8" s="1" t="s">
        <v>15</v>
      </c>
      <c r="C8" s="31">
        <f>IFERROR(INDEX(T_Deals[Monthly
Payment],MATCH(T_Payments[[#This Row],[Deal]],T_Deals[ID],0)),"")</f>
        <v>3060</v>
      </c>
      <c r="D8" s="32">
        <v>2000</v>
      </c>
      <c r="E8" s="32">
        <f>IFERROR(T_Payments[[#This Row],[Amount]]-T_Payments[[#This Row],[Payment]],"")</f>
        <v>1060</v>
      </c>
      <c r="F8" s="30">
        <f>IFERROR((_xlfn.XLOOKUP(T_Payments[[#This Row],[Deal]],T_Deals[ID],T_Deals[Intérêts Total])-T_Payments[[#This Row],[Payment]]),"")</f>
        <v>7180</v>
      </c>
    </row>
    <row r="9" spans="1:6" x14ac:dyDescent="0.2">
      <c r="A9" s="34">
        <v>44273</v>
      </c>
      <c r="B9" s="35" t="s">
        <v>13</v>
      </c>
      <c r="C9" s="36">
        <f>IFERROR(INDEX(T_Deals[Monthly
Payment],MATCH(T_Payments[[#This Row],[Deal]],T_Deals[ID],0)),"")</f>
        <v>8062.5</v>
      </c>
      <c r="D9" s="36">
        <v>10000</v>
      </c>
      <c r="E9" s="36">
        <f>IFERROR(T_Payments[[#This Row],[Amount]]-T_Payments[[#This Row],[Payment]],"")</f>
        <v>-1937.5</v>
      </c>
      <c r="F9" s="37">
        <f>IFERROR((_xlfn.XLOOKUP(T_Payments[[#This Row],[Deal]],T_Deals[ID],T_Deals[Intérêts Total])-T_Payments[[#This Row],[Payment]]),"")</f>
        <v>38375</v>
      </c>
    </row>
    <row r="10" spans="1:6" x14ac:dyDescent="0.2">
      <c r="A10" s="34">
        <v>44311</v>
      </c>
      <c r="B10" s="35" t="s">
        <v>13</v>
      </c>
      <c r="C10" s="36">
        <f>IFERROR(INDEX(T_Deals[Monthly
Payment],MATCH(T_Payments[[#This Row],[Deal]],T_Deals[ID],0)),"")</f>
        <v>8062.5</v>
      </c>
      <c r="D10" s="36">
        <v>33375</v>
      </c>
      <c r="E10" s="36">
        <f>IFERROR(T_Payments[[#This Row],[Amount]]-T_Payments[[#This Row],[Payment]],"")</f>
        <v>-25312.5</v>
      </c>
      <c r="F10" s="37">
        <f>IFERROR((_xlfn.XLOOKUP(T_Payments[[#This Row],[Deal]],T_Deals[ID],T_Deals[Intérêts Total])-T_Payments[[#This Row],[Payment]]),"")</f>
        <v>15000</v>
      </c>
    </row>
    <row r="11" spans="1:6" x14ac:dyDescent="0.2">
      <c r="A11" s="23"/>
      <c r="B11" s="1"/>
      <c r="C11" s="31" t="str">
        <f>IFERROR(INDEX(T_Deals[Monthly
Payment],MATCH(T_Payments[[#This Row],[Deal]],T_Deals[ID],0)),"")</f>
        <v/>
      </c>
      <c r="D11" s="32"/>
      <c r="E11" s="32" t="str">
        <f>IFERROR(T_Payments[[#This Row],[Amount]]-T_Payments[[#This Row],[Payment]],"")</f>
        <v/>
      </c>
      <c r="F11" s="30">
        <f>IFERROR((_xlfn.XLOOKUP(T_Payments[[#This Row],[Deal]],T_Deals[ID],T_Deals[Intérêts Total])-T_Payments[[#This Row],[Payment]]),"")</f>
        <v>0</v>
      </c>
    </row>
    <row r="12" spans="1:6" x14ac:dyDescent="0.2">
      <c r="A12" s="23"/>
      <c r="B12" s="1"/>
      <c r="C12" s="31" t="str">
        <f>IFERROR(INDEX(T_Deals[Monthly
Payment],MATCH(T_Payments[[#This Row],[Deal]],T_Deals[ID],0)),"")</f>
        <v/>
      </c>
      <c r="D12" s="32"/>
      <c r="E12" s="32" t="str">
        <f>IFERROR(T_Payments[[#This Row],[Amount]]-T_Payments[[#This Row],[Payment]],"")</f>
        <v/>
      </c>
      <c r="F12" s="30">
        <f>IFERROR((_xlfn.XLOOKUP(T_Payments[[#This Row],[Deal]],T_Deals[ID],T_Deals[Intérêts Total])-T_Payments[[#This Row],[Payment]]),"")</f>
        <v>0</v>
      </c>
    </row>
    <row r="13" spans="1:6" x14ac:dyDescent="0.2">
      <c r="A13" s="23"/>
      <c r="B13" s="1"/>
      <c r="C13" s="31" t="str">
        <f>IFERROR(INDEX(T_Deals[Monthly
Payment],MATCH(T_Payments[[#This Row],[Deal]],T_Deals[ID],0)),"")</f>
        <v/>
      </c>
      <c r="D13" s="32"/>
      <c r="E13" s="32" t="str">
        <f>IFERROR(T_Payments[[#This Row],[Amount]]-T_Payments[[#This Row],[Payment]],"")</f>
        <v/>
      </c>
      <c r="F13" s="30">
        <f>IFERROR((_xlfn.XLOOKUP(T_Payments[[#This Row],[Deal]],T_Deals[ID],T_Deals[Intérêts Total])-T_Payments[[#This Row],[Payment]]),"")</f>
        <v>0</v>
      </c>
    </row>
    <row r="14" spans="1:6" x14ac:dyDescent="0.2">
      <c r="A14" s="23"/>
      <c r="B14" s="1"/>
      <c r="C14" s="31" t="str">
        <f>IFERROR(INDEX(T_Deals[Monthly
Payment],MATCH(T_Payments[[#This Row],[Deal]],T_Deals[ID],0)),"")</f>
        <v/>
      </c>
      <c r="D14" s="32"/>
      <c r="E14" s="32" t="str">
        <f>IFERROR(T_Payments[[#This Row],[Amount]]-T_Payments[[#This Row],[Payment]],"")</f>
        <v/>
      </c>
      <c r="F14" s="30">
        <f>IFERROR((_xlfn.XLOOKUP(T_Payments[[#This Row],[Deal]],T_Deals[ID],T_Deals[Intérêts Total])-T_Payments[[#This Row],[Payment]]),"")</f>
        <v>0</v>
      </c>
    </row>
    <row r="15" spans="1:6" x14ac:dyDescent="0.2">
      <c r="A15" s="23"/>
      <c r="B15" s="1"/>
      <c r="C15" s="31" t="str">
        <f>IFERROR(INDEX(T_Deals[Monthly
Payment],MATCH(T_Payments[[#This Row],[Deal]],T_Deals[ID],0)),"")</f>
        <v/>
      </c>
      <c r="D15" s="32"/>
      <c r="E15" s="32" t="str">
        <f>IFERROR(T_Payments[[#This Row],[Amount]]-T_Payments[[#This Row],[Payment]],"")</f>
        <v/>
      </c>
      <c r="F15" s="30">
        <f>IFERROR((_xlfn.XLOOKUP(T_Payments[[#This Row],[Deal]],T_Deals[ID],T_Deals[Intérêts Total])-T_Payments[[#This Row],[Payment]]),"")</f>
        <v>0</v>
      </c>
    </row>
    <row r="16" spans="1:6" x14ac:dyDescent="0.2">
      <c r="A16" s="23"/>
      <c r="B16" s="1"/>
      <c r="C16" s="31" t="str">
        <f>IFERROR(INDEX(T_Deals[Monthly
Payment],MATCH(T_Payments[[#This Row],[Deal]],T_Deals[ID],0)),"")</f>
        <v/>
      </c>
      <c r="D16" s="32"/>
      <c r="E16" s="32" t="str">
        <f>IFERROR(T_Payments[[#This Row],[Amount]]-T_Payments[[#This Row],[Payment]],"")</f>
        <v/>
      </c>
      <c r="F16" s="30">
        <f>IFERROR((_xlfn.XLOOKUP(T_Payments[[#This Row],[Deal]],T_Deals[ID],T_Deals[Intérêts Total])-T_Payments[[#This Row],[Payment]]),"")</f>
        <v>0</v>
      </c>
    </row>
    <row r="17" spans="1:6" x14ac:dyDescent="0.2">
      <c r="A17" s="23"/>
      <c r="B17" s="1"/>
      <c r="C17" s="31" t="str">
        <f>IFERROR(INDEX(T_Deals[Monthly
Payment],MATCH(T_Payments[[#This Row],[Deal]],T_Deals[ID],0)),"")</f>
        <v/>
      </c>
      <c r="D17" s="32"/>
      <c r="E17" s="32" t="str">
        <f>IFERROR(T_Payments[[#This Row],[Amount]]-T_Payments[[#This Row],[Payment]],"")</f>
        <v/>
      </c>
      <c r="F17" s="30">
        <f>IFERROR((_xlfn.XLOOKUP(T_Payments[[#This Row],[Deal]],T_Deals[ID],T_Deals[Intérêts Total])-T_Payments[[#This Row],[Payment]]),"")</f>
        <v>0</v>
      </c>
    </row>
    <row r="18" spans="1:6" x14ac:dyDescent="0.2">
      <c r="A18" s="23"/>
      <c r="B18" s="1"/>
      <c r="C18" s="31" t="str">
        <f>IFERROR(INDEX(T_Deals[Monthly
Payment],MATCH(T_Payments[[#This Row],[Deal]],T_Deals[ID],0)),"")</f>
        <v/>
      </c>
      <c r="D18" s="32"/>
      <c r="E18" s="32" t="str">
        <f>IFERROR(T_Payments[[#This Row],[Amount]]-T_Payments[[#This Row],[Payment]],"")</f>
        <v/>
      </c>
      <c r="F18" s="30">
        <f>IFERROR((_xlfn.XLOOKUP(T_Payments[[#This Row],[Deal]],T_Deals[ID],T_Deals[Intérêts Total])-T_Payments[[#This Row],[Payment]]),"")</f>
        <v>0</v>
      </c>
    </row>
    <row r="19" spans="1:6" x14ac:dyDescent="0.2">
      <c r="A19" s="23"/>
      <c r="B19" s="1"/>
      <c r="C19" s="31" t="str">
        <f>IFERROR(INDEX(T_Deals[Monthly
Payment],MATCH(T_Payments[[#This Row],[Deal]],T_Deals[ID],0)),"")</f>
        <v/>
      </c>
      <c r="D19" s="32"/>
      <c r="E19" s="32" t="str">
        <f>IFERROR(T_Payments[[#This Row],[Amount]]-T_Payments[[#This Row],[Payment]],"")</f>
        <v/>
      </c>
      <c r="F19" s="30">
        <f>IFERROR((_xlfn.XLOOKUP(T_Payments[[#This Row],[Deal]],T_Deals[ID],T_Deals[Intérêts Total])-T_Payments[[#This Row],[Payment]]),"")</f>
        <v>0</v>
      </c>
    </row>
    <row r="20" spans="1:6" x14ac:dyDescent="0.2">
      <c r="A20" s="23"/>
      <c r="B20" s="1"/>
      <c r="C20" s="31" t="str">
        <f>IFERROR(INDEX(T_Deals[Monthly
Payment],MATCH(T_Payments[[#This Row],[Deal]],T_Deals[ID],0)),"")</f>
        <v/>
      </c>
      <c r="D20" s="32"/>
      <c r="E20" s="32" t="str">
        <f>IFERROR(T_Payments[[#This Row],[Amount]]-T_Payments[[#This Row],[Payment]],"")</f>
        <v/>
      </c>
      <c r="F20" s="30">
        <f>IFERROR((_xlfn.XLOOKUP(T_Payments[[#This Row],[Deal]],T_Deals[ID],T_Deals[Intérêts Total])-T_Payments[[#This Row],[Payment]]),"")</f>
        <v>0</v>
      </c>
    </row>
    <row r="21" spans="1:6" x14ac:dyDescent="0.2">
      <c r="A21" t="s">
        <v>32</v>
      </c>
      <c r="C21" s="31">
        <f>SUBTOTAL(109,T_Payments[Amount])</f>
        <v>31427.5</v>
      </c>
      <c r="D21" s="32">
        <f>SUBTOTAL(109,T_Payments[Payment])</f>
        <v>54555</v>
      </c>
      <c r="E21" s="32">
        <f>SUBTOTAL(109,T_Payments[Balance])</f>
        <v>-23127.5</v>
      </c>
      <c r="F21" s="30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Investisseurs</vt:lpstr>
      <vt:lpstr>Emprunteurs</vt:lpstr>
      <vt:lpstr>Biens</vt:lpstr>
      <vt:lpstr>Résultat</vt:lpstr>
      <vt:lpstr>Paiements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</dc:creator>
  <cp:lastModifiedBy>MBA</cp:lastModifiedBy>
  <dcterms:created xsi:type="dcterms:W3CDTF">2021-10-06T16:18:25Z</dcterms:created>
  <dcterms:modified xsi:type="dcterms:W3CDTF">2021-10-10T19:00:02Z</dcterms:modified>
</cp:coreProperties>
</file>