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taillez\Desktop\"/>
    </mc:Choice>
  </mc:AlternateContent>
  <xr:revisionPtr revIDLastSave="0" documentId="13_ncr:80001_{2151ED24-4E9A-48D5-B7C7-55BA3D8C2CD0}" xr6:coauthVersionLast="36" xr6:coauthVersionMax="36" xr10:uidLastSave="{00000000-0000-0000-0000-000000000000}"/>
  <bookViews>
    <workbookView xWindow="-108" yWindow="-108" windowWidth="23256" windowHeight="12456" tabRatio="1000" xr2:uid="{00000000-000D-0000-FFFF-FFFF00000000}"/>
  </bookViews>
  <sheets>
    <sheet name="COTATIONS" sheetId="1" r:id="rId1"/>
    <sheet name="HTMLSOURCE" sheetId="95" r:id="rId2"/>
  </sheets>
  <functionGroups builtInGroupCount="19"/>
  <definedNames>
    <definedName name="BPA2K20">COTATIONS!#REF!</definedName>
    <definedName name="BPA2K21">COTATIONS!#REF!</definedName>
    <definedName name="bpa2k22">COTATIONS!#REF!</definedName>
    <definedName name="bpa2k23">COTATIONS!$AL:$AL</definedName>
    <definedName name="bpa2k24">COTATIONS!$AM:$AM</definedName>
    <definedName name="bpa2k25">COTATIONS!$AN:$AN</definedName>
    <definedName name="Cotation">COTATIONS!$D$1</definedName>
    <definedName name="COTATIONPEA">#REF!</definedName>
    <definedName name="DIV2K20">COTATIONS!#REF!</definedName>
    <definedName name="div2k21">COTATIONS!#REF!</definedName>
    <definedName name="div2k22">COTATIONS!#REF!</definedName>
    <definedName name="div2k23">COTATIONS!$AF:$AF</definedName>
    <definedName name="div2k24">COTATIONS!$AG:$AG</definedName>
    <definedName name="div2k25">COTATIONS!$AH:$AH</definedName>
    <definedName name="DonnéesExternes_1" localSheetId="0" hidden="1">COTATIONS!#REF!</definedName>
    <definedName name="DonnéesExternes_2" localSheetId="0" hidden="1">COTATIONS!$W$42:$AE$50</definedName>
    <definedName name="DonnéesExternes_4" localSheetId="0" hidden="1">COTATIONS!#REF!</definedName>
    <definedName name="estdiv2k24">COTATIONS!#REF!</definedName>
    <definedName name="estdiv2K25">COTATIONS!#REF!</definedName>
    <definedName name="estidiv2k24">COTATIONS!#REF!</definedName>
    <definedName name="estidiv2K25">COTATIONS!#REF!</definedName>
    <definedName name="i">COTATIONS!#REF!</definedName>
    <definedName name="LIVRETA">#REF!</definedName>
    <definedName name="per2k20">COTATIONS!#REF!</definedName>
    <definedName name="per2k21">COTATIONS!#REF!</definedName>
    <definedName name="per2k22">COTATIONS!#REF!</definedName>
    <definedName name="per2k23">COTATIONS!$AO:$AO</definedName>
    <definedName name="per2k24">COTATIONS!$AP:$AP</definedName>
    <definedName name="per2k25">COTATIONS!$AQ:$AQ</definedName>
    <definedName name="REF">COTATIONS!$B$1</definedName>
    <definedName name="REFPEA">#REF!</definedName>
    <definedName name="REND2K20">COTATIONS!#REF!</definedName>
    <definedName name="REND2K21">COTATIONS!#REF!</definedName>
    <definedName name="rend2k22">COTATIONS!#REF!</definedName>
    <definedName name="rend2k23">COTATIONS!$AI:$AI</definedName>
    <definedName name="rend2k24">COTATIONS!$AJ:$AJ</definedName>
    <definedName name="rend2k25">COTATIONS!$AK:$AK</definedName>
    <definedName name="valorisation">COTATIONS!$AR:$AR</definedName>
    <definedName name="valorisationEUR">COTATIONS!$AS:$AS</definedName>
    <definedName name="WWW">COTATIONS!$C$1</definedName>
    <definedName name="WWWPEA">#REF!</definedName>
  </definedNames>
  <calcPr calcId="191029"/>
</workbook>
</file>

<file path=xl/calcChain.xml><?xml version="1.0" encoding="utf-8"?>
<calcChain xmlns="http://schemas.openxmlformats.org/spreadsheetml/2006/main">
  <c r="O20" i="1" l="1"/>
  <c r="O5" i="1" l="1"/>
  <c r="O4" i="1"/>
  <c r="O26" i="1"/>
  <c r="O28" i="1"/>
  <c r="O12" i="1"/>
  <c r="O10" i="1"/>
  <c r="O17" i="1"/>
  <c r="O9" i="1"/>
  <c r="O18" i="1"/>
  <c r="O24" i="1"/>
  <c r="O16" i="1"/>
  <c r="O8" i="1"/>
  <c r="O7" i="1"/>
  <c r="O2" i="1"/>
  <c r="O22" i="1"/>
  <c r="O14" i="1"/>
  <c r="O6" i="1"/>
  <c r="O23" i="1"/>
  <c r="O15" i="1"/>
  <c r="O29" i="1"/>
  <c r="O21" i="1"/>
  <c r="O13" i="1"/>
  <c r="N3" i="1"/>
  <c r="O27" i="1"/>
  <c r="O19" i="1"/>
  <c r="O11" i="1"/>
  <c r="O3" i="1"/>
  <c r="N18" i="1"/>
  <c r="N24" i="1"/>
  <c r="N16" i="1"/>
  <c r="N8" i="1"/>
  <c r="N10" i="1"/>
  <c r="N23" i="1"/>
  <c r="N15" i="1"/>
  <c r="N7" i="1"/>
  <c r="N9" i="1"/>
  <c r="N2" i="1"/>
  <c r="N22" i="1"/>
  <c r="N14" i="1"/>
  <c r="N6" i="1"/>
  <c r="N29" i="1"/>
  <c r="N13" i="1"/>
  <c r="N5" i="1"/>
  <c r="N26" i="1"/>
  <c r="N17" i="1"/>
  <c r="N21" i="1"/>
  <c r="N28" i="1"/>
  <c r="N20" i="1"/>
  <c r="N12" i="1"/>
  <c r="N4" i="1"/>
  <c r="N27" i="1"/>
  <c r="N19" i="1"/>
  <c r="N11" i="1"/>
  <c r="O25" i="1" l="1"/>
  <c r="N25" i="1" l="1"/>
  <c r="X25" i="1"/>
  <c r="E27" i="1"/>
  <c r="G27" i="1"/>
  <c r="S27" i="1" s="1"/>
  <c r="K27" i="1"/>
  <c r="L27" i="1"/>
  <c r="X27" i="1"/>
  <c r="E29" i="1"/>
  <c r="G29" i="1"/>
  <c r="S29" i="1" s="1"/>
  <c r="K29" i="1"/>
  <c r="L29" i="1"/>
  <c r="X29" i="1"/>
  <c r="E28" i="1"/>
  <c r="G28" i="1"/>
  <c r="S28" i="1" s="1"/>
  <c r="K28" i="1"/>
  <c r="L28" i="1"/>
  <c r="X28" i="1"/>
  <c r="E21" i="1"/>
  <c r="E22" i="1"/>
  <c r="E23" i="1"/>
  <c r="G21" i="1"/>
  <c r="S21" i="1" s="1"/>
  <c r="G22" i="1"/>
  <c r="S22" i="1" s="1"/>
  <c r="G23" i="1"/>
  <c r="S23" i="1" s="1"/>
  <c r="K21" i="1"/>
  <c r="K22" i="1"/>
  <c r="K23" i="1"/>
  <c r="L21" i="1"/>
  <c r="L22" i="1"/>
  <c r="L23" i="1"/>
  <c r="X21" i="1"/>
  <c r="X22" i="1"/>
  <c r="X23" i="1"/>
  <c r="E24" i="1"/>
  <c r="G24" i="1"/>
  <c r="S24" i="1" s="1"/>
  <c r="K24" i="1"/>
  <c r="L24" i="1"/>
  <c r="X24" i="1"/>
  <c r="E26" i="1"/>
  <c r="G26" i="1"/>
  <c r="S26" i="1" s="1"/>
  <c r="K26" i="1"/>
  <c r="L26" i="1"/>
  <c r="X26" i="1"/>
  <c r="E25" i="1"/>
  <c r="G25" i="1"/>
  <c r="S25" i="1" s="1"/>
  <c r="K25" i="1"/>
  <c r="L25" i="1"/>
  <c r="E19" i="1"/>
  <c r="G19" i="1"/>
  <c r="S19" i="1" s="1"/>
  <c r="K19" i="1"/>
  <c r="L19" i="1"/>
  <c r="X19" i="1"/>
  <c r="E18" i="1"/>
  <c r="G18" i="1"/>
  <c r="S18" i="1" s="1"/>
  <c r="K18" i="1"/>
  <c r="L18" i="1"/>
  <c r="X18" i="1"/>
  <c r="E12" i="1"/>
  <c r="E13" i="1"/>
  <c r="E14" i="1"/>
  <c r="E15" i="1"/>
  <c r="G12" i="1"/>
  <c r="G13" i="1"/>
  <c r="S13" i="1" s="1"/>
  <c r="G14" i="1"/>
  <c r="S14" i="1" s="1"/>
  <c r="G15" i="1"/>
  <c r="S15" i="1" s="1"/>
  <c r="K12" i="1"/>
  <c r="K13" i="1"/>
  <c r="K14" i="1"/>
  <c r="K15" i="1"/>
  <c r="L12" i="1"/>
  <c r="L13" i="1"/>
  <c r="L14" i="1"/>
  <c r="L15" i="1"/>
  <c r="X12" i="1"/>
  <c r="X13" i="1"/>
  <c r="X14" i="1"/>
  <c r="X15" i="1"/>
  <c r="E16" i="1"/>
  <c r="G16" i="1"/>
  <c r="K16" i="1"/>
  <c r="L16" i="1"/>
  <c r="X16" i="1"/>
  <c r="E20" i="1"/>
  <c r="G20" i="1"/>
  <c r="S20" i="1" s="1"/>
  <c r="K20" i="1"/>
  <c r="L20" i="1"/>
  <c r="X20" i="1"/>
  <c r="E17" i="1"/>
  <c r="G17" i="1"/>
  <c r="S17" i="1" s="1"/>
  <c r="K17" i="1"/>
  <c r="L17" i="1"/>
  <c r="X17" i="1"/>
  <c r="M27" i="1" l="1"/>
  <c r="M29" i="1"/>
  <c r="M28" i="1"/>
  <c r="R28" i="1" s="1"/>
  <c r="M23" i="1"/>
  <c r="M13" i="1"/>
  <c r="R13" i="1" s="1"/>
  <c r="M24" i="1"/>
  <c r="M22" i="1"/>
  <c r="M21" i="1"/>
  <c r="V21" i="1" s="1"/>
  <c r="M14" i="1"/>
  <c r="M26" i="1"/>
  <c r="R26" i="1" s="1"/>
  <c r="M20" i="1"/>
  <c r="M25" i="1"/>
  <c r="R25" i="1" s="1"/>
  <c r="M15" i="1"/>
  <c r="R15" i="1" s="1"/>
  <c r="M19" i="1"/>
  <c r="M18" i="1"/>
  <c r="M16" i="1"/>
  <c r="V16" i="1" s="1"/>
  <c r="W16" i="1" s="1"/>
  <c r="M12" i="1"/>
  <c r="V12" i="1" s="1"/>
  <c r="W12" i="1" s="1"/>
  <c r="T12" i="1" s="1"/>
  <c r="S12" i="1"/>
  <c r="S16" i="1"/>
  <c r="M17" i="1"/>
  <c r="E2" i="1"/>
  <c r="E11" i="1"/>
  <c r="E8" i="1"/>
  <c r="E3" i="1"/>
  <c r="E6" i="1"/>
  <c r="E4" i="1"/>
  <c r="E10" i="1"/>
  <c r="E5" i="1"/>
  <c r="L2" i="1"/>
  <c r="L11" i="1"/>
  <c r="L8" i="1"/>
  <c r="L3" i="1"/>
  <c r="L6" i="1"/>
  <c r="L4" i="1"/>
  <c r="L10" i="1"/>
  <c r="L5" i="1"/>
  <c r="K2" i="1"/>
  <c r="K11" i="1"/>
  <c r="K8" i="1"/>
  <c r="K3" i="1"/>
  <c r="K6" i="1"/>
  <c r="K4" i="1"/>
  <c r="K10" i="1"/>
  <c r="K5" i="1"/>
  <c r="S2" i="1"/>
  <c r="S11" i="1"/>
  <c r="S8" i="1"/>
  <c r="X2" i="1"/>
  <c r="X11" i="1"/>
  <c r="X8" i="1"/>
  <c r="S6" i="1"/>
  <c r="S3" i="1"/>
  <c r="X3" i="1"/>
  <c r="X6" i="1"/>
  <c r="S4" i="1"/>
  <c r="X4" i="1"/>
  <c r="S10" i="1"/>
  <c r="X10" i="1"/>
  <c r="X5" i="1"/>
  <c r="R18" i="1" l="1"/>
  <c r="V19" i="1"/>
  <c r="AC19" i="1" s="1"/>
  <c r="R24" i="1"/>
  <c r="R20" i="1"/>
  <c r="R29" i="1"/>
  <c r="R17" i="1"/>
  <c r="V23" i="1"/>
  <c r="W23" i="1" s="1"/>
  <c r="R14" i="1"/>
  <c r="R27" i="1"/>
  <c r="P27" i="1"/>
  <c r="Q27" i="1" s="1"/>
  <c r="V27" i="1"/>
  <c r="W27" i="1" s="1"/>
  <c r="P20" i="1"/>
  <c r="Q20" i="1" s="1"/>
  <c r="P24" i="1"/>
  <c r="Q24" i="1" s="1"/>
  <c r="P28" i="1"/>
  <c r="Q28" i="1" s="1"/>
  <c r="P18" i="1"/>
  <c r="Q18" i="1" s="1"/>
  <c r="P17" i="1"/>
  <c r="Q17" i="1" s="1"/>
  <c r="P15" i="1"/>
  <c r="Q15" i="1" s="1"/>
  <c r="P25" i="1"/>
  <c r="Q25" i="1" s="1"/>
  <c r="P29" i="1"/>
  <c r="Q29" i="1" s="1"/>
  <c r="P19" i="1"/>
  <c r="Q19" i="1" s="1"/>
  <c r="P13" i="1"/>
  <c r="Q13" i="1" s="1"/>
  <c r="P26" i="1"/>
  <c r="Q26" i="1" s="1"/>
  <c r="P14" i="1"/>
  <c r="Q14" i="1" s="1"/>
  <c r="P21" i="1"/>
  <c r="Q21" i="1" s="1"/>
  <c r="P12" i="1"/>
  <c r="Q12" i="1" s="1"/>
  <c r="V22" i="1"/>
  <c r="W22" i="1" s="1"/>
  <c r="Y22" i="1" s="1"/>
  <c r="Z22" i="1" s="1"/>
  <c r="P22" i="1"/>
  <c r="Q22" i="1" s="1"/>
  <c r="P16" i="1"/>
  <c r="Q16" i="1" s="1"/>
  <c r="P23" i="1"/>
  <c r="Q23" i="1" s="1"/>
  <c r="V20" i="1"/>
  <c r="AC20" i="1" s="1"/>
  <c r="V14" i="1"/>
  <c r="AD14" i="1" s="1"/>
  <c r="R22" i="1"/>
  <c r="R19" i="1"/>
  <c r="M6" i="1"/>
  <c r="V28" i="1"/>
  <c r="W28" i="1" s="1"/>
  <c r="AE28" i="1" s="1"/>
  <c r="V29" i="1"/>
  <c r="W29" i="1" s="1"/>
  <c r="V13" i="1"/>
  <c r="W13" i="1" s="1"/>
  <c r="R21" i="1"/>
  <c r="R23" i="1"/>
  <c r="AB12" i="1"/>
  <c r="AC12" i="1"/>
  <c r="AD12" i="1"/>
  <c r="R12" i="1"/>
  <c r="AE12" i="1" s="1"/>
  <c r="V15" i="1"/>
  <c r="W15" i="1" s="1"/>
  <c r="AE15" i="1" s="1"/>
  <c r="Y12" i="1"/>
  <c r="Z12" i="1" s="1"/>
  <c r="AA12" i="1" s="1"/>
  <c r="V24" i="1"/>
  <c r="AC24" i="1" s="1"/>
  <c r="W21" i="1"/>
  <c r="AC21" i="1"/>
  <c r="AD21" i="1"/>
  <c r="AD23" i="1"/>
  <c r="AC16" i="1"/>
  <c r="V26" i="1"/>
  <c r="AD26" i="1" s="1"/>
  <c r="AD16" i="1"/>
  <c r="V25" i="1"/>
  <c r="R16" i="1"/>
  <c r="AE16" i="1" s="1"/>
  <c r="V18" i="1"/>
  <c r="W18" i="1" s="1"/>
  <c r="V17" i="1"/>
  <c r="W17" i="1" s="1"/>
  <c r="Y16" i="1"/>
  <c r="Z16" i="1" s="1"/>
  <c r="AB16" i="1"/>
  <c r="T16" i="1"/>
  <c r="M2" i="1"/>
  <c r="M4" i="1"/>
  <c r="M5" i="1"/>
  <c r="M11" i="1"/>
  <c r="M10" i="1"/>
  <c r="M3" i="1"/>
  <c r="M8" i="1"/>
  <c r="S5" i="1"/>
  <c r="AE17" i="1" l="1"/>
  <c r="AC23" i="1"/>
  <c r="W19" i="1"/>
  <c r="AE19" i="1" s="1"/>
  <c r="AD19" i="1"/>
  <c r="AE29" i="1"/>
  <c r="AE27" i="1"/>
  <c r="AE18" i="1"/>
  <c r="R3" i="1"/>
  <c r="R10" i="1"/>
  <c r="R11" i="1"/>
  <c r="R5" i="1"/>
  <c r="V2" i="1"/>
  <c r="W2" i="1" s="1"/>
  <c r="T2" i="1" s="1"/>
  <c r="R6" i="1"/>
  <c r="V4" i="1"/>
  <c r="AD4" i="1" s="1"/>
  <c r="V8" i="1"/>
  <c r="AC27" i="1"/>
  <c r="AD27" i="1"/>
  <c r="P2" i="1"/>
  <c r="Q2" i="1" s="1"/>
  <c r="V6" i="1"/>
  <c r="AC6" i="1" s="1"/>
  <c r="AD22" i="1"/>
  <c r="P6" i="1"/>
  <c r="Q6" i="1" s="1"/>
  <c r="P8" i="1"/>
  <c r="Q8" i="1" s="1"/>
  <c r="P11" i="1"/>
  <c r="Q11" i="1" s="1"/>
  <c r="AC22" i="1"/>
  <c r="U12" i="1"/>
  <c r="AE22" i="1"/>
  <c r="AB22" i="1"/>
  <c r="T22" i="1"/>
  <c r="U22" i="1" s="1"/>
  <c r="P3" i="1"/>
  <c r="Q3" i="1" s="1"/>
  <c r="P5" i="1"/>
  <c r="Q5" i="1" s="1"/>
  <c r="P10" i="1"/>
  <c r="Q10" i="1" s="1"/>
  <c r="P4" i="1"/>
  <c r="Q4" i="1" s="1"/>
  <c r="AD20" i="1"/>
  <c r="AD25" i="1"/>
  <c r="AD29" i="1"/>
  <c r="AC29" i="1"/>
  <c r="AC14" i="1"/>
  <c r="W14" i="1"/>
  <c r="T14" i="1" s="1"/>
  <c r="W20" i="1"/>
  <c r="AE20" i="1" s="1"/>
  <c r="AD13" i="1"/>
  <c r="AD28" i="1"/>
  <c r="AC28" i="1"/>
  <c r="AE21" i="1"/>
  <c r="AC13" i="1"/>
  <c r="W24" i="1"/>
  <c r="AE24" i="1" s="1"/>
  <c r="AD24" i="1"/>
  <c r="T27" i="1"/>
  <c r="AB27" i="1"/>
  <c r="Y27" i="1"/>
  <c r="Z27" i="1" s="1"/>
  <c r="AE23" i="1"/>
  <c r="AD18" i="1"/>
  <c r="AC18" i="1"/>
  <c r="T29" i="1"/>
  <c r="AB29" i="1"/>
  <c r="Y29" i="1"/>
  <c r="Z29" i="1" s="1"/>
  <c r="T28" i="1"/>
  <c r="AB28" i="1"/>
  <c r="Y28" i="1"/>
  <c r="Z28" i="1" s="1"/>
  <c r="AD15" i="1"/>
  <c r="AC15" i="1"/>
  <c r="AC25" i="1"/>
  <c r="AC26" i="1"/>
  <c r="T21" i="1"/>
  <c r="AB21" i="1"/>
  <c r="Y21" i="1"/>
  <c r="Z21" i="1" s="1"/>
  <c r="T23" i="1"/>
  <c r="AB23" i="1"/>
  <c r="Y23" i="1"/>
  <c r="Z23" i="1" s="1"/>
  <c r="W25" i="1"/>
  <c r="AE25" i="1" s="1"/>
  <c r="W26" i="1"/>
  <c r="AE26" i="1" s="1"/>
  <c r="AC17" i="1"/>
  <c r="AD17" i="1"/>
  <c r="AB19" i="1"/>
  <c r="T19" i="1"/>
  <c r="Y19" i="1"/>
  <c r="Z19" i="1" s="1"/>
  <c r="T18" i="1"/>
  <c r="AB18" i="1"/>
  <c r="Y18" i="1"/>
  <c r="Z18" i="1" s="1"/>
  <c r="Y13" i="1"/>
  <c r="Z13" i="1" s="1"/>
  <c r="T13" i="1"/>
  <c r="AB13" i="1"/>
  <c r="AE13" i="1"/>
  <c r="T15" i="1"/>
  <c r="AB15" i="1"/>
  <c r="Y15" i="1"/>
  <c r="Z15" i="1" s="1"/>
  <c r="U16" i="1"/>
  <c r="AA16" i="1"/>
  <c r="R2" i="1"/>
  <c r="AE2" i="1" s="1"/>
  <c r="T17" i="1"/>
  <c r="AB17" i="1"/>
  <c r="Y17" i="1"/>
  <c r="Z17" i="1" s="1"/>
  <c r="V5" i="1"/>
  <c r="AC5" i="1" s="1"/>
  <c r="V10" i="1"/>
  <c r="AD10" i="1" s="1"/>
  <c r="V11" i="1"/>
  <c r="AD11" i="1" s="1"/>
  <c r="R8" i="1"/>
  <c r="V3" i="1"/>
  <c r="W3" i="1" s="1"/>
  <c r="R4" i="1"/>
  <c r="W8" i="1"/>
  <c r="AD8" i="1"/>
  <c r="AC8" i="1"/>
  <c r="AC2" i="1" l="1"/>
  <c r="AD2" i="1"/>
  <c r="AE3" i="1"/>
  <c r="AB2" i="1"/>
  <c r="Y2" i="1"/>
  <c r="Z2" i="1" s="1"/>
  <c r="AA2" i="1" s="1"/>
  <c r="W4" i="1"/>
  <c r="AB4" i="1" s="1"/>
  <c r="AC4" i="1"/>
  <c r="AD6" i="1"/>
  <c r="W6" i="1"/>
  <c r="AE6" i="1" s="1"/>
  <c r="U2" i="1"/>
  <c r="AA22" i="1"/>
  <c r="AE14" i="1"/>
  <c r="Y20" i="1"/>
  <c r="Z20" i="1" s="1"/>
  <c r="T20" i="1"/>
  <c r="U20" i="1" s="1"/>
  <c r="AB20" i="1"/>
  <c r="Y14" i="1"/>
  <c r="Z14" i="1" s="1"/>
  <c r="AA14" i="1" s="1"/>
  <c r="AB14" i="1"/>
  <c r="T24" i="1"/>
  <c r="U24" i="1" s="1"/>
  <c r="Y24" i="1"/>
  <c r="Z24" i="1" s="1"/>
  <c r="AB24" i="1"/>
  <c r="AA27" i="1"/>
  <c r="U27" i="1"/>
  <c r="AA29" i="1"/>
  <c r="U29" i="1"/>
  <c r="T26" i="1"/>
  <c r="U26" i="1" s="1"/>
  <c r="AA28" i="1"/>
  <c r="U28" i="1"/>
  <c r="AB26" i="1"/>
  <c r="Y26" i="1"/>
  <c r="Z26" i="1" s="1"/>
  <c r="AA23" i="1"/>
  <c r="U23" i="1"/>
  <c r="Y25" i="1"/>
  <c r="Z25" i="1" s="1"/>
  <c r="AB25" i="1"/>
  <c r="T25" i="1"/>
  <c r="U25" i="1" s="1"/>
  <c r="U21" i="1"/>
  <c r="AA21" i="1"/>
  <c r="AA19" i="1"/>
  <c r="U19" i="1"/>
  <c r="AA18" i="1"/>
  <c r="U18" i="1"/>
  <c r="AA13" i="1"/>
  <c r="U13" i="1"/>
  <c r="AA15" i="1"/>
  <c r="U15" i="1"/>
  <c r="U14" i="1"/>
  <c r="AA17" i="1"/>
  <c r="U17" i="1"/>
  <c r="AD5" i="1"/>
  <c r="W5" i="1"/>
  <c r="AE5" i="1" s="1"/>
  <c r="AE8" i="1"/>
  <c r="W10" i="1"/>
  <c r="T10" i="1" s="1"/>
  <c r="AC10" i="1"/>
  <c r="W11" i="1"/>
  <c r="AE11" i="1" s="1"/>
  <c r="AC11" i="1"/>
  <c r="AC3" i="1"/>
  <c r="AD3" i="1"/>
  <c r="T8" i="1"/>
  <c r="AB8" i="1"/>
  <c r="Y8" i="1"/>
  <c r="Z8" i="1" s="1"/>
  <c r="Y3" i="1"/>
  <c r="Z3" i="1" s="1"/>
  <c r="T3" i="1"/>
  <c r="AB3" i="1"/>
  <c r="AE4" i="1" l="1"/>
  <c r="T4" i="1"/>
  <c r="U4" i="1" s="1"/>
  <c r="Y4" i="1"/>
  <c r="Z4" i="1" s="1"/>
  <c r="AA4" i="1" s="1"/>
  <c r="AB6" i="1"/>
  <c r="T6" i="1"/>
  <c r="Y6" i="1"/>
  <c r="Z6" i="1" s="1"/>
  <c r="AA20" i="1"/>
  <c r="AA24" i="1"/>
  <c r="AA26" i="1"/>
  <c r="AA25" i="1"/>
  <c r="AB5" i="1"/>
  <c r="Y5" i="1"/>
  <c r="Z5" i="1" s="1"/>
  <c r="T5" i="1"/>
  <c r="AE10" i="1"/>
  <c r="Y10" i="1"/>
  <c r="Z10" i="1" s="1"/>
  <c r="AA10" i="1" s="1"/>
  <c r="AB10" i="1"/>
  <c r="AB11" i="1"/>
  <c r="T11" i="1"/>
  <c r="U11" i="1" s="1"/>
  <c r="Y11" i="1"/>
  <c r="Z11" i="1" s="1"/>
  <c r="AA8" i="1"/>
  <c r="U8" i="1"/>
  <c r="U3" i="1"/>
  <c r="AA3" i="1"/>
  <c r="U10" i="1"/>
  <c r="AA6" i="1" l="1"/>
  <c r="U6" i="1"/>
  <c r="AA5" i="1"/>
  <c r="U5" i="1"/>
  <c r="AA11" i="1"/>
  <c r="E9" i="1"/>
  <c r="S9" i="1"/>
  <c r="K9" i="1"/>
  <c r="L9" i="1"/>
  <c r="X9" i="1"/>
  <c r="M9" i="1" l="1"/>
  <c r="V9" i="1" l="1"/>
  <c r="AC9" i="1" s="1"/>
  <c r="R9" i="1"/>
  <c r="AD9" i="1" l="1"/>
  <c r="E7" i="1"/>
  <c r="K7" i="1" l="1"/>
  <c r="L7" i="1"/>
  <c r="X7" i="1"/>
  <c r="M7" i="1" l="1"/>
  <c r="S7" i="1"/>
  <c r="V7" i="1" l="1"/>
  <c r="AD7" i="1" s="1"/>
  <c r="R7" i="1"/>
  <c r="AC7" i="1" l="1"/>
  <c r="P9" i="1" l="1"/>
  <c r="Q9" i="1" s="1"/>
  <c r="W9" i="1"/>
  <c r="AE9" i="1" s="1"/>
  <c r="Y9" i="1" l="1"/>
  <c r="Z9" i="1" s="1"/>
  <c r="AB9" i="1"/>
  <c r="T9" i="1"/>
  <c r="U9" i="1" s="1"/>
  <c r="V30" i="1"/>
  <c r="AA9" i="1" l="1"/>
  <c r="R30" i="1" l="1"/>
  <c r="P7" i="1" l="1"/>
  <c r="Q7" i="1" s="1"/>
  <c r="W7" i="1"/>
  <c r="Y7" i="1" l="1"/>
  <c r="Z7" i="1" s="1"/>
  <c r="AB7" i="1"/>
  <c r="AE7" i="1"/>
  <c r="T7" i="1"/>
  <c r="U7" i="1" s="1"/>
  <c r="X30" i="1" l="1"/>
  <c r="AA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interval="10" name="Requête - Table 0 (2)" description="Connexion à la requête « Table 0 (2) » dans le classeur." type="5" refreshedVersion="6" background="1" refreshOnLoad="1" saveData="1">
    <dbPr connection="Provider=Microsoft.Mashup.OleDb.1;Data Source=$Workbook$;Location=Table 0 (2);Extended Properties=&quot;&quot;" command="SELECT * FROM [Table 0 (2)]"/>
  </connection>
</connections>
</file>

<file path=xl/sharedStrings.xml><?xml version="1.0" encoding="utf-8"?>
<sst xmlns="http://schemas.openxmlformats.org/spreadsheetml/2006/main" count="636" uniqueCount="485">
  <si>
    <t>REF</t>
  </si>
  <si>
    <t>WWW</t>
  </si>
  <si>
    <t>Total</t>
  </si>
  <si>
    <t>Qte en portefeuille</t>
  </si>
  <si>
    <t>COURTAGE</t>
  </si>
  <si>
    <t>Qt Achat</t>
  </si>
  <si>
    <t>Qt Vente</t>
  </si>
  <si>
    <t>industrie</t>
  </si>
  <si>
    <t>EUR</t>
  </si>
  <si>
    <t>USD</t>
  </si>
  <si>
    <t>JPY</t>
  </si>
  <si>
    <t>GBP</t>
  </si>
  <si>
    <t>CHF</t>
  </si>
  <si>
    <t>CAD</t>
  </si>
  <si>
    <t>Cout Moyen €</t>
  </si>
  <si>
    <t>Valeur Achat €</t>
  </si>
  <si>
    <t>secteur</t>
  </si>
  <si>
    <t>TITRES</t>
  </si>
  <si>
    <t>Valeur Vente €</t>
  </si>
  <si>
    <t>Perf CC</t>
  </si>
  <si>
    <t>valeurs totale à la vente CC</t>
  </si>
  <si>
    <t>plus value globale CC</t>
  </si>
  <si>
    <t>plus value par action CC</t>
  </si>
  <si>
    <t>ACTION</t>
  </si>
  <si>
    <t>valeur en stock HC €</t>
  </si>
  <si>
    <t>Libellé</t>
  </si>
  <si>
    <t>AUD</t>
  </si>
  <si>
    <t>NZD</t>
  </si>
  <si>
    <t>Cout Moyen $</t>
  </si>
  <si>
    <t>pays</t>
  </si>
  <si>
    <t>produit</t>
  </si>
  <si>
    <t>dividendes</t>
  </si>
  <si>
    <t>global</t>
  </si>
  <si>
    <t>perf global</t>
  </si>
  <si>
    <t>cm avec div</t>
  </si>
  <si>
    <t>total-plusvalue</t>
  </si>
  <si>
    <t>total-depuis-origine</t>
  </si>
  <si>
    <t>DEVISE</t>
  </si>
  <si>
    <t>perf-origine A BOSSER</t>
  </si>
  <si>
    <t>convert USD</t>
  </si>
  <si>
    <t>Cotation EUR</t>
  </si>
  <si>
    <t>investi depuis origine</t>
  </si>
  <si>
    <t>AIR LIQUIDE</t>
  </si>
  <si>
    <t>FR0000120073</t>
  </si>
  <si>
    <t>https://www.boursorama.com/cours/1rPAI/</t>
  </si>
  <si>
    <t>France</t>
  </si>
  <si>
    <t>Produits Chimiques</t>
  </si>
  <si>
    <t>Matériaux de base</t>
  </si>
  <si>
    <t>EssilorLuxottica</t>
  </si>
  <si>
    <t>FR0000121667</t>
  </si>
  <si>
    <t>https://www.boursorama.com/cours/1rPEL/</t>
  </si>
  <si>
    <t>Équipement et fournitures de soins de santé</t>
  </si>
  <si>
    <t>santé</t>
  </si>
  <si>
    <t>EURONEXT</t>
  </si>
  <si>
    <t>HERMES</t>
  </si>
  <si>
    <t>SAFRAN</t>
  </si>
  <si>
    <t>NL0006294274</t>
  </si>
  <si>
    <t>https://www.boursorama.com/cours/1rPENX/</t>
  </si>
  <si>
    <t>Finance</t>
  </si>
  <si>
    <t>FR0000052292</t>
  </si>
  <si>
    <t>https://www.boursorama.com/cours/1rPRMS/</t>
  </si>
  <si>
    <t>FR0000073272</t>
  </si>
  <si>
    <t>https://www.boursorama.com/cours/1rPSAF/</t>
  </si>
  <si>
    <t>Aérospatiale et défense</t>
  </si>
  <si>
    <t>Industriels</t>
  </si>
  <si>
    <t>KERING</t>
  </si>
  <si>
    <t>LOREAL</t>
  </si>
  <si>
    <t>LVMH</t>
  </si>
  <si>
    <t>PERNOD RICARD</t>
  </si>
  <si>
    <t>SCHNEIDER ELECTRIC</t>
  </si>
  <si>
    <t>Banque d`investissement et services d`investissement</t>
  </si>
  <si>
    <t>Textile et habillement</t>
  </si>
  <si>
    <t>Consommation cyclique</t>
  </si>
  <si>
    <t>FR0000120693</t>
  </si>
  <si>
    <t>https://www.boursorama.com/cours/1rPRI/</t>
  </si>
  <si>
    <t>boissons</t>
  </si>
  <si>
    <t>Consommation non cyclique</t>
  </si>
  <si>
    <t>FR0000121972</t>
  </si>
  <si>
    <t>https://www.boursorama.com/cours/1rPSU/</t>
  </si>
  <si>
    <t>Machines, outils, véhicules lourds, trains et navires</t>
  </si>
  <si>
    <t>FR0000121485</t>
  </si>
  <si>
    <t>https://www.boursorama.com/cours/1rPKER/</t>
  </si>
  <si>
    <t>Détaillants spécialisés</t>
  </si>
  <si>
    <t>FR0000120321</t>
  </si>
  <si>
    <t>Produits et services personnels et ménagers</t>
  </si>
  <si>
    <t>https://www.boursorama.com/cours/1rPOR/</t>
  </si>
  <si>
    <t>FR0000121014</t>
  </si>
  <si>
    <t>https://www.boursorama.com/cours/1rPMC/</t>
  </si>
  <si>
    <t>valorisation</t>
  </si>
  <si>
    <t>div2k24</t>
  </si>
  <si>
    <t>div2k23</t>
  </si>
  <si>
    <t>rend2k24</t>
  </si>
  <si>
    <t>bpa2k23</t>
  </si>
  <si>
    <t>bpa2k24</t>
  </si>
  <si>
    <t>per2k23</t>
  </si>
  <si>
    <t>per2k24</t>
  </si>
  <si>
    <t>rend2k23</t>
  </si>
  <si>
    <t>div2k25</t>
  </si>
  <si>
    <t>rend2k25</t>
  </si>
  <si>
    <t>bpa2k25</t>
  </si>
  <si>
    <t>per2k25</t>
  </si>
  <si>
    <t>VINCI</t>
  </si>
  <si>
    <t>MICHELIN</t>
  </si>
  <si>
    <t>HITECHPROS</t>
  </si>
  <si>
    <t>BOUYGUES</t>
  </si>
  <si>
    <t>FLEURY MICHON</t>
  </si>
  <si>
    <t>BIC</t>
  </si>
  <si>
    <t>VERALLIA</t>
  </si>
  <si>
    <t>KLEPIERRE</t>
  </si>
  <si>
    <t>AMUNDI</t>
  </si>
  <si>
    <t>AXA</t>
  </si>
  <si>
    <t>TELEPERFORMANCE</t>
  </si>
  <si>
    <t>MERSEN SA</t>
  </si>
  <si>
    <t>REXEL</t>
  </si>
  <si>
    <t>SOCIETE GENERALE</t>
  </si>
  <si>
    <t>FORVIA</t>
  </si>
  <si>
    <t>HERIGE</t>
  </si>
  <si>
    <t>STEF SA</t>
  </si>
  <si>
    <t>FR0000125486</t>
  </si>
  <si>
    <t>Construction et Ingénierie</t>
  </si>
  <si>
    <t>FR001400AJ45</t>
  </si>
  <si>
    <t>Automobiles et pièces automobiles</t>
  </si>
  <si>
    <t>FR0010396309</t>
  </si>
  <si>
    <t>Logiciels et services informatiques</t>
  </si>
  <si>
    <t>Technologie</t>
  </si>
  <si>
    <t>FR0000120503</t>
  </si>
  <si>
    <t>FR0000074759</t>
  </si>
  <si>
    <t>Alimentation et tabac</t>
  </si>
  <si>
    <t>FR0000120966</t>
  </si>
  <si>
    <t>Services professionnels et commerciaux</t>
  </si>
  <si>
    <t>FR0013447729</t>
  </si>
  <si>
    <t>Récipients et emballage</t>
  </si>
  <si>
    <t>FR0000121964</t>
  </si>
  <si>
    <t>FPI résidentiels et commerciaux</t>
  </si>
  <si>
    <t>Immobilier</t>
  </si>
  <si>
    <t>FR0004125920</t>
  </si>
  <si>
    <t>FR0000120628</t>
  </si>
  <si>
    <t>Assurances</t>
  </si>
  <si>
    <t>FR0011027135</t>
  </si>
  <si>
    <t>Opérations immobilières</t>
  </si>
  <si>
    <t>FR0000051807</t>
  </si>
  <si>
    <t>FR0000039620</t>
  </si>
  <si>
    <t>Conglomérats de biens de consommation</t>
  </si>
  <si>
    <t>FR0010451203</t>
  </si>
  <si>
    <t>FR0000130809</t>
  </si>
  <si>
    <t>Services bancaires</t>
  </si>
  <si>
    <t>FR0000121147</t>
  </si>
  <si>
    <t>FR0000066540</t>
  </si>
  <si>
    <t>FR0000064271</t>
  </si>
  <si>
    <t>Services de fret et de logistique</t>
  </si>
  <si>
    <t>https://www.boursorama.com/cours/1rPDG/</t>
  </si>
  <si>
    <t>https://www.boursorama.com/cours/1rPML/</t>
  </si>
  <si>
    <t>https://www.boursorama.com/cours/1rPALHIT/</t>
  </si>
  <si>
    <t>https://www.boursorama.com/cours/1rPEN/</t>
  </si>
  <si>
    <t>https://www.boursorama.com/cours/1rPALFLE/</t>
  </si>
  <si>
    <t>https://www.boursorama.com/cours/1rPBB/</t>
  </si>
  <si>
    <t>https://www.boursorama.com/cours/1rPVRLA/</t>
  </si>
  <si>
    <t>https://www.boursorama.com/cours/1rPLI/</t>
  </si>
  <si>
    <t>https://www.boursorama.com/cours/1rPAMUN/</t>
  </si>
  <si>
    <t>https://www.boursorama.com/cours/1rPCS/</t>
  </si>
  <si>
    <t>PATRIMOINE</t>
  </si>
  <si>
    <t>https://www.boursorama.com/cours/1rPPAT/</t>
  </si>
  <si>
    <t>https://www.boursorama.com/cours/1rPTEP/</t>
  </si>
  <si>
    <t>https://www.boursorama.com/cours/1rPMRN/</t>
  </si>
  <si>
    <t>https://www.boursorama.com/cours/1rPRXL/</t>
  </si>
  <si>
    <t>https://www.boursorama.com/cours/1rPGLE/</t>
  </si>
  <si>
    <t>https://www.boursorama.com/cours/1rPFRVIA/</t>
  </si>
  <si>
    <t>https://www.boursorama.com/cours/1rPALHRG/</t>
  </si>
  <si>
    <t>https://www.boursorama.com/cours/1rPSTF/</t>
  </si>
  <si>
    <t>3</t>
  </si>
  <si>
    <t>valoristaionEUR</t>
  </si>
  <si>
    <t>5.1</t>
  </si>
  <si>
    <t xml:space="preserve">Carnet d'ordres </t>
  </si>
  <si>
    <t>ordres</t>
  </si>
  <si>
    <t>quantité qté</t>
  </si>
  <si>
    <t>achat</t>
  </si>
  <si>
    <t>vente</t>
  </si>
  <si>
    <t>total</t>
  </si>
  <si>
    <t xml:space="preserve">Comparer avec un indice Comparer avec un titre du secteur Comparer avec une autre valeur Paramètres Historique 5 jours </t>
  </si>
  <si>
    <t>18 September18-09</t>
  </si>
  <si>
    <t>19 September19-09</t>
  </si>
  <si>
    <t>20 September20-09</t>
  </si>
  <si>
    <t>23 September23-09</t>
  </si>
  <si>
    <t>Der.</t>
  </si>
  <si>
    <t>Var.</t>
  </si>
  <si>
    <t>0,00%</t>
  </si>
  <si>
    <t>Ouv.</t>
  </si>
  <si>
    <t>+Haut</t>
  </si>
  <si>
    <t>+Bas</t>
  </si>
  <si>
    <t>Vol.</t>
  </si>
  <si>
    <t>Estim. 2024</t>
  </si>
  <si>
    <t>Estim. 2025</t>
  </si>
  <si>
    <t>Dividende</t>
  </si>
  <si>
    <t>par action</t>
  </si>
  <si>
    <t>Rendement</t>
  </si>
  <si>
    <t>Bénéfice net par action</t>
  </si>
  <si>
    <t>PER</t>
  </si>
  <si>
    <t xml:space="preserve">évènements à venir Derniers communiqués Dernières transactions </t>
  </si>
  <si>
    <t>heures</t>
  </si>
  <si>
    <t>cours</t>
  </si>
  <si>
    <t>quantité</t>
  </si>
  <si>
    <t xml:space="preserve">Dernières actualités La valeur vue par l'IA Données historiques </t>
  </si>
  <si>
    <t>période</t>
  </si>
  <si>
    <t>var.</t>
  </si>
  <si>
    <t>+ haut</t>
  </si>
  <si>
    <t>+ bas</t>
  </si>
  <si>
    <r>
      <t>1</t>
    </r>
    <r>
      <rPr>
        <b/>
        <vertAlign val="superscript"/>
        <sz val="10"/>
        <color theme="1"/>
        <rFont val="Calibri"/>
        <family val="2"/>
        <scheme val="minor"/>
      </rPr>
      <t>er</t>
    </r>
    <r>
      <rPr>
        <b/>
        <sz val="10"/>
        <color theme="1"/>
        <rFont val="Calibri"/>
        <family val="2"/>
        <scheme val="minor"/>
      </rPr>
      <t xml:space="preserve"> Janvier</t>
    </r>
  </si>
  <si>
    <t>1 semaine</t>
  </si>
  <si>
    <t>1 mois</t>
  </si>
  <si>
    <t>3 mois</t>
  </si>
  <si>
    <t>6 mois</t>
  </si>
  <si>
    <t>1 an</t>
  </si>
  <si>
    <t>3 ans</t>
  </si>
  <si>
    <t>5 ans</t>
  </si>
  <si>
    <t>10 ans</t>
  </si>
  <si>
    <t>MM20</t>
  </si>
  <si>
    <t>MM50</t>
  </si>
  <si>
    <t>MM100</t>
  </si>
  <si>
    <t>RSI14</t>
  </si>
  <si>
    <t>102,000</t>
  </si>
  <si>
    <t>100,900</t>
  </si>
  <si>
    <t>101,000</t>
  </si>
  <si>
    <t>98,700</t>
  </si>
  <si>
    <t>101,600</t>
  </si>
  <si>
    <t>100,10</t>
  </si>
  <si>
    <t>99,70</t>
  </si>
  <si>
    <t>100,30</t>
  </si>
  <si>
    <t>-0,40%</t>
  </si>
  <si>
    <t>0,40%</t>
  </si>
  <si>
    <t>0,20%</t>
  </si>
  <si>
    <t>100,50</t>
  </si>
  <si>
    <t>100,20</t>
  </si>
  <si>
    <t>101,60</t>
  </si>
  <si>
    <t>101,20</t>
  </si>
  <si>
    <t>99,15</t>
  </si>
  <si>
    <t>98,60</t>
  </si>
  <si>
    <t>99,65</t>
  </si>
  <si>
    <t>2,48 EUR</t>
  </si>
  <si>
    <t>2,74 EUR</t>
  </si>
  <si>
    <t>3,05 EUR</t>
  </si>
  <si>
    <t>5,51 EUR</t>
  </si>
  <si>
    <t>6,36 EUR</t>
  </si>
  <si>
    <t>6,76 EUR</t>
  </si>
  <si>
    <t>76,35</t>
  </si>
  <si>
    <t>94,25</t>
  </si>
  <si>
    <t>85,90</t>
  </si>
  <si>
    <t>82,85</t>
  </si>
  <si>
    <t>63,75</t>
  </si>
  <si>
    <t>102,70</t>
  </si>
  <si>
    <t>60,60</t>
  </si>
  <si>
    <t>105,50</t>
  </si>
  <si>
    <t>48,51</t>
  </si>
  <si>
    <t>16,60</t>
  </si>
  <si>
    <t>73,48</t>
  </si>
  <si>
    <t xml:space="preserve">Dernières analyses Derniers messages sur le forum EURONEXT Mes listes À découvrir* Actions les plus recherchées * Messages les plus recommandés Pages les plus populaires L'offre BoursoBank </t>
  </si>
  <si>
    <t>97,000</t>
  </si>
  <si>
    <t>96,500</t>
  </si>
  <si>
    <t>96,300</t>
  </si>
  <si>
    <t>96,000</t>
  </si>
  <si>
    <t>95,750</t>
  </si>
  <si>
    <t>101,700</t>
  </si>
  <si>
    <t>95,500</t>
  </si>
  <si>
    <t>101,900</t>
  </si>
  <si>
    <t>95,100</t>
  </si>
  <si>
    <t>95,050</t>
  </si>
  <si>
    <t>102,100</t>
  </si>
  <si>
    <t>95,000</t>
  </si>
  <si>
    <t>102,500</t>
  </si>
  <si>
    <t>94,600</t>
  </si>
  <si>
    <t>102,600</t>
  </si>
  <si>
    <t>24 September24-09</t>
  </si>
  <si>
    <t>98,35</t>
  </si>
  <si>
    <t>-1,94%</t>
  </si>
  <si>
    <t>100,70</t>
  </si>
  <si>
    <t>97,30</t>
  </si>
  <si>
    <t xml:space="preserve">Risque ESG Consensus des analystes au 24/09/24* Évolution des prévisions au 24/09/24 </t>
  </si>
  <si>
    <t>98,350</t>
  </si>
  <si>
    <t>95,43</t>
  </si>
  <si>
    <t>92,61</t>
  </si>
  <si>
    <t xml:space="preserve">9,67 </t>
  </si>
  <si>
    <t xml:space="preserve">15,68 </t>
  </si>
  <si>
    <t xml:space="preserve">14,76 </t>
  </si>
  <si>
    <t xml:space="preserve">15,77 </t>
  </si>
  <si>
    <t xml:space="preserve">16,21 </t>
  </si>
  <si>
    <t xml:space="preserve">16,22 </t>
  </si>
  <si>
    <t xml:space="preserve">13,34 </t>
  </si>
  <si>
    <t xml:space="preserve">19,93 </t>
  </si>
  <si>
    <t xml:space="preserve">18,10 </t>
  </si>
  <si>
    <t xml:space="preserve">27,38 </t>
  </si>
  <si>
    <t xml:space="preserve">24,05 </t>
  </si>
  <si>
    <t xml:space="preserve">26,78 </t>
  </si>
  <si>
    <t xml:space="preserve">24,09 </t>
  </si>
  <si>
    <t xml:space="preserve">28,57 </t>
  </si>
  <si>
    <t xml:space="preserve">23,69 </t>
  </si>
  <si>
    <t xml:space="preserve">29,47 </t>
  </si>
  <si>
    <t xml:space="preserve">26,02 </t>
  </si>
  <si>
    <t xml:space="preserve">28,67 </t>
  </si>
  <si>
    <t xml:space="preserve">26,35 </t>
  </si>
  <si>
    <t xml:space="preserve">43,72 </t>
  </si>
  <si>
    <t xml:space="preserve">39,24 </t>
  </si>
  <si>
    <t xml:space="preserve">13,03 </t>
  </si>
  <si>
    <t xml:space="preserve">12,01 </t>
  </si>
  <si>
    <t xml:space="preserve">10,63 </t>
  </si>
  <si>
    <t xml:space="preserve">9,64 </t>
  </si>
  <si>
    <t xml:space="preserve">11,40 </t>
  </si>
  <si>
    <t xml:space="preserve">9,56 </t>
  </si>
  <si>
    <t xml:space="preserve">3,54 </t>
  </si>
  <si>
    <t xml:space="preserve">8,45 </t>
  </si>
  <si>
    <t xml:space="preserve">10,87 </t>
  </si>
  <si>
    <t xml:space="preserve">10,13 </t>
  </si>
  <si>
    <t xml:space="preserve">9,77 </t>
  </si>
  <si>
    <t xml:space="preserve">8,05 </t>
  </si>
  <si>
    <t xml:space="preserve">11,55 </t>
  </si>
  <si>
    <t xml:space="preserve">11,26 </t>
  </si>
  <si>
    <t xml:space="preserve">10,32 </t>
  </si>
  <si>
    <t xml:space="preserve">10,09 </t>
  </si>
  <si>
    <t xml:space="preserve">9,42 </t>
  </si>
  <si>
    <t xml:space="preserve">6,61 </t>
  </si>
  <si>
    <t xml:space="preserve">6,10 </t>
  </si>
  <si>
    <t xml:space="preserve">8,21 </t>
  </si>
  <si>
    <t xml:space="preserve">7,23 </t>
  </si>
  <si>
    <t xml:space="preserve">9,49 </t>
  </si>
  <si>
    <t xml:space="preserve">5,65 </t>
  </si>
  <si>
    <t xml:space="preserve">4,43 </t>
  </si>
  <si>
    <t xml:space="preserve">3,75 </t>
  </si>
  <si>
    <t xml:space="preserve">2,49 </t>
  </si>
  <si>
    <t xml:space="preserve">10,38 </t>
  </si>
  <si>
    <t xml:space="preserve">9,34 </t>
  </si>
  <si>
    <t>2,49%</t>
  </si>
  <si>
    <t>2,75%</t>
  </si>
  <si>
    <t>3,06%</t>
  </si>
  <si>
    <t>18,09</t>
  </si>
  <si>
    <t>15,68</t>
  </si>
  <si>
    <t>14,76</t>
  </si>
  <si>
    <t>+24,86%</t>
  </si>
  <si>
    <t>-1,90%</t>
  </si>
  <si>
    <t>+3,26%</t>
  </si>
  <si>
    <t>+8,99%</t>
  </si>
  <si>
    <t>+12,16%</t>
  </si>
  <si>
    <t>+52,48%</t>
  </si>
  <si>
    <t>-2,29%</t>
  </si>
  <si>
    <t>+48,62%</t>
  </si>
  <si>
    <t>+434,60%</t>
  </si>
  <si>
    <t>98,90</t>
  </si>
  <si>
    <t>Colonne1</t>
  </si>
  <si>
    <t xml:space="preserve">4,70 EUR </t>
  </si>
  <si>
    <t xml:space="preserve">6,95 EUR </t>
  </si>
  <si>
    <t xml:space="preserve">3,05 EUR </t>
  </si>
  <si>
    <t xml:space="preserve">2,48 EUR </t>
  </si>
  <si>
    <t xml:space="preserve">6,60 EUR </t>
  </si>
  <si>
    <t xml:space="preserve">3,50 EUR </t>
  </si>
  <si>
    <t xml:space="preserve">3,72% </t>
  </si>
  <si>
    <t xml:space="preserve">2,66% </t>
  </si>
  <si>
    <t xml:space="preserve">2,23% </t>
  </si>
  <si>
    <t xml:space="preserve">5,02 USD </t>
  </si>
  <si>
    <t xml:space="preserve">3,59 USD </t>
  </si>
  <si>
    <t xml:space="preserve">3,00 USD </t>
  </si>
  <si>
    <t xml:space="preserve">2,74 EUR </t>
  </si>
  <si>
    <t xml:space="preserve">2,47% </t>
  </si>
  <si>
    <t xml:space="preserve">2,73% </t>
  </si>
  <si>
    <t xml:space="preserve">3,04% </t>
  </si>
  <si>
    <t xml:space="preserve">3,65% </t>
  </si>
  <si>
    <t xml:space="preserve">3,67% </t>
  </si>
  <si>
    <t xml:space="preserve">14,00 EUR </t>
  </si>
  <si>
    <t xml:space="preserve">8,00 EUR </t>
  </si>
  <si>
    <t xml:space="preserve">9,00 EUR </t>
  </si>
  <si>
    <t xml:space="preserve">6,22% </t>
  </si>
  <si>
    <t xml:space="preserve">3,55% </t>
  </si>
  <si>
    <t xml:space="preserve">4,00% </t>
  </si>
  <si>
    <t xml:space="preserve">13,00 EUR </t>
  </si>
  <si>
    <t xml:space="preserve">13,69 EUR </t>
  </si>
  <si>
    <t xml:space="preserve">14,71 EUR </t>
  </si>
  <si>
    <t xml:space="preserve">2,20% </t>
  </si>
  <si>
    <t xml:space="preserve">2,31% </t>
  </si>
  <si>
    <t xml:space="preserve">2,49% </t>
  </si>
  <si>
    <t xml:space="preserve">3,78 EUR </t>
  </si>
  <si>
    <t xml:space="preserve">4,13 EUR </t>
  </si>
  <si>
    <t xml:space="preserve">1,49% </t>
  </si>
  <si>
    <t xml:space="preserve">1,61% </t>
  </si>
  <si>
    <t xml:space="preserve">1,76% </t>
  </si>
  <si>
    <t xml:space="preserve">2,91 EUR </t>
  </si>
  <si>
    <t xml:space="preserve">3,23 EUR </t>
  </si>
  <si>
    <t xml:space="preserve">1,73% </t>
  </si>
  <si>
    <t xml:space="preserve">1,92% </t>
  </si>
  <si>
    <t xml:space="preserve">2,09% </t>
  </si>
  <si>
    <t xml:space="preserve">2,20 EUR </t>
  </si>
  <si>
    <t xml:space="preserve">2,85 EUR </t>
  </si>
  <si>
    <t xml:space="preserve">3,48 EUR </t>
  </si>
  <si>
    <t xml:space="preserve">1,05% </t>
  </si>
  <si>
    <t xml:space="preserve">1,36% </t>
  </si>
  <si>
    <t xml:space="preserve">1,66% </t>
  </si>
  <si>
    <t xml:space="preserve">3,95 EUR </t>
  </si>
  <si>
    <t xml:space="preserve">4,07 EUR </t>
  </si>
  <si>
    <t xml:space="preserve">4,64 EUR </t>
  </si>
  <si>
    <t xml:space="preserve">1,94% </t>
  </si>
  <si>
    <t xml:space="preserve">2,00% </t>
  </si>
  <si>
    <t xml:space="preserve">2,28% </t>
  </si>
  <si>
    <t xml:space="preserve">7,51 EUR </t>
  </si>
  <si>
    <t xml:space="preserve">1,78% </t>
  </si>
  <si>
    <t xml:space="preserve">1,88% </t>
  </si>
  <si>
    <t xml:space="preserve">2,03% </t>
  </si>
  <si>
    <t xml:space="preserve">25,00 EUR </t>
  </si>
  <si>
    <t xml:space="preserve">17,50 EUR </t>
  </si>
  <si>
    <t xml:space="preserve">19,39 EUR </t>
  </si>
  <si>
    <t xml:space="preserve">1,30% </t>
  </si>
  <si>
    <t xml:space="preserve">0,91% </t>
  </si>
  <si>
    <t xml:space="preserve">1,00% </t>
  </si>
  <si>
    <t xml:space="preserve">4,50 EUR </t>
  </si>
  <si>
    <t xml:space="preserve">4,74 EUR </t>
  </si>
  <si>
    <t xml:space="preserve">5,15 EUR </t>
  </si>
  <si>
    <t xml:space="preserve">4,10% </t>
  </si>
  <si>
    <t xml:space="preserve">4,31% </t>
  </si>
  <si>
    <t xml:space="preserve">4,69% </t>
  </si>
  <si>
    <t xml:space="preserve">1,35 EUR </t>
  </si>
  <si>
    <t xml:space="preserve">1,60 EUR </t>
  </si>
  <si>
    <t xml:space="preserve">1,71 EUR </t>
  </si>
  <si>
    <t xml:space="preserve">3,69% </t>
  </si>
  <si>
    <t xml:space="preserve">4,38% </t>
  </si>
  <si>
    <t xml:space="preserve">4,67% </t>
  </si>
  <si>
    <t xml:space="preserve">1,90 EUR </t>
  </si>
  <si>
    <t xml:space="preserve">2,00 EUR </t>
  </si>
  <si>
    <t xml:space="preserve">5,94% </t>
  </si>
  <si>
    <t xml:space="preserve">6,25% </t>
  </si>
  <si>
    <t xml:space="preserve">1,10 EUR </t>
  </si>
  <si>
    <t xml:space="preserve">1,25 EUR </t>
  </si>
  <si>
    <t xml:space="preserve">1,28 EUR </t>
  </si>
  <si>
    <t xml:space="preserve">4,21% </t>
  </si>
  <si>
    <t xml:space="preserve">4,79% </t>
  </si>
  <si>
    <t xml:space="preserve">4,89% </t>
  </si>
  <si>
    <t xml:space="preserve">3,53 EUR </t>
  </si>
  <si>
    <t xml:space="preserve">2,83 EUR </t>
  </si>
  <si>
    <t xml:space="preserve">3,00 EUR </t>
  </si>
  <si>
    <t xml:space="preserve">5,85% </t>
  </si>
  <si>
    <t xml:space="preserve">4,98% </t>
  </si>
  <si>
    <t xml:space="preserve">2,04 EUR </t>
  </si>
  <si>
    <t xml:space="preserve">1,62 EUR </t>
  </si>
  <si>
    <t xml:space="preserve">1,80 EUR </t>
  </si>
  <si>
    <t xml:space="preserve">7,63% </t>
  </si>
  <si>
    <t xml:space="preserve">6,08% </t>
  </si>
  <si>
    <t xml:space="preserve">6,75% </t>
  </si>
  <si>
    <t xml:space="preserve">1,85 EUR </t>
  </si>
  <si>
    <t xml:space="preserve">1,89 EUR </t>
  </si>
  <si>
    <t xml:space="preserve">6,15% </t>
  </si>
  <si>
    <t xml:space="preserve">6,32% </t>
  </si>
  <si>
    <t xml:space="preserve">6,44% </t>
  </si>
  <si>
    <t xml:space="preserve">4,10 EUR </t>
  </si>
  <si>
    <t xml:space="preserve">4,18 EUR </t>
  </si>
  <si>
    <t xml:space="preserve">4,53 EUR </t>
  </si>
  <si>
    <t xml:space="preserve">6,01% </t>
  </si>
  <si>
    <t xml:space="preserve">6,12% </t>
  </si>
  <si>
    <t xml:space="preserve">6,63% </t>
  </si>
  <si>
    <t xml:space="preserve">1,98 EUR </t>
  </si>
  <si>
    <t xml:space="preserve">2,15 EUR </t>
  </si>
  <si>
    <t xml:space="preserve">2,31 EUR </t>
  </si>
  <si>
    <t xml:space="preserve">5,46% </t>
  </si>
  <si>
    <t xml:space="preserve">5,92% </t>
  </si>
  <si>
    <t xml:space="preserve">6,37% </t>
  </si>
  <si>
    <t xml:space="preserve">3,85 EUR </t>
  </si>
  <si>
    <t xml:space="preserve">4,25 EUR </t>
  </si>
  <si>
    <t xml:space="preserve">4,71 EUR </t>
  </si>
  <si>
    <t xml:space="preserve">3,91% </t>
  </si>
  <si>
    <t xml:space="preserve">4,32% </t>
  </si>
  <si>
    <t xml:space="preserve">1,32 EUR </t>
  </si>
  <si>
    <t xml:space="preserve">4,55% </t>
  </si>
  <si>
    <t xml:space="preserve">4,80% </t>
  </si>
  <si>
    <t xml:space="preserve">1,20 EUR </t>
  </si>
  <si>
    <t xml:space="preserve">1,24 EUR </t>
  </si>
  <si>
    <t xml:space="preserve">4,54% </t>
  </si>
  <si>
    <t xml:space="preserve">0,90 EUR </t>
  </si>
  <si>
    <t xml:space="preserve">0,94 EUR </t>
  </si>
  <si>
    <t xml:space="preserve">1,27 EUR </t>
  </si>
  <si>
    <t xml:space="preserve">3,98% </t>
  </si>
  <si>
    <t xml:space="preserve">4,14% </t>
  </si>
  <si>
    <t xml:space="preserve">5,63% </t>
  </si>
  <si>
    <t xml:space="preserve">0,50 EUR </t>
  </si>
  <si>
    <t xml:space="preserve">0,80 EUR </t>
  </si>
  <si>
    <t xml:space="preserve">6,28% </t>
  </si>
  <si>
    <t xml:space="preserve">10,05% </t>
  </si>
  <si>
    <t xml:space="preserve">5,10 EUR </t>
  </si>
  <si>
    <t xml:space="preserve">4,54 EUR </t>
  </si>
  <si>
    <t xml:space="preserve">4,92 EUR </t>
  </si>
  <si>
    <t xml:space="preserve">3,58% </t>
  </si>
  <si>
    <t xml:space="preserve">3,19% </t>
  </si>
  <si>
    <t xml:space="preserve">3,46% </t>
  </si>
  <si>
    <t>estime DIV N+1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</si>
</sst>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8" formatCode="#,##0.00\ &quot;€&quot;;[Red]\-#,##0.00\ &quot;€&quot;"/>
    <numFmt numFmtId="164" formatCode="#,##0.00\ &quot;€&quot;"/>
    <numFmt numFmtId="165" formatCode="#,##0.000\ _€;[Red]\-#,##0.000\ _€"/>
    <numFmt numFmtId="166" formatCode="#,##0.000\ &quot;€&quot;"/>
    <numFmt numFmtId="167" formatCode="#,##0.00\ _€"/>
    <numFmt numFmtId="168" formatCode="#,##0.0000\ _€"/>
    <numFmt numFmtId="169" formatCode="0.000"/>
    <numFmt numFmtId="170" formatCode="#,##0\ &quot;€&quot;"/>
    <numFmt numFmtId="171" formatCode="0.00%\ ;[Red]\-0.00%"/>
    <numFmt numFmtId="172" formatCode="0.00,%\ ;[Red]\-0.00%"/>
    <numFmt numFmtId="173" formatCode="0.00;[Red]0.00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232526"/>
      <name val="Segoe UI"/>
      <family val="2"/>
    </font>
    <font>
      <b/>
      <sz val="12"/>
      <color rgb="FF232526"/>
      <name val="Segoe UI"/>
      <family val="2"/>
    </font>
    <font>
      <sz val="7"/>
      <color rgb="FF232526"/>
      <name val="Segoe UI"/>
      <family val="2"/>
    </font>
    <font>
      <sz val="8"/>
      <color rgb="FF232526"/>
      <name val="Segoe UI"/>
      <family val="2"/>
    </font>
    <font>
      <b/>
      <sz val="13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medium">
        <color theme="8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9" fontId="9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1"/>
    <xf numFmtId="164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 vertical="center"/>
    </xf>
    <xf numFmtId="9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168" fontId="0" fillId="0" borderId="0" xfId="0" applyNumberFormat="1"/>
    <xf numFmtId="167" fontId="6" fillId="2" borderId="0" xfId="0" applyNumberFormat="1" applyFont="1" applyFill="1" applyAlignment="1">
      <alignment horizontal="center" vertical="center"/>
    </xf>
    <xf numFmtId="0" fontId="6" fillId="2" borderId="0" xfId="0" applyFont="1" applyFill="1"/>
    <xf numFmtId="164" fontId="6" fillId="2" borderId="0" xfId="0" applyNumberFormat="1" applyFont="1" applyFill="1"/>
    <xf numFmtId="165" fontId="2" fillId="0" borderId="0" xfId="0" applyNumberFormat="1" applyFont="1"/>
    <xf numFmtId="10" fontId="5" fillId="0" borderId="0" xfId="0" applyNumberFormat="1" applyFont="1"/>
    <xf numFmtId="164" fontId="2" fillId="0" borderId="3" xfId="0" applyNumberFormat="1" applyFont="1" applyBorder="1"/>
    <xf numFmtId="14" fontId="0" fillId="0" borderId="0" xfId="0" applyNumberFormat="1"/>
    <xf numFmtId="169" fontId="0" fillId="0" borderId="0" xfId="0" applyNumberFormat="1"/>
    <xf numFmtId="8" fontId="0" fillId="0" borderId="0" xfId="0" applyNumberFormat="1"/>
    <xf numFmtId="166" fontId="6" fillId="2" borderId="1" xfId="0" applyNumberFormat="1" applyFont="1" applyFill="1" applyBorder="1"/>
    <xf numFmtId="169" fontId="6" fillId="2" borderId="0" xfId="0" applyNumberFormat="1" applyFont="1" applyFill="1"/>
    <xf numFmtId="169" fontId="6" fillId="2" borderId="1" xfId="0" applyNumberFormat="1" applyFont="1" applyFill="1" applyBorder="1"/>
    <xf numFmtId="2" fontId="0" fillId="0" borderId="0" xfId="0" applyNumberFormat="1"/>
    <xf numFmtId="10" fontId="6" fillId="2" borderId="0" xfId="0" applyNumberFormat="1" applyFont="1" applyFill="1"/>
    <xf numFmtId="169" fontId="4" fillId="0" borderId="0" xfId="0" applyNumberFormat="1" applyFont="1"/>
    <xf numFmtId="0" fontId="4" fillId="0" borderId="0" xfId="0" applyFont="1" applyAlignment="1">
      <alignment horizontal="center"/>
    </xf>
    <xf numFmtId="10" fontId="4" fillId="0" borderId="0" xfId="0" applyNumberFormat="1" applyFont="1"/>
    <xf numFmtId="0" fontId="4" fillId="0" borderId="0" xfId="1" applyFont="1" applyFill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40" fontId="2" fillId="3" borderId="0" xfId="0" applyNumberFormat="1" applyFont="1" applyFill="1"/>
    <xf numFmtId="1" fontId="0" fillId="0" borderId="0" xfId="0" applyNumberFormat="1"/>
    <xf numFmtId="1" fontId="6" fillId="2" borderId="0" xfId="0" applyNumberFormat="1" applyFont="1" applyFill="1"/>
    <xf numFmtId="167" fontId="0" fillId="0" borderId="0" xfId="0" applyNumberFormat="1"/>
    <xf numFmtId="40" fontId="0" fillId="0" borderId="0" xfId="0" applyNumberFormat="1"/>
    <xf numFmtId="171" fontId="6" fillId="2" borderId="0" xfId="0" applyNumberFormat="1" applyFont="1" applyFill="1"/>
    <xf numFmtId="4" fontId="0" fillId="0" borderId="0" xfId="0" applyNumberFormat="1"/>
    <xf numFmtId="167" fontId="0" fillId="0" borderId="0" xfId="0" applyNumberFormat="1" applyAlignment="1">
      <alignment horizontal="center" vertical="center"/>
    </xf>
    <xf numFmtId="173" fontId="6" fillId="2" borderId="1" xfId="0" applyNumberFormat="1" applyFont="1" applyFill="1" applyBorder="1"/>
    <xf numFmtId="173" fontId="0" fillId="0" borderId="0" xfId="0" applyNumberFormat="1"/>
    <xf numFmtId="0" fontId="7" fillId="0" borderId="0" xfId="0" applyFont="1"/>
    <xf numFmtId="0" fontId="1" fillId="0" borderId="0" xfId="1" applyFill="1"/>
    <xf numFmtId="167" fontId="6" fillId="2" borderId="2" xfId="0" applyNumberFormat="1" applyFont="1" applyFill="1" applyBorder="1"/>
    <xf numFmtId="169" fontId="8" fillId="0" borderId="0" xfId="0" applyNumberFormat="1" applyFont="1"/>
    <xf numFmtId="170" fontId="6" fillId="2" borderId="0" xfId="0" applyNumberFormat="1" applyFont="1" applyFill="1"/>
    <xf numFmtId="0" fontId="4" fillId="0" borderId="0" xfId="0" applyFont="1"/>
    <xf numFmtId="0" fontId="11" fillId="0" borderId="0" xfId="0" applyFont="1" applyAlignment="1">
      <alignment horizontal="left" vertical="center" wrapText="1"/>
    </xf>
    <xf numFmtId="164" fontId="2" fillId="0" borderId="0" xfId="0" applyNumberFormat="1" applyFont="1"/>
    <xf numFmtId="166" fontId="0" fillId="4" borderId="0" xfId="0" applyNumberFormat="1" applyFill="1"/>
    <xf numFmtId="0" fontId="10" fillId="0" borderId="0" xfId="0" applyFont="1" applyAlignment="1">
      <alignment horizontal="left" vertical="center" wrapText="1"/>
    </xf>
    <xf numFmtId="0" fontId="12" fillId="0" borderId="0" xfId="0" applyFont="1"/>
    <xf numFmtId="2" fontId="0" fillId="0" borderId="0" xfId="0" applyNumberFormat="1" applyAlignment="1">
      <alignment horizontal="center" vertical="center"/>
    </xf>
    <xf numFmtId="0" fontId="6" fillId="2" borderId="0" xfId="3" applyNumberFormat="1" applyFont="1" applyFill="1"/>
    <xf numFmtId="0" fontId="0" fillId="0" borderId="0" xfId="3" applyNumberFormat="1" applyFont="1"/>
    <xf numFmtId="0" fontId="7" fillId="0" borderId="0" xfId="3" applyNumberFormat="1" applyFont="1"/>
    <xf numFmtId="0" fontId="6" fillId="5" borderId="0" xfId="0" applyFont="1" applyFill="1"/>
    <xf numFmtId="0" fontId="13" fillId="0" borderId="0" xfId="0" applyFont="1"/>
    <xf numFmtId="169" fontId="6" fillId="5" borderId="0" xfId="0" applyNumberFormat="1" applyFont="1" applyFill="1"/>
    <xf numFmtId="0" fontId="6" fillId="5" borderId="0" xfId="0" applyFont="1" applyFill="1" applyAlignment="1">
      <alignment horizontal="center"/>
    </xf>
    <xf numFmtId="10" fontId="6" fillId="5" borderId="0" xfId="0" applyNumberFormat="1" applyFont="1" applyFill="1"/>
    <xf numFmtId="0" fontId="4" fillId="5" borderId="0" xfId="0" applyFont="1" applyFill="1"/>
    <xf numFmtId="0" fontId="14" fillId="0" borderId="0" xfId="0" applyFont="1"/>
    <xf numFmtId="0" fontId="0" fillId="0" borderId="0" xfId="0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21" fontId="2" fillId="0" borderId="0" xfId="0" applyNumberFormat="1" applyFont="1" applyAlignment="1">
      <alignment vertical="center" wrapText="1"/>
    </xf>
    <xf numFmtId="2" fontId="6" fillId="2" borderId="0" xfId="0" applyNumberFormat="1" applyFont="1" applyFill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4">
    <cellStyle name="Lien hypertexte" xfId="1" builtinId="8"/>
    <cellStyle name="Normal" xfId="0" builtinId="0"/>
    <cellStyle name="Normal 2" xfId="2" xr:uid="{00000000-0005-0000-0000-000002000000}"/>
    <cellStyle name="Pourcentage" xfId="3" builtinId="5"/>
  </cellStyles>
  <dxfs count="62">
    <dxf>
      <numFmt numFmtId="170" formatCode="#,##0\ &quot;€&quot;"/>
    </dxf>
    <dxf>
      <numFmt numFmtId="14" formatCode="0.00%"/>
    </dxf>
    <dxf>
      <numFmt numFmtId="171" formatCode="0.00%\ ;[Red]\-0.00%"/>
    </dxf>
    <dxf>
      <numFmt numFmtId="12" formatCode="#,##0.00\ &quot;€&quot;;[Red]\-#,##0.00\ &quot;€&quot;"/>
    </dxf>
    <dxf>
      <numFmt numFmtId="8" formatCode="#,##0.00\ _€;[Red]\-#,##0.00\ _€"/>
    </dxf>
    <dxf>
      <numFmt numFmtId="164" formatCode="#,##0.00\ &quot;€&quot;"/>
    </dxf>
    <dxf>
      <numFmt numFmtId="167" formatCode="#,##0.00\ _€"/>
    </dxf>
    <dxf>
      <numFmt numFmtId="173" formatCode="0.00;[Red]0.00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numFmt numFmtId="170" formatCode="#,##0\ &quot;€&quot;"/>
    </dxf>
    <dxf>
      <numFmt numFmtId="12" formatCode="#,##0.00\ &quot;€&quot;;[Red]\-#,##0.00\ &quot;€&quot;"/>
    </dxf>
    <dxf>
      <numFmt numFmtId="14" formatCode="0.00%"/>
    </dxf>
    <dxf>
      <numFmt numFmtId="12" formatCode="#,##0.00\ &quot;€&quot;;[Red]\-#,##0.00\ &quot;€&quot;"/>
    </dxf>
    <dxf>
      <numFmt numFmtId="171" formatCode="0.00%\ ;[Red]\-0.00%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76" formatCode="#,##0.00;[Red]\-#,##0.00"/>
    </dxf>
    <dxf>
      <numFmt numFmtId="164" formatCode="#,##0.00\ &quot;€&quot;"/>
    </dxf>
    <dxf>
      <numFmt numFmtId="14" formatCode="0.00%"/>
    </dxf>
    <dxf>
      <numFmt numFmtId="165" formatCode="#,##0.000\ _€;[Red]\-#,##0.000\ _€"/>
    </dxf>
    <dxf>
      <numFmt numFmtId="167" formatCode="#,##0.00\ _€"/>
    </dxf>
    <dxf>
      <numFmt numFmtId="166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0\ &quot;€&quot;"/>
      <fill>
        <patternFill patternType="solid">
          <fgColor indexed="64"/>
          <bgColor theme="4" tint="0.59996337778862885"/>
        </patternFill>
      </fill>
    </dxf>
    <dxf>
      <numFmt numFmtId="173" formatCode="0.00;[Red]0.00"/>
    </dxf>
    <dxf>
      <numFmt numFmtId="166" formatCode="#,##0.000\ &quot;€&quot;"/>
    </dxf>
    <dxf>
      <numFmt numFmtId="166" formatCode="#,##0.000\ &quot;€&quot;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0.0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0.0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2" tint="-9.9978637043366805E-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>
          <bgColor rgb="FFFF0000"/>
        </patternFill>
      </fill>
    </dxf>
  </dxfs>
  <tableStyles count="3" defaultTableStyle="TableStyleMedium2" defaultPivotStyle="PivotStyleLight16">
    <tableStyle name="Style de tableau croisé dynamique 1" table="0" count="1" xr9:uid="{00000000-0011-0000-FFFF-FFFF00000000}">
      <tableStyleElement type="wholeTable" dxfId="61"/>
    </tableStyle>
    <tableStyle name="TableStyleQueryPreview" pivot="0" count="3" xr9:uid="{00000000-0011-0000-FFFF-FFFF01000000}">
      <tableStyleElement type="wholeTable" dxfId="60"/>
      <tableStyleElement type="headerRow" dxfId="59"/>
      <tableStyleElement type="firstRowStripe" dxfId="58"/>
    </tableStyle>
    <tableStyle name="TableStyleQueryResult" pivot="0" count="3" xr9:uid="{00000000-0011-0000-FFFF-FFFF02000000}">
      <tableStyleElement type="wholeTable" dxfId="57"/>
      <tableStyleElement type="headerRow" dxfId="56"/>
      <tableStyleElement type="firstRowStripe" dxfId="55"/>
    </tableStyle>
  </tableStyles>
  <colors>
    <mruColors>
      <color rgb="FFFF9900"/>
      <color rgb="FF00FF99"/>
      <color rgb="FFFFCCFF"/>
      <color rgb="FFFFFF66"/>
      <color rgb="FFFF3300"/>
      <color rgb="FF8DE1F5"/>
      <color rgb="FFFFCCCC"/>
      <color rgb="FFFF66CC"/>
      <color rgb="FFFF7C80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26" Type="http://schemas.microsoft.com/office/2006/relationships/vbaProject" Target="vbaProject.bin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12</xdr:col>
      <xdr:colOff>240453</xdr:colOff>
      <xdr:row>3</xdr:row>
      <xdr:rowOff>123824</xdr:rowOff>
    </xdr:to>
    <xdr:sp macro="[0]!HTMLTABLEAU" textlink="">
      <xdr:nvSpPr>
        <xdr:cNvPr id="2" name="Flèche courbée vers la droit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8717280" y="228600"/>
          <a:ext cx="1032933" cy="581024"/>
        </a:xfrm>
        <a:prstGeom prst="curved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chemeClr val="tx1"/>
              </a:solidFill>
            </a:rPr>
            <a:t>HTML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685800</xdr:colOff>
      <xdr:row>24</xdr:row>
      <xdr:rowOff>53340</xdr:rowOff>
    </xdr:from>
    <xdr:to>
      <xdr:col>12</xdr:col>
      <xdr:colOff>449580</xdr:colOff>
      <xdr:row>28</xdr:row>
      <xdr:rowOff>274320</xdr:rowOff>
    </xdr:to>
    <xdr:sp macro="[0]!HTMLTABLEAU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8610600" y="5105400"/>
          <a:ext cx="1348740" cy="952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refreshOnLoad="1" connectionId="1" xr16:uid="{00000000-0016-0000-0500-000000000000}" autoFormatId="16" applyNumberFormats="0" applyBorderFormats="0" applyFontFormats="0" applyPatternFormats="0" applyAlignmentFormats="0" applyWidthHeightFormats="0">
  <queryTableRefresh nextId="10">
    <queryTableFields count="9">
      <queryTableField id="1" name="Libellé" tableColumnId="1"/>
      <queryTableField id="2" name="USD" tableColumnId="2"/>
      <queryTableField id="3" name="EUR" tableColumnId="3"/>
      <queryTableField id="4" name="GBP" tableColumnId="4"/>
      <queryTableField id="5" name="JPY" tableColumnId="5"/>
      <queryTableField id="6" name="CHF" tableColumnId="6"/>
      <queryTableField id="7" name="CAD" tableColumnId="7"/>
      <queryTableField id="8" name="AUD" tableColumnId="8"/>
      <queryTableField id="9" name="NZD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_cotations" displayName="tableau_cotations" ref="A1:AU30" totalsRowCount="1" headerRowDxfId="54">
  <autoFilter ref="A1:AU29" xr:uid="{00000000-0009-0000-0100-000007000000}"/>
  <sortState ref="A2:AR11">
    <sortCondition ref="AQ1:AQ11"/>
  </sortState>
  <tableColumns count="47">
    <tableColumn id="1" xr3:uid="{00000000-0010-0000-0200-000001000000}" name="TITRES" totalsRowLabel="Total"/>
    <tableColumn id="2" xr3:uid="{00000000-0010-0000-0200-000002000000}" name="REF" dataDxfId="53"/>
    <tableColumn id="3" xr3:uid="{00000000-0010-0000-0200-000003000000}" name="WWW"/>
    <tableColumn id="4" xr3:uid="{00000000-0010-0000-0200-000004000000}" name="Cotation EUR"/>
    <tableColumn id="5" xr3:uid="{00000000-0010-0000-0200-000005000000}" name="convert USD" dataDxfId="52" totalsRowDxfId="15">
      <calculatedColumnFormula>SUM(tableau_cotations[[#This Row],[Cotation EUR]]/COTATIONS!$X$46)</calculatedColumnFormula>
    </tableColumn>
    <tableColumn id="65" xr3:uid="{00000000-0010-0000-0200-000041000000}" name="produit" dataDxfId="51" totalsRowDxfId="14"/>
    <tableColumn id="10" xr3:uid="{00000000-0010-0000-0200-00000A000000}" name="DEVISE" dataDxfId="50" totalsRowDxfId="13">
      <calculatedColumnFormula>IF(tableau_cotations[[#This Row],[pays]]="usa","USD",IF(tableau_cotations[[#This Row],[pays]]="Royaume-Uni","GBP","EUR"))</calculatedColumnFormula>
    </tableColumn>
    <tableColumn id="8" xr3:uid="{00000000-0010-0000-0200-000008000000}" name="pays" dataDxfId="49" totalsRowDxfId="12"/>
    <tableColumn id="6" xr3:uid="{00000000-0010-0000-0200-000006000000}" name="industrie" dataDxfId="48" totalsRowDxfId="11" dataCellStyle="Lien hypertexte"/>
    <tableColumn id="7" xr3:uid="{00000000-0010-0000-0200-000007000000}" name="secteur" dataDxfId="47" totalsRowDxfId="10" dataCellStyle="Lien hypertexte"/>
    <tableColumn id="11" xr3:uid="{00000000-0010-0000-0200-00000B000000}" name="Qt Achat" dataDxfId="46" totalsRowDxfId="9">
      <calculatedColumnFormula>SUMIFS(#REF!,#REF!,$A2,#REF!,"A")</calculatedColumnFormula>
    </tableColumn>
    <tableColumn id="12" xr3:uid="{00000000-0010-0000-0200-00000C000000}" name="Qt Vente" dataDxfId="45" totalsRowDxfId="8">
      <calculatedColumnFormula>SUMIFS(#REF!,#REF!,$A2,#REF!,"V")</calculatedColumnFormula>
    </tableColumn>
    <tableColumn id="13" xr3:uid="{00000000-0010-0000-0200-00000D000000}" name="Qte en portefeuille">
      <calculatedColumnFormula>K2-L2</calculatedColumnFormula>
    </tableColumn>
    <tableColumn id="14" xr3:uid="{00000000-0010-0000-0200-00000E000000}" name="Valeur Achat €" dataDxfId="44">
      <calculatedColumnFormula>SUMIF(#REF!,$A2,#REF!)</calculatedColumnFormula>
    </tableColumn>
    <tableColumn id="15" xr3:uid="{00000000-0010-0000-0200-00000F000000}" name="Valeur Vente €" dataDxfId="43">
      <calculatedColumnFormula>SUMIF(#REF!,$A2,#REF!)</calculatedColumnFormula>
    </tableColumn>
    <tableColumn id="16" xr3:uid="{00000000-0010-0000-0200-000010000000}" name="Cout Moyen €" dataDxfId="42" totalsRowDxfId="7">
      <calculatedColumnFormula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calculatedColumnFormula>
    </tableColumn>
    <tableColumn id="25" xr3:uid="{00000000-0010-0000-0200-000019000000}" name="Cout Moyen $" dataDxfId="41">
      <calculatedColumnFormula>tableau_cotations[[#This Row],[Cout Moyen €]]*$X$46</calculatedColumnFormula>
    </tableColumn>
    <tableColumn id="17" xr3:uid="{00000000-0010-0000-0200-000011000000}" name="valeur en stock HC €" totalsRowFunction="sum" dataDxfId="40" totalsRowDxfId="6">
      <calculatedColumnFormula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calculatedColumnFormula>
    </tableColumn>
    <tableColumn id="18" xr3:uid="{00000000-0010-0000-0200-000012000000}" name="COURTAGE" dataDxfId="39">
      <calculatedColumnFormula>IF(tableau_cotations[[#This Row],[DEVISE]]="EUR",0,IF(tableau_cotations[[#This Row],[DEVISE]]="USD",0))</calculatedColumnFormula>
    </tableColumn>
    <tableColumn id="29" xr3:uid="{00000000-0010-0000-0200-00001D000000}" name="plus value par action CC" dataDxfId="38">
      <calculatedColumnFormula>IFERROR(SUM(tableau_cotations[[#This Row],[plus value globale CC]]/tableau_cotations[[#This Row],[Qte en portefeuille]]),0)</calculatedColumnFormula>
    </tableColumn>
    <tableColumn id="30" xr3:uid="{00000000-0010-0000-0200-00001E000000}" name="Perf CC" dataDxfId="37">
      <calculatedColumnFormula>IFERROR(SUM((tableau_cotations[[#This Row],[plus value par action CC]]/tableau_cotations[[#This Row],[Cout Moyen €]])),0)</calculatedColumnFormula>
    </tableColumn>
    <tableColumn id="33" xr3:uid="{00000000-0010-0000-0200-000021000000}" name="valeurs totale à la vente CC" totalsRowFunction="sum" dataDxfId="36" totalsRowDxfId="5">
      <calculatedColumnFormula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calculatedColumnFormula>
    </tableColumn>
    <tableColumn id="34" xr3:uid="{00000000-0010-0000-0200-000022000000}" name="plus value globale CC" dataDxfId="35" totalsRowDxfId="4">
      <calculatedColumnFormula>SUM((tableau_cotations[[#This Row],[valeurs totale à la vente CC]]-tableau_cotations[[#This Row],[Valeur Achat €]])+tableau_cotations[[#This Row],[Valeur Vente €]])</calculatedColumnFormula>
    </tableColumn>
    <tableColumn id="32" xr3:uid="{00000000-0010-0000-0200-000020000000}" name="dividendes" totalsRowFunction="sum" dataDxfId="34" totalsRowDxfId="3">
      <calculatedColumnFormula>SUMIF(#REF!,$A2,#REF!)</calculatedColumnFormula>
    </tableColumn>
    <tableColumn id="38" xr3:uid="{00000000-0010-0000-0200-000026000000}" name="global" dataDxfId="33">
      <calculatedColumnFormula>tableau_cotations[[#This Row],[dividendes]]+tableau_cotations[[#This Row],[plus value globale CC]]</calculatedColumnFormula>
    </tableColumn>
    <tableColumn id="40" xr3:uid="{00000000-0010-0000-0200-000028000000}" name="cm avec div" dataDxfId="32">
      <calculatedColumnFormula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calculatedColumnFormula>
    </tableColumn>
    <tableColumn id="39" xr3:uid="{00000000-0010-0000-0200-000027000000}" name="perf global" dataDxfId="31" totalsRowDxfId="2">
      <calculatedColumnFormula>IFERROR(SUM((tableau_cotations[[#This Row],[plus value par action CC]]/tableau_cotations[[#This Row],[cm avec div]])),0)</calculatedColumnFormula>
    </tableColumn>
    <tableColumn id="42" xr3:uid="{00000000-0010-0000-0200-00002A000000}" name="total-plusvalue" dataDxfId="30">
      <calculatedColumnFormula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calculatedColumnFormula>
    </tableColumn>
    <tableColumn id="97" xr3:uid="{00000000-0010-0000-0200-000061000000}" name="perf-origine A BOSSER" dataDxfId="29" totalsRowDxfId="1">
      <calculatedColumnFormula>SUM(SUM(SUMIF(#REF!,$A2,#REF!)+tableau_cotations[[#This Row],[valeurs totale à la vente CC]])-SUMIF(#REF!,$A2,#REF!))/SUMIF(#REF!,$A2,#REF!)</calculatedColumnFormula>
    </tableColumn>
    <tableColumn id="43" xr3:uid="{00000000-0010-0000-0200-00002B000000}" name="total-depuis-origine" dataDxfId="28">
      <calculatedColumnFormula>SUMIF(#REF!,$A2,#REF!)+tableau_cotations[[#This Row],[valeurs totale à la vente CC]]</calculatedColumnFormula>
    </tableColumn>
    <tableColumn id="37" xr3:uid="{00000000-0010-0000-0200-000025000000}" name="investi depuis origine" dataDxfId="27" totalsRowDxfId="0">
      <calculatedColumnFormula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calculatedColumnFormula>
    </tableColumn>
    <tableColumn id="51" xr3:uid="{00000000-0010-0000-0200-000033000000}" name="div2k23"/>
    <tableColumn id="52" xr3:uid="{00000000-0010-0000-0200-000034000000}" name="div2k24"/>
    <tableColumn id="53" xr3:uid="{00000000-0010-0000-0200-000035000000}" name="div2k25"/>
    <tableColumn id="56" xr3:uid="{00000000-0010-0000-0200-000038000000}" name="rend2k23"/>
    <tableColumn id="55" xr3:uid="{00000000-0010-0000-0200-000037000000}" name="rend2k24" totalsRowLabel="5.1"/>
    <tableColumn id="54" xr3:uid="{00000000-0010-0000-0200-000036000000}" name="rend2k25" totalsRowLabel="3"/>
    <tableColumn id="60" xr3:uid="{00000000-0010-0000-0200-00003C000000}" name="bpa2k23"/>
    <tableColumn id="59" xr3:uid="{00000000-0010-0000-0200-00003B000000}" name="bpa2k24"/>
    <tableColumn id="58" xr3:uid="{00000000-0010-0000-0200-00003A000000}" name="bpa2k25"/>
    <tableColumn id="63" xr3:uid="{00000000-0010-0000-0200-00003F000000}" name="per2k23"/>
    <tableColumn id="62" xr3:uid="{00000000-0010-0000-0200-00003E000000}" name="per2k24"/>
    <tableColumn id="61" xr3:uid="{00000000-0010-0000-0200-00003D000000}" name="per2k25"/>
    <tableColumn id="36" xr3:uid="{00000000-0010-0000-0200-000024000000}" name="valorisation"/>
    <tableColumn id="9" xr3:uid="{00000000-0010-0000-0200-000009000000}" name="valoristaionEUR"/>
    <tableColumn id="19" xr3:uid="{E512F863-218A-47B0-B3A8-205D12B999DC}" name="Colonne1"/>
    <tableColumn id="20" xr3:uid="{4A4F7ACA-A83B-4EBE-80A8-940FF69FE5EE}" name="estime DIV N+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3000000}" name="Convert" displayName="Convert" ref="W42:AE50" tableType="queryTable" totalsRowShown="0" headerRowDxfId="26" dataDxfId="25">
  <tableColumns count="9">
    <tableColumn id="1" xr3:uid="{00000000-0010-0000-0300-000001000000}" uniqueName="1" name="Libellé" queryTableFieldId="1" dataDxfId="24"/>
    <tableColumn id="2" xr3:uid="{00000000-0010-0000-0300-000002000000}" uniqueName="2" name="USD" queryTableFieldId="2" dataDxfId="23"/>
    <tableColumn id="3" xr3:uid="{00000000-0010-0000-0300-000003000000}" uniqueName="3" name="EUR" queryTableFieldId="3" dataDxfId="22"/>
    <tableColumn id="4" xr3:uid="{00000000-0010-0000-0300-000004000000}" uniqueName="4" name="GBP" queryTableFieldId="4" dataDxfId="21"/>
    <tableColumn id="5" xr3:uid="{00000000-0010-0000-0300-000005000000}" uniqueName="5" name="JPY" queryTableFieldId="5" dataDxfId="20"/>
    <tableColumn id="6" xr3:uid="{00000000-0010-0000-0300-000006000000}" uniqueName="6" name="CHF" queryTableFieldId="6" dataDxfId="19"/>
    <tableColumn id="7" xr3:uid="{00000000-0010-0000-0300-000007000000}" uniqueName="7" name="CAD" queryTableFieldId="7" dataDxfId="18"/>
    <tableColumn id="8" xr3:uid="{00000000-0010-0000-0300-000008000000}" uniqueName="8" name="AUD" queryTableFieldId="8" dataDxfId="17"/>
    <tableColumn id="9" xr3:uid="{00000000-0010-0000-0300-000009000000}" uniqueName="9" name="NZD" queryTableFieldId="9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fr.investing.com/stock-screener/?sp=country::22|sector::27|industry::a|equityType::a%3Ceq_market_cap;1" TargetMode="External"/><Relationship Id="rId18" Type="http://schemas.openxmlformats.org/officeDocument/2006/relationships/hyperlink" Target="https://fr.investing.com/stock-screener/?sp=country::22|sector::a|industry::184|equityType::a%3Ceq_market_cap;1" TargetMode="External"/><Relationship Id="rId26" Type="http://schemas.openxmlformats.org/officeDocument/2006/relationships/hyperlink" Target="https://fr.investing.com/stock-screener/?sp=country::22|sector::28|industry::a|equityType::a%3Ceq_market_cap;1" TargetMode="External"/><Relationship Id="rId39" Type="http://schemas.openxmlformats.org/officeDocument/2006/relationships/hyperlink" Target="https://fr.investing.com/stock-screener/?sp=country::22|sector::a|industry::186|equityType::a%3Ceq_market_cap;1" TargetMode="External"/><Relationship Id="rId21" Type="http://schemas.openxmlformats.org/officeDocument/2006/relationships/hyperlink" Target="https://fr.investing.com/stock-screener/?sp=country::22|sector::a|industry::219|equityType::a%3Ceq_market_cap;1" TargetMode="External"/><Relationship Id="rId34" Type="http://schemas.openxmlformats.org/officeDocument/2006/relationships/hyperlink" Target="https://fr.investing.com/stock-screener/?sp=country::22|sector::29|industry::a|equityType::a%3Ceq_market_cap;1" TargetMode="External"/><Relationship Id="rId42" Type="http://schemas.openxmlformats.org/officeDocument/2006/relationships/hyperlink" Target="https://fr.investing.com/stock-screener/?sp=country::22|sector::28|industry::a|equityType::a%3Ceq_market_cap;1" TargetMode="External"/><Relationship Id="rId47" Type="http://schemas.openxmlformats.org/officeDocument/2006/relationships/hyperlink" Target="https://fr.investing.com/stock-screener/?sp=country::22|sector::a|industry::190|equityType::a%3Ceq_market_cap;1" TargetMode="External"/><Relationship Id="rId50" Type="http://schemas.openxmlformats.org/officeDocument/2006/relationships/hyperlink" Target="https://fr.investing.com/stock-screener/?sp=country::22|sector::27|industry::a|equityType::a%3Ceq_market_cap;1" TargetMode="External"/><Relationship Id="rId55" Type="http://schemas.openxmlformats.org/officeDocument/2006/relationships/hyperlink" Target="https://www.boursorama.com/cours/1rPAI/" TargetMode="External"/><Relationship Id="rId7" Type="http://schemas.openxmlformats.org/officeDocument/2006/relationships/hyperlink" Target="https://fr.investing.com/stock-screener/?sp=country::22|sector::27|industry::a|equityType::a%3Ceq_market_cap;1" TargetMode="External"/><Relationship Id="rId2" Type="http://schemas.openxmlformats.org/officeDocument/2006/relationships/hyperlink" Target="https://fr.investing.com/stock-screener/?sp=country::22|sector::25|industry::a|equityType::a%3Ceq_market_cap;1" TargetMode="External"/><Relationship Id="rId16" Type="http://schemas.openxmlformats.org/officeDocument/2006/relationships/hyperlink" Target="https://fr.investing.com/stock-screener/?sp=country::22|sector::a|industry::191|equityType::a%3Ceq_market_cap;1" TargetMode="External"/><Relationship Id="rId29" Type="http://schemas.openxmlformats.org/officeDocument/2006/relationships/hyperlink" Target="https://fr.investing.com/stock-screener/?sp=country::22|sector::a|industry::181|equityType::a%3Ceq_market_cap;1" TargetMode="External"/><Relationship Id="rId11" Type="http://schemas.openxmlformats.org/officeDocument/2006/relationships/hyperlink" Target="https://fr.investing.com/stock-screener/?sp=country::22|sector::26|industry::a|equityType::a%3Ceq_market_cap;1" TargetMode="External"/><Relationship Id="rId24" Type="http://schemas.openxmlformats.org/officeDocument/2006/relationships/hyperlink" Target="https://fr.investing.com/stock-screener/?sp=country::22|sector::26|industry::a|equityType::a%3Ceq_market_cap;1" TargetMode="External"/><Relationship Id="rId32" Type="http://schemas.openxmlformats.org/officeDocument/2006/relationships/hyperlink" Target="https://fr.investing.com/stock-screener/?sp=country::22|sector::33|industry::a|equityType::a%3Ceq_market_cap;1" TargetMode="External"/><Relationship Id="rId37" Type="http://schemas.openxmlformats.org/officeDocument/2006/relationships/hyperlink" Target="https://fr.investing.com/stock-screener/?sp=country::22|sector::a|industry::226|equityType::a%3Ceq_market_cap;1" TargetMode="External"/><Relationship Id="rId40" Type="http://schemas.openxmlformats.org/officeDocument/2006/relationships/hyperlink" Target="https://fr.investing.com/stock-screener/?sp=country::22|sector::26|industry::a|equityType::a%3Ceq_market_cap;1" TargetMode="External"/><Relationship Id="rId45" Type="http://schemas.openxmlformats.org/officeDocument/2006/relationships/hyperlink" Target="https://fr.investing.com/stock-screener/?sp=country::22|sector::a|industry::204|equityType::a%3Ceq_market_cap;1" TargetMode="External"/><Relationship Id="rId53" Type="http://schemas.openxmlformats.org/officeDocument/2006/relationships/hyperlink" Target="https://www.boursorama.com/cours/1rPRMS/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s://fr.investing.com/stock-screener/?sp=country::22|sector::a|industry::205|equityType::a%3Ceq_market_cap;1" TargetMode="External"/><Relationship Id="rId19" Type="http://schemas.openxmlformats.org/officeDocument/2006/relationships/hyperlink" Target="https://fr.investing.com/stock-screener/?sp=country::22|sector::a|industry::190|equityType::a%3Ceq_market_cap;1" TargetMode="External"/><Relationship Id="rId4" Type="http://schemas.openxmlformats.org/officeDocument/2006/relationships/hyperlink" Target="https://fr.investing.com/stock-screener/?sp=country::22|sector::1|industry::a|equityType::a%3ceq_market_cap;1" TargetMode="External"/><Relationship Id="rId9" Type="http://schemas.openxmlformats.org/officeDocument/2006/relationships/hyperlink" Target="https://fr.investing.com/stock-screener/?sp=country::22|sector::28|industry::a|equityType::a%3Ceq_market_cap;1" TargetMode="External"/><Relationship Id="rId14" Type="http://schemas.openxmlformats.org/officeDocument/2006/relationships/hyperlink" Target="https://fr.investing.com/stock-screener/?sp=country::22|sector::a|industry::201|equityType::a%3Ceq_market_cap;1" TargetMode="External"/><Relationship Id="rId22" Type="http://schemas.openxmlformats.org/officeDocument/2006/relationships/hyperlink" Target="https://fr.investing.com/stock-screener/?sp=country::22|sector::31|industry::a|equityType::a%3Ceq_market_cap;1" TargetMode="External"/><Relationship Id="rId27" Type="http://schemas.openxmlformats.org/officeDocument/2006/relationships/hyperlink" Target="https://fr.investing.com/stock-screener/?sp=country::22|sector::a|industry::186|equityType::a%3Ceq_market_cap;1" TargetMode="External"/><Relationship Id="rId30" Type="http://schemas.openxmlformats.org/officeDocument/2006/relationships/hyperlink" Target="https://fr.investing.com/stock-screener/?sp=country::22|sector::25|industry::a|equityType::a%3Ceq_market_cap;1" TargetMode="External"/><Relationship Id="rId35" Type="http://schemas.openxmlformats.org/officeDocument/2006/relationships/hyperlink" Target="https://fr.investing.com/stock-screener/?sp=country::22|sector::a|industry::206|equityType::a%3Ceq_market_cap;1" TargetMode="External"/><Relationship Id="rId43" Type="http://schemas.openxmlformats.org/officeDocument/2006/relationships/hyperlink" Target="https://fr.investing.com/stock-screener/?sp=country::22|sector::a|industry::183|equityType::a%3Ceq_market_cap;1" TargetMode="External"/><Relationship Id="rId48" Type="http://schemas.openxmlformats.org/officeDocument/2006/relationships/hyperlink" Target="https://fr.investing.com/stock-screener/?sp=country::22|sector::27|industry::a|equityType::a%3Ceq_market_cap;1" TargetMode="External"/><Relationship Id="rId56" Type="http://schemas.openxmlformats.org/officeDocument/2006/relationships/hyperlink" Target="https://www.boursorama.com/cours/1rPSTF/" TargetMode="External"/><Relationship Id="rId8" Type="http://schemas.openxmlformats.org/officeDocument/2006/relationships/hyperlink" Target="https://fr.investing.com/stock-screener/?sp=country::22|sector::a|industry::182|equityType::a%3Ceq_market_cap;1" TargetMode="External"/><Relationship Id="rId51" Type="http://schemas.openxmlformats.org/officeDocument/2006/relationships/hyperlink" Target="https://fr.investing.com/stock-screener/?sp=country::22|sector::a|industry::187|equityType::a%3Ceq_market_cap;1" TargetMode="External"/><Relationship Id="rId3" Type="http://schemas.openxmlformats.org/officeDocument/2006/relationships/hyperlink" Target="https://fr.investing.com/stock-screener/?sp=country::22|sector::a|industry::209|equityType::a%3Ceq_market_cap;1" TargetMode="External"/><Relationship Id="rId12" Type="http://schemas.openxmlformats.org/officeDocument/2006/relationships/hyperlink" Target="https://fr.investing.com/stock-screener/?sp=country::22|sector::a|industry::198|equityType::a%3Ceq_market_cap;1" TargetMode="External"/><Relationship Id="rId17" Type="http://schemas.openxmlformats.org/officeDocument/2006/relationships/hyperlink" Target="https://fr.investing.com/stock-screener/?sp=country::22|sector::27|industry::a|equityType::a%3Ceq_market_cap;1" TargetMode="External"/><Relationship Id="rId25" Type="http://schemas.openxmlformats.org/officeDocument/2006/relationships/hyperlink" Target="https://fr.investing.com/stock-screener/?sp=country::22|sector::a|industry::200|equityType::a%3Ceq_market_cap;1" TargetMode="External"/><Relationship Id="rId33" Type="http://schemas.openxmlformats.org/officeDocument/2006/relationships/hyperlink" Target="https://fr.investing.com/stock-screener/?sp=country::22|sector::a|industry::205|equityType::a%3Ceq_market_cap;1" TargetMode="External"/><Relationship Id="rId38" Type="http://schemas.openxmlformats.org/officeDocument/2006/relationships/hyperlink" Target="https://fr.investing.com/stock-screener/?sp=country::22|sector::33|industry::a|equityType::a%3Ceq_market_cap;1" TargetMode="External"/><Relationship Id="rId46" Type="http://schemas.openxmlformats.org/officeDocument/2006/relationships/hyperlink" Target="https://fr.investing.com/stock-screener/?sp=country::22|sector::29|industry::a|equityType::a%3Ceq_market_cap;1" TargetMode="External"/><Relationship Id="rId59" Type="http://schemas.openxmlformats.org/officeDocument/2006/relationships/table" Target="../tables/table1.xml"/><Relationship Id="rId20" Type="http://schemas.openxmlformats.org/officeDocument/2006/relationships/hyperlink" Target="https://fr.investing.com/stock-screener/?sp=country::22|sector::27|industry::a|equityType::a%3Ceq_market_cap;1" TargetMode="External"/><Relationship Id="rId41" Type="http://schemas.openxmlformats.org/officeDocument/2006/relationships/hyperlink" Target="https://fr.investing.com/stock-screener/?sp=country::22|sector::a|industry::203|equityType::a%3Ceq_market_cap;1" TargetMode="External"/><Relationship Id="rId54" Type="http://schemas.openxmlformats.org/officeDocument/2006/relationships/hyperlink" Target="https://www.boursorama.com/cours/1rPENX/" TargetMode="External"/><Relationship Id="rId1" Type="http://schemas.openxmlformats.org/officeDocument/2006/relationships/hyperlink" Target="https://fr.investing.com/stock-screener/?sp=country::22|sector::a|industry::177|equityType::a%3Ceq_market_cap;1" TargetMode="External"/><Relationship Id="rId6" Type="http://schemas.openxmlformats.org/officeDocument/2006/relationships/hyperlink" Target="https://fr.investing.com/stock-screener/?sp=country::22|sector::a|industry::191|equityType::a%3Ceq_market_cap;1" TargetMode="External"/><Relationship Id="rId15" Type="http://schemas.openxmlformats.org/officeDocument/2006/relationships/hyperlink" Target="https://fr.investing.com/stock-screener/?sp=country::22|sector::28|industry::a|equityType::a%3Ceq_market_cap;1" TargetMode="External"/><Relationship Id="rId23" Type="http://schemas.openxmlformats.org/officeDocument/2006/relationships/hyperlink" Target="https://fr.investing.com/stock-screener/?sp=country::22|sector::a|industry::184|equityType::a%3Ceq_market_cap;1" TargetMode="External"/><Relationship Id="rId28" Type="http://schemas.openxmlformats.org/officeDocument/2006/relationships/hyperlink" Target="https://fr.investing.com/stock-screener/?sp=country::22|sector::26|industry::a|equityType::a%3Ceq_market_cap;1" TargetMode="External"/><Relationship Id="rId36" Type="http://schemas.openxmlformats.org/officeDocument/2006/relationships/hyperlink" Target="https://fr.investing.com/stock-screener/?sp=country::22|sector::29|industry::a|equityType::a%3Ceq_market_cap;1" TargetMode="External"/><Relationship Id="rId49" Type="http://schemas.openxmlformats.org/officeDocument/2006/relationships/hyperlink" Target="https://fr.investing.com/stock-screener/?sp=country::22|sector::a|industry::198|equityType::a%3Ceq_market_cap;1" TargetMode="External"/><Relationship Id="rId57" Type="http://schemas.openxmlformats.org/officeDocument/2006/relationships/hyperlink" Target="https://www.boursorama.com/cours/1rPALHRG/" TargetMode="External"/><Relationship Id="rId10" Type="http://schemas.openxmlformats.org/officeDocument/2006/relationships/hyperlink" Target="https://fr.investing.com/stock-screener/?sp=country::22|sector::a|industry::183|equityType::a%3Ceq_market_cap;1" TargetMode="External"/><Relationship Id="rId31" Type="http://schemas.openxmlformats.org/officeDocument/2006/relationships/hyperlink" Target="https://fr.investing.com/stock-screener/?sp=country::22|sector::a|industry::227|equityType::a%3Ceq_market_cap;1" TargetMode="External"/><Relationship Id="rId44" Type="http://schemas.openxmlformats.org/officeDocument/2006/relationships/hyperlink" Target="https://fr.investing.com/stock-screener/?sp=country::22|sector::26|industry::a|equityType::a%3Ceq_market_cap;1" TargetMode="External"/><Relationship Id="rId52" Type="http://schemas.openxmlformats.org/officeDocument/2006/relationships/hyperlink" Target="https://fr.investing.com/stock-screener/?sp=country::22|sector::26|industry::a|equityType::a%3Ceq_market_cap;1" TargetMode="External"/><Relationship Id="rId60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tabColor rgb="FF00B0F0"/>
  </sheetPr>
  <dimension ref="A1:AU514"/>
  <sheetViews>
    <sheetView showGridLines="0" tabSelected="1" zoomScale="80" zoomScaleNormal="80" workbookViewId="0">
      <pane xSplit="1" topLeftCell="AH1" activePane="topRight" state="frozen"/>
      <selection pane="topRight" activeCell="AU2" sqref="AU2:AU30"/>
    </sheetView>
  </sheetViews>
  <sheetFormatPr baseColWidth="10" defaultColWidth="9.33203125" defaultRowHeight="14.4" x14ac:dyDescent="0.3"/>
  <cols>
    <col min="1" max="1" width="32.44140625" customWidth="1"/>
    <col min="2" max="2" width="22.6640625" customWidth="1"/>
    <col min="3" max="3" width="51.6640625" customWidth="1"/>
    <col min="4" max="4" width="16" style="2" customWidth="1"/>
    <col min="5" max="5" width="21" style="8" customWidth="1"/>
    <col min="6" max="7" width="21" style="16" customWidth="1"/>
    <col min="8" max="8" width="19.5546875" style="16" customWidth="1"/>
    <col min="9" max="9" width="24.6640625" style="29" customWidth="1"/>
    <col min="10" max="10" width="42.6640625" style="25" customWidth="1"/>
    <col min="11" max="11" width="38" style="3" customWidth="1"/>
    <col min="12" max="12" width="22.6640625" style="31" customWidth="1"/>
    <col min="13" max="13" width="19.44140625" style="31" customWidth="1"/>
    <col min="14" max="14" width="29" customWidth="1"/>
    <col min="15" max="15" width="22.5546875" customWidth="1"/>
    <col min="16" max="16" width="20.5546875" customWidth="1"/>
    <col min="17" max="17" width="27.33203125" style="39" customWidth="1"/>
    <col min="18" max="18" width="27.33203125" customWidth="1"/>
    <col min="19" max="19" width="27.109375" style="33" customWidth="1"/>
    <col min="20" max="20" width="24.44140625" style="39" customWidth="1"/>
    <col min="21" max="21" width="33.109375" customWidth="1"/>
    <col min="22" max="22" width="34.109375" style="21" customWidth="1"/>
    <col min="23" max="23" width="5.44140625" customWidth="1"/>
    <col min="24" max="27" width="6" customWidth="1"/>
    <col min="28" max="28" width="6" style="28" customWidth="1"/>
    <col min="29" max="29" width="6" customWidth="1"/>
    <col min="30" max="30" width="6.77734375" style="3" customWidth="1"/>
    <col min="31" max="31" width="6" style="31" customWidth="1"/>
    <col min="32" max="32" width="13.5546875" customWidth="1"/>
    <col min="33" max="33" width="11.5546875" customWidth="1"/>
    <col min="34" max="34" width="13" customWidth="1"/>
    <col min="35" max="37" width="13" style="53" customWidth="1"/>
    <col min="38" max="40" width="13" customWidth="1"/>
    <col min="41" max="41" width="13" style="51" customWidth="1"/>
    <col min="42" max="43" width="13" customWidth="1"/>
    <col min="44" max="44" width="17.6640625" customWidth="1"/>
    <col min="45" max="45" width="18.5546875" customWidth="1"/>
    <col min="46" max="46" width="11.5546875" customWidth="1"/>
    <col min="47" max="47" width="16.6640625" customWidth="1"/>
  </cols>
  <sheetData>
    <row r="1" spans="1:47" ht="15" thickBot="1" x14ac:dyDescent="0.35">
      <c r="A1" s="55" t="s">
        <v>17</v>
      </c>
      <c r="B1" s="55" t="s">
        <v>0</v>
      </c>
      <c r="C1" s="55" t="s">
        <v>1</v>
      </c>
      <c r="D1" s="11" t="s">
        <v>40</v>
      </c>
      <c r="E1" s="19" t="s">
        <v>39</v>
      </c>
      <c r="F1" s="57" t="s">
        <v>30</v>
      </c>
      <c r="G1" s="58" t="s">
        <v>37</v>
      </c>
      <c r="H1" s="59" t="s">
        <v>29</v>
      </c>
      <c r="I1" s="60" t="s">
        <v>7</v>
      </c>
      <c r="J1" s="55" t="s">
        <v>16</v>
      </c>
      <c r="K1" s="32" t="s">
        <v>5</v>
      </c>
      <c r="L1" s="32" t="s">
        <v>6</v>
      </c>
      <c r="M1" s="10" t="s">
        <v>3</v>
      </c>
      <c r="N1" s="18" t="s">
        <v>15</v>
      </c>
      <c r="O1" s="18" t="s">
        <v>18</v>
      </c>
      <c r="P1" s="38" t="s">
        <v>14</v>
      </c>
      <c r="Q1" s="18" t="s">
        <v>28</v>
      </c>
      <c r="R1" s="42" t="s">
        <v>24</v>
      </c>
      <c r="S1" s="9" t="s">
        <v>4</v>
      </c>
      <c r="T1" s="19" t="s">
        <v>22</v>
      </c>
      <c r="U1" s="10" t="s">
        <v>19</v>
      </c>
      <c r="V1" s="20" t="s">
        <v>20</v>
      </c>
      <c r="W1" s="20" t="s">
        <v>21</v>
      </c>
      <c r="X1" s="10" t="s">
        <v>31</v>
      </c>
      <c r="Y1" s="10" t="s">
        <v>32</v>
      </c>
      <c r="Z1" s="10" t="s">
        <v>34</v>
      </c>
      <c r="AA1" s="35" t="s">
        <v>33</v>
      </c>
      <c r="AB1" s="10" t="s">
        <v>35</v>
      </c>
      <c r="AC1" s="22" t="s">
        <v>38</v>
      </c>
      <c r="AD1" s="10" t="s">
        <v>36</v>
      </c>
      <c r="AE1" s="44" t="s">
        <v>41</v>
      </c>
      <c r="AF1" s="10" t="s">
        <v>90</v>
      </c>
      <c r="AG1" s="10" t="s">
        <v>89</v>
      </c>
      <c r="AH1" s="10" t="s">
        <v>97</v>
      </c>
      <c r="AI1" s="52" t="s">
        <v>96</v>
      </c>
      <c r="AJ1" s="52" t="s">
        <v>91</v>
      </c>
      <c r="AK1" s="52" t="s">
        <v>98</v>
      </c>
      <c r="AL1" s="10" t="s">
        <v>92</v>
      </c>
      <c r="AM1" s="10" t="s">
        <v>93</v>
      </c>
      <c r="AN1" s="10" t="s">
        <v>99</v>
      </c>
      <c r="AO1" s="66" t="s">
        <v>94</v>
      </c>
      <c r="AP1" s="10" t="s">
        <v>95</v>
      </c>
      <c r="AQ1" s="10" t="s">
        <v>100</v>
      </c>
      <c r="AR1" s="10" t="s">
        <v>88</v>
      </c>
      <c r="AS1" s="10" t="s">
        <v>170</v>
      </c>
      <c r="AT1" s="10" t="s">
        <v>344</v>
      </c>
      <c r="AU1" s="10" t="s">
        <v>484</v>
      </c>
    </row>
    <row r="2" spans="1:47" ht="16.2" thickBot="1" x14ac:dyDescent="0.35">
      <c r="A2" t="s">
        <v>53</v>
      </c>
      <c r="B2" s="50" t="s">
        <v>56</v>
      </c>
      <c r="C2" s="41" t="s">
        <v>57</v>
      </c>
      <c r="D2">
        <v>100.2</v>
      </c>
      <c r="E2" s="43">
        <f>SUM(tableau_cotations[[#This Row],[Cotation EUR]]/COTATIONS!$X$44)</f>
        <v>89.76081698468154</v>
      </c>
      <c r="F2" s="23" t="s">
        <v>23</v>
      </c>
      <c r="G2" s="24" t="s">
        <v>8</v>
      </c>
      <c r="H2" s="25" t="s">
        <v>45</v>
      </c>
      <c r="I2" s="1" t="s">
        <v>70</v>
      </c>
      <c r="J2" s="26" t="s">
        <v>58</v>
      </c>
      <c r="K2" s="31" t="e">
        <f>SUMIFS(#REF!,#REF!,$A2,#REF!,"A")</f>
        <v>#REF!</v>
      </c>
      <c r="L2" s="31" t="e">
        <f>SUMIFS(#REF!,#REF!,$A2,#REF!,"V")</f>
        <v>#REF!</v>
      </c>
      <c r="M2" s="36" t="e">
        <f t="shared" ref="M2:M11" si="0">K2-L2</f>
        <v>#REF!</v>
      </c>
      <c r="N2" s="6" t="e">
        <f>SUMIF(#REF!,$A2,#REF!)</f>
        <v>#REF!</v>
      </c>
      <c r="O2" s="6" t="e">
        <f>SUMIF(#REF!,$A2,#REF!)</f>
        <v>#REF!</v>
      </c>
      <c r="P2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" s="48" t="e">
        <f>tableau_cotations[[#This Row],[Cout Moyen €]]*$X$46</f>
        <v>#REF!</v>
      </c>
      <c r="R2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" s="37">
        <f>IF(tableau_cotations[[#This Row],[DEVISE]]="EUR",0,IF(tableau_cotations[[#This Row],[DEVISE]]="USD",0))</f>
        <v>0</v>
      </c>
      <c r="T2" s="12">
        <f>IFERROR(SUM(tableau_cotations[[#This Row],[plus value globale CC]]/tableau_cotations[[#This Row],[Qte en portefeuille]]),0)</f>
        <v>0</v>
      </c>
      <c r="U2" s="13">
        <f>IFERROR(SUM((tableau_cotations[[#This Row],[plus value par action CC]]/tableau_cotations[[#This Row],[Cout Moyen €]])),0)</f>
        <v>0</v>
      </c>
      <c r="V2" s="14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" s="30" t="e">
        <f>SUM((tableau_cotations[[#This Row],[valeurs totale à la vente CC]]-tableau_cotations[[#This Row],[Valeur Achat €]])+tableau_cotations[[#This Row],[Valeur Vente €]])</f>
        <v>#REF!</v>
      </c>
      <c r="X2" s="17" t="e">
        <f>SUMIF(#REF!,$A2,#REF!)</f>
        <v>#REF!</v>
      </c>
      <c r="Y2" s="17" t="e">
        <f>tableau_cotations[[#This Row],[dividendes]]+tableau_cotations[[#This Row],[plus value globale CC]]</f>
        <v>#REF!</v>
      </c>
      <c r="Z2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" s="28">
        <f>IFERROR(SUM((tableau_cotations[[#This Row],[plus value par action CC]]/tableau_cotations[[#This Row],[cm avec div]])),0)</f>
        <v>0</v>
      </c>
      <c r="AB2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" s="3" t="e">
        <f>SUM(SUM(SUMIF(#REF!,$A2,#REF!)+tableau_cotations[[#This Row],[valeurs totale à la vente CC]])-SUMIF(#REF!,$A2,#REF!))/SUMIF(#REF!,$A2,#REF!)</f>
        <v>#REF!</v>
      </c>
      <c r="AD2" s="17" t="e">
        <f>SUMIF(#REF!,$A2,#REF!)+tableau_cotations[[#This Row],[valeurs totale à la vente CC]]</f>
        <v>#REF!</v>
      </c>
      <c r="AE2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" t="s">
        <v>348</v>
      </c>
      <c r="AG2" t="s">
        <v>357</v>
      </c>
      <c r="AH2" t="s">
        <v>347</v>
      </c>
      <c r="AI2" t="s">
        <v>358</v>
      </c>
      <c r="AJ2" t="s">
        <v>359</v>
      </c>
      <c r="AK2" t="s">
        <v>360</v>
      </c>
      <c r="AO2"/>
      <c r="AS2" t="s">
        <v>280</v>
      </c>
      <c r="AT2" t="s">
        <v>281</v>
      </c>
    </row>
    <row r="3" spans="1:47" ht="19.2" x14ac:dyDescent="0.3">
      <c r="A3" s="49" t="s">
        <v>68</v>
      </c>
      <c r="B3" s="50" t="s">
        <v>73</v>
      </c>
      <c r="C3" s="41" t="s">
        <v>74</v>
      </c>
      <c r="D3">
        <v>128.15</v>
      </c>
      <c r="E3" s="43">
        <f>SUM(tableau_cotations[[#This Row],[Cotation EUR]]/COTATIONS!$X$44)</f>
        <v>114.7988891874944</v>
      </c>
      <c r="F3" s="23" t="s">
        <v>23</v>
      </c>
      <c r="G3" s="24" t="s">
        <v>8</v>
      </c>
      <c r="H3" s="25" t="s">
        <v>45</v>
      </c>
      <c r="I3" s="1" t="s">
        <v>75</v>
      </c>
      <c r="J3" s="1" t="s">
        <v>76</v>
      </c>
      <c r="K3" s="31" t="e">
        <f>SUMIFS(#REF!,#REF!,$A3,#REF!,"A")</f>
        <v>#REF!</v>
      </c>
      <c r="L3" s="31" t="e">
        <f>SUMIFS(#REF!,#REF!,$A3,#REF!,"V")</f>
        <v>#REF!</v>
      </c>
      <c r="M3" s="36" t="e">
        <f t="shared" si="0"/>
        <v>#REF!</v>
      </c>
      <c r="N3" s="6" t="e">
        <f>SUMIF(#REF!,$A3,#REF!)</f>
        <v>#REF!</v>
      </c>
      <c r="O3" s="6" t="e">
        <f>SUMIF(#REF!,$A3,#REF!)</f>
        <v>#REF!</v>
      </c>
      <c r="P3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3" s="48" t="e">
        <f>tableau_cotations[[#This Row],[Cout Moyen €]]*$X$46</f>
        <v>#REF!</v>
      </c>
      <c r="R3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3" s="37">
        <f>IF(tableau_cotations[[#This Row],[DEVISE]]="EUR",0,IF(tableau_cotations[[#This Row],[DEVISE]]="USD",0))</f>
        <v>0</v>
      </c>
      <c r="T3" s="12">
        <f>IFERROR(SUM(tableau_cotations[[#This Row],[plus value globale CC]]/tableau_cotations[[#This Row],[Qte en portefeuille]]),0)</f>
        <v>0</v>
      </c>
      <c r="U3" s="13">
        <f>IFERROR(SUM((tableau_cotations[[#This Row],[plus value par action CC]]/tableau_cotations[[#This Row],[Cout Moyen €]])),0)</f>
        <v>0</v>
      </c>
      <c r="V3" s="14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3" s="30" t="e">
        <f>SUM((tableau_cotations[[#This Row],[valeurs totale à la vente CC]]-tableau_cotations[[#This Row],[Valeur Achat €]])+tableau_cotations[[#This Row],[Valeur Vente €]])</f>
        <v>#REF!</v>
      </c>
      <c r="X3" s="17" t="e">
        <f>SUMIF(#REF!,$A3,#REF!)</f>
        <v>#REF!</v>
      </c>
      <c r="Y3" s="17" t="e">
        <f>tableau_cotations[[#This Row],[dividendes]]+tableau_cotations[[#This Row],[plus value globale CC]]</f>
        <v>#REF!</v>
      </c>
      <c r="Z3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3" s="28">
        <f>IFERROR(SUM((tableau_cotations[[#This Row],[plus value par action CC]]/tableau_cotations[[#This Row],[cm avec div]])),0)</f>
        <v>0</v>
      </c>
      <c r="AB3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3" s="3" t="e">
        <f>SUM(SUM(SUMIF(#REF!,$A3,#REF!)+tableau_cotations[[#This Row],[valeurs totale à la vente CC]])-SUMIF(#REF!,$A3,#REF!))/SUMIF(#REF!,$A3,#REF!)</f>
        <v>#REF!</v>
      </c>
      <c r="AD3" s="17" t="e">
        <f>SUMIF(#REF!,$A3,#REF!)+tableau_cotations[[#This Row],[valeurs totale à la vente CC]]</f>
        <v>#REF!</v>
      </c>
      <c r="AE3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3" t="s">
        <v>345</v>
      </c>
      <c r="AG3" t="s">
        <v>345</v>
      </c>
      <c r="AH3" t="s">
        <v>345</v>
      </c>
      <c r="AI3" t="s">
        <v>361</v>
      </c>
      <c r="AJ3" t="s">
        <v>362</v>
      </c>
      <c r="AK3" t="s">
        <v>362</v>
      </c>
      <c r="AO3"/>
      <c r="AS3" t="s">
        <v>282</v>
      </c>
      <c r="AT3" t="s">
        <v>283</v>
      </c>
    </row>
    <row r="4" spans="1:47" ht="19.2" x14ac:dyDescent="0.3">
      <c r="A4" s="46" t="s">
        <v>65</v>
      </c>
      <c r="B4" s="50" t="s">
        <v>80</v>
      </c>
      <c r="C4" s="41" t="s">
        <v>81</v>
      </c>
      <c r="D4">
        <v>221.75</v>
      </c>
      <c r="E4" s="43">
        <f>SUM(tableau_cotations[[#This Row],[Cotation EUR]]/COTATIONS!$X$44)</f>
        <v>198.64731702947236</v>
      </c>
      <c r="F4" s="23" t="s">
        <v>23</v>
      </c>
      <c r="G4" s="24" t="s">
        <v>8</v>
      </c>
      <c r="H4" s="25" t="s">
        <v>45</v>
      </c>
      <c r="I4" s="1" t="s">
        <v>82</v>
      </c>
      <c r="J4" s="1" t="s">
        <v>72</v>
      </c>
      <c r="K4" s="31" t="e">
        <f>SUMIFS(#REF!,#REF!,$A4,#REF!,"A")</f>
        <v>#REF!</v>
      </c>
      <c r="L4" s="31" t="e">
        <f>SUMIFS(#REF!,#REF!,$A4,#REF!,"V")</f>
        <v>#REF!</v>
      </c>
      <c r="M4" s="36" t="e">
        <f t="shared" si="0"/>
        <v>#REF!</v>
      </c>
      <c r="N4" s="6" t="e">
        <f>SUMIF(#REF!,$A4,#REF!)</f>
        <v>#REF!</v>
      </c>
      <c r="O4" s="6" t="e">
        <f>SUMIF(#REF!,$A4,#REF!)</f>
        <v>#REF!</v>
      </c>
      <c r="P4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4" s="48" t="e">
        <f>tableau_cotations[[#This Row],[Cout Moyen €]]*$X$46</f>
        <v>#REF!</v>
      </c>
      <c r="R4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4" s="37">
        <f>IF(tableau_cotations[[#This Row],[DEVISE]]="EUR",0,IF(tableau_cotations[[#This Row],[DEVISE]]="USD",0))</f>
        <v>0</v>
      </c>
      <c r="T4" s="12">
        <f>IFERROR(SUM(tableau_cotations[[#This Row],[plus value globale CC]]/tableau_cotations[[#This Row],[Qte en portefeuille]]),0)</f>
        <v>0</v>
      </c>
      <c r="U4" s="13">
        <f>IFERROR(SUM((tableau_cotations[[#This Row],[plus value par action CC]]/tableau_cotations[[#This Row],[Cout Moyen €]])),0)</f>
        <v>0</v>
      </c>
      <c r="V4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4" s="30" t="e">
        <f>SUM((tableau_cotations[[#This Row],[valeurs totale à la vente CC]]-tableau_cotations[[#This Row],[Valeur Achat €]])+tableau_cotations[[#This Row],[Valeur Vente €]])</f>
        <v>#REF!</v>
      </c>
      <c r="X4" s="17" t="e">
        <f>SUMIF(#REF!,$A4,#REF!)</f>
        <v>#REF!</v>
      </c>
      <c r="Y4" s="17" t="e">
        <f>tableau_cotations[[#This Row],[dividendes]]+tableau_cotations[[#This Row],[plus value globale CC]]</f>
        <v>#REF!</v>
      </c>
      <c r="Z4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4" s="28">
        <f>IFERROR(SUM((tableau_cotations[[#This Row],[plus value par action CC]]/tableau_cotations[[#This Row],[cm avec div]])),0)</f>
        <v>0</v>
      </c>
      <c r="AB4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4" s="3" t="e">
        <f>SUM(SUM(SUMIF(#REF!,$A4,#REF!)+tableau_cotations[[#This Row],[valeurs totale à la vente CC]])-SUMIF(#REF!,$A4,#REF!))/SUMIF(#REF!,$A4,#REF!)</f>
        <v>#REF!</v>
      </c>
      <c r="AD4" s="17" t="e">
        <f>SUMIF(#REF!,$A4,#REF!)+tableau_cotations[[#This Row],[valeurs totale à la vente CC]]</f>
        <v>#REF!</v>
      </c>
      <c r="AE4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4" t="s">
        <v>363</v>
      </c>
      <c r="AG4" t="s">
        <v>364</v>
      </c>
      <c r="AH4" t="s">
        <v>365</v>
      </c>
      <c r="AI4" t="s">
        <v>366</v>
      </c>
      <c r="AJ4" t="s">
        <v>367</v>
      </c>
      <c r="AK4" t="s">
        <v>368</v>
      </c>
      <c r="AO4"/>
      <c r="AS4" t="s">
        <v>284</v>
      </c>
      <c r="AT4" t="s">
        <v>285</v>
      </c>
    </row>
    <row r="5" spans="1:47" ht="19.2" x14ac:dyDescent="0.3">
      <c r="A5" s="46" t="s">
        <v>67</v>
      </c>
      <c r="B5" s="50" t="s">
        <v>86</v>
      </c>
      <c r="C5" s="41" t="s">
        <v>87</v>
      </c>
      <c r="D5">
        <v>593.5</v>
      </c>
      <c r="E5" s="43">
        <f>SUM(tableau_cotations[[#This Row],[Cotation EUR]]/COTATIONS!$X$44)</f>
        <v>531.667114574935</v>
      </c>
      <c r="F5" s="23" t="s">
        <v>23</v>
      </c>
      <c r="G5" s="24" t="s">
        <v>8</v>
      </c>
      <c r="H5" s="25" t="s">
        <v>45</v>
      </c>
      <c r="I5" s="1" t="s">
        <v>71</v>
      </c>
      <c r="J5" s="1" t="s">
        <v>72</v>
      </c>
      <c r="K5" s="31" t="e">
        <f>SUMIFS(#REF!,#REF!,$A5,#REF!,"A")</f>
        <v>#REF!</v>
      </c>
      <c r="L5" s="31" t="e">
        <f>SUMIFS(#REF!,#REF!,$A5,#REF!,"V")</f>
        <v>#REF!</v>
      </c>
      <c r="M5" s="36" t="e">
        <f t="shared" si="0"/>
        <v>#REF!</v>
      </c>
      <c r="N5" s="6" t="e">
        <f>SUMIF(#REF!,$A5,#REF!)</f>
        <v>#REF!</v>
      </c>
      <c r="O5" s="6" t="e">
        <f>SUMIF(#REF!,$A5,#REF!)</f>
        <v>#REF!</v>
      </c>
      <c r="P5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5" s="48" t="e">
        <f>tableau_cotations[[#This Row],[Cout Moyen €]]*$X$46</f>
        <v>#REF!</v>
      </c>
      <c r="R5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5" s="37">
        <f>IF(tableau_cotations[[#This Row],[DEVISE]]="EUR",0,IF(tableau_cotations[[#This Row],[DEVISE]]="USD",0))</f>
        <v>0</v>
      </c>
      <c r="T5" s="12">
        <f>IFERROR(SUM(tableau_cotations[[#This Row],[plus value globale CC]]/tableau_cotations[[#This Row],[Qte en portefeuille]]),0)</f>
        <v>0</v>
      </c>
      <c r="U5" s="13">
        <f>IFERROR(SUM((tableau_cotations[[#This Row],[plus value par action CC]]/tableau_cotations[[#This Row],[Cout Moyen €]])),0)</f>
        <v>0</v>
      </c>
      <c r="V5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5" s="30" t="e">
        <f>SUM((tableau_cotations[[#This Row],[valeurs totale à la vente CC]]-tableau_cotations[[#This Row],[Valeur Achat €]])+tableau_cotations[[#This Row],[Valeur Vente €]])</f>
        <v>#REF!</v>
      </c>
      <c r="X5" s="17" t="e">
        <f>SUMIF(#REF!,$A5,#REF!)</f>
        <v>#REF!</v>
      </c>
      <c r="Y5" s="17" t="e">
        <f>tableau_cotations[[#This Row],[dividendes]]+tableau_cotations[[#This Row],[plus value globale CC]]</f>
        <v>#REF!</v>
      </c>
      <c r="Z5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5" s="28">
        <f>IFERROR(SUM((tableau_cotations[[#This Row],[plus value par action CC]]/tableau_cotations[[#This Row],[cm avec div]])),0)</f>
        <v>0</v>
      </c>
      <c r="AB5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5" s="3" t="e">
        <f>SUM(SUM(SUMIF(#REF!,$A5,#REF!)+tableau_cotations[[#This Row],[valeurs totale à la vente CC]])-SUMIF(#REF!,$A5,#REF!))/SUMIF(#REF!,$A5,#REF!)</f>
        <v>#REF!</v>
      </c>
      <c r="AD5" s="17" t="e">
        <f>SUMIF(#REF!,$A5,#REF!)+tableau_cotations[[#This Row],[valeurs totale à la vente CC]]</f>
        <v>#REF!</v>
      </c>
      <c r="AE5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5" t="s">
        <v>369</v>
      </c>
      <c r="AG5" t="s">
        <v>370</v>
      </c>
      <c r="AH5" t="s">
        <v>371</v>
      </c>
      <c r="AI5" t="s">
        <v>372</v>
      </c>
      <c r="AJ5" t="s">
        <v>373</v>
      </c>
      <c r="AK5" t="s">
        <v>374</v>
      </c>
      <c r="AO5"/>
      <c r="AS5" t="s">
        <v>286</v>
      </c>
      <c r="AT5" t="s">
        <v>287</v>
      </c>
    </row>
    <row r="6" spans="1:47" ht="19.2" x14ac:dyDescent="0.3">
      <c r="A6" s="49" t="s">
        <v>69</v>
      </c>
      <c r="B6" s="50" t="s">
        <v>77</v>
      </c>
      <c r="C6" s="41" t="s">
        <v>78</v>
      </c>
      <c r="D6">
        <v>238.6</v>
      </c>
      <c r="E6" s="43">
        <f>SUM(tableau_cotations[[#This Row],[Cotation EUR]]/COTATIONS!$X$44)</f>
        <v>213.74182567410193</v>
      </c>
      <c r="F6" s="23" t="s">
        <v>23</v>
      </c>
      <c r="G6" s="24" t="s">
        <v>8</v>
      </c>
      <c r="H6" s="25" t="s">
        <v>45</v>
      </c>
      <c r="I6" s="1" t="s">
        <v>79</v>
      </c>
      <c r="J6" s="1" t="s">
        <v>64</v>
      </c>
      <c r="K6" s="31" t="e">
        <f>SUMIFS(#REF!,#REF!,$A6,#REF!,"A")</f>
        <v>#REF!</v>
      </c>
      <c r="L6" s="31" t="e">
        <f>SUMIFS(#REF!,#REF!,$A6,#REF!,"V")</f>
        <v>#REF!</v>
      </c>
      <c r="M6" s="36" t="e">
        <f t="shared" si="0"/>
        <v>#REF!</v>
      </c>
      <c r="N6" s="6" t="e">
        <f>SUMIF(#REF!,$A6,#REF!)</f>
        <v>#REF!</v>
      </c>
      <c r="O6" s="6" t="e">
        <f>SUMIF(#REF!,$A6,#REF!)</f>
        <v>#REF!</v>
      </c>
      <c r="P6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6" s="48" t="e">
        <f>tableau_cotations[[#This Row],[Cout Moyen €]]*$X$46</f>
        <v>#REF!</v>
      </c>
      <c r="R6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6" s="37">
        <f>IF(tableau_cotations[[#This Row],[DEVISE]]="EUR",0,IF(tableau_cotations[[#This Row],[DEVISE]]="USD",0))</f>
        <v>0</v>
      </c>
      <c r="T6" s="12">
        <f>IFERROR(SUM(tableau_cotations[[#This Row],[plus value globale CC]]/tableau_cotations[[#This Row],[Qte en portefeuille]]),0)</f>
        <v>0</v>
      </c>
      <c r="U6" s="13">
        <f>IFERROR(SUM((tableau_cotations[[#This Row],[plus value par action CC]]/tableau_cotations[[#This Row],[Cout Moyen €]])),0)</f>
        <v>0</v>
      </c>
      <c r="V6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6" s="30" t="e">
        <f>SUM((tableau_cotations[[#This Row],[valeurs totale à la vente CC]]-tableau_cotations[[#This Row],[Valeur Achat €]])+tableau_cotations[[#This Row],[Valeur Vente €]])</f>
        <v>#REF!</v>
      </c>
      <c r="X6" s="17" t="e">
        <f>SUMIF(#REF!,$A6,#REF!)</f>
        <v>#REF!</v>
      </c>
      <c r="Y6" s="17" t="e">
        <f>tableau_cotations[[#This Row],[dividendes]]+tableau_cotations[[#This Row],[plus value globale CC]]</f>
        <v>#REF!</v>
      </c>
      <c r="Z6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6" s="28">
        <f>IFERROR(SUM((tableau_cotations[[#This Row],[plus value par action CC]]/tableau_cotations[[#This Row],[cm avec div]])),0)</f>
        <v>0</v>
      </c>
      <c r="AB6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6" s="3" t="e">
        <f>SUM(SUM(SUMIF(#REF!,$A6,#REF!)+tableau_cotations[[#This Row],[valeurs totale à la vente CC]])-SUMIF(#REF!,$A6,#REF!))/SUMIF(#REF!,$A6,#REF!)</f>
        <v>#REF!</v>
      </c>
      <c r="AD6" s="17" t="e">
        <f>SUMIF(#REF!,$A6,#REF!)+tableau_cotations[[#This Row],[valeurs totale à la vente CC]]</f>
        <v>#REF!</v>
      </c>
      <c r="AE6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6" t="s">
        <v>350</v>
      </c>
      <c r="AG6" t="s">
        <v>375</v>
      </c>
      <c r="AH6" t="s">
        <v>376</v>
      </c>
      <c r="AI6" t="s">
        <v>377</v>
      </c>
      <c r="AJ6" t="s">
        <v>378</v>
      </c>
      <c r="AK6" t="s">
        <v>379</v>
      </c>
      <c r="AO6"/>
      <c r="AS6" t="s">
        <v>288</v>
      </c>
      <c r="AT6" t="s">
        <v>289</v>
      </c>
    </row>
    <row r="7" spans="1:47" ht="15.6" x14ac:dyDescent="0.3">
      <c r="A7" t="s">
        <v>42</v>
      </c>
      <c r="B7" s="56" t="s">
        <v>43</v>
      </c>
      <c r="C7" s="41" t="s">
        <v>44</v>
      </c>
      <c r="D7">
        <v>170.24</v>
      </c>
      <c r="E7" s="43">
        <f>SUM(tableau_cotations[[#This Row],[Cotation EUR]]/COTATIONS!$X$44)</f>
        <v>152.50380722028129</v>
      </c>
      <c r="F7" s="23" t="s">
        <v>23</v>
      </c>
      <c r="G7" s="24" t="s">
        <v>8</v>
      </c>
      <c r="H7" s="25" t="s">
        <v>45</v>
      </c>
      <c r="I7" s="1" t="s">
        <v>46</v>
      </c>
      <c r="J7" s="1" t="s">
        <v>47</v>
      </c>
      <c r="K7" s="31" t="e">
        <f>SUMIFS(#REF!,#REF!,$A7,#REF!,"A")</f>
        <v>#REF!</v>
      </c>
      <c r="L7" s="31" t="e">
        <f>SUMIFS(#REF!,#REF!,$A7,#REF!,"V")</f>
        <v>#REF!</v>
      </c>
      <c r="M7" s="36" t="e">
        <f t="shared" si="0"/>
        <v>#REF!</v>
      </c>
      <c r="N7" s="6" t="e">
        <f>SUMIF(#REF!,$A7,#REF!)</f>
        <v>#REF!</v>
      </c>
      <c r="O7" s="6" t="e">
        <f>SUMIF(#REF!,$A7,#REF!)</f>
        <v>#REF!</v>
      </c>
      <c r="P7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7" s="6" t="e">
        <f>tableau_cotations[[#This Row],[Cout Moyen €]]*$X$44</f>
        <v>#REF!</v>
      </c>
      <c r="R7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7" s="37">
        <f>IF(tableau_cotations[[#This Row],[DEVISE]]="EUR",0,IF(tableau_cotations[[#This Row],[DEVISE]]="USD",0))</f>
        <v>0</v>
      </c>
      <c r="T7" s="12">
        <f>IFERROR(SUM(tableau_cotations[[#This Row],[plus value globale CC]]/tableau_cotations[[#This Row],[Qte en portefeuille]]),0)</f>
        <v>0</v>
      </c>
      <c r="U7" s="13">
        <f>IFERROR(SUM((tableau_cotations[[#This Row],[plus value par action CC]]/tableau_cotations[[#This Row],[Cout Moyen €]])),0)</f>
        <v>0</v>
      </c>
      <c r="V7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7" s="30" t="e">
        <f>SUM((tableau_cotations[[#This Row],[valeurs totale à la vente CC]]-tableau_cotations[[#This Row],[Valeur Achat €]])+tableau_cotations[[#This Row],[Valeur Vente €]])</f>
        <v>#REF!</v>
      </c>
      <c r="X7" s="17" t="e">
        <f>SUMIF(#REF!,$A7,#REF!)</f>
        <v>#REF!</v>
      </c>
      <c r="Y7" s="17" t="e">
        <f>tableau_cotations[[#This Row],[dividendes]]+tableau_cotations[[#This Row],[plus value globale CC]]</f>
        <v>#REF!</v>
      </c>
      <c r="Z7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Vente €]]+tableau_cotations[[#This Row],[dividendes]])-tableau_cotations[[#This Row],[Valeur Achat €]]/tableau_cotations[[#This Row],[Qte en portefeuille]]),0)</f>
        <v>0</v>
      </c>
      <c r="AA7" s="28">
        <f>IFERROR(SUM((tableau_cotations[[#This Row],[plus value par action CC]]/tableau_cotations[[#This Row],[cm avec div]])),0)</f>
        <v>0</v>
      </c>
      <c r="AB7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7" s="3" t="e">
        <f>SUM(SUM(SUMIF(#REF!,$A7,#REF!)+tableau_cotations[[#This Row],[valeurs totale à la vente CC]])-SUMIF(#REF!,$A7,#REF!))/SUMIF(#REF!,$A7,#REF!)</f>
        <v>#REF!</v>
      </c>
      <c r="AD7" s="17" t="e">
        <f>SUMIF(#REF!,$A7,#REF!)+tableau_cotations[[#This Row],[valeurs totale à la vente CC]]</f>
        <v>#REF!</v>
      </c>
      <c r="AE7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7" t="s">
        <v>380</v>
      </c>
      <c r="AG7" t="s">
        <v>381</v>
      </c>
      <c r="AH7" t="s">
        <v>350</v>
      </c>
      <c r="AI7" t="s">
        <v>382</v>
      </c>
      <c r="AJ7" t="s">
        <v>383</v>
      </c>
      <c r="AK7" t="s">
        <v>384</v>
      </c>
      <c r="AO7"/>
      <c r="AS7" t="s">
        <v>290</v>
      </c>
      <c r="AT7" t="s">
        <v>291</v>
      </c>
    </row>
    <row r="8" spans="1:47" ht="15.6" x14ac:dyDescent="0.3">
      <c r="A8" t="s">
        <v>55</v>
      </c>
      <c r="B8" s="50" t="s">
        <v>61</v>
      </c>
      <c r="C8" s="41" t="s">
        <v>62</v>
      </c>
      <c r="D8">
        <v>211</v>
      </c>
      <c r="E8" s="43">
        <f>SUM(tableau_cotations[[#This Row],[Cotation EUR]]/COTATIONS!$X$44)</f>
        <v>189.01728925915972</v>
      </c>
      <c r="F8" s="23" t="s">
        <v>23</v>
      </c>
      <c r="G8" s="24" t="s">
        <v>8</v>
      </c>
      <c r="H8" s="25" t="s">
        <v>45</v>
      </c>
      <c r="I8" s="1" t="s">
        <v>63</v>
      </c>
      <c r="J8" s="26" t="s">
        <v>64</v>
      </c>
      <c r="K8" s="31" t="e">
        <f>SUMIFS(#REF!,#REF!,$A8,#REF!,"A")</f>
        <v>#REF!</v>
      </c>
      <c r="L8" s="31" t="e">
        <f>SUMIFS(#REF!,#REF!,$A8,#REF!,"V")</f>
        <v>#REF!</v>
      </c>
      <c r="M8" s="36" t="e">
        <f t="shared" si="0"/>
        <v>#REF!</v>
      </c>
      <c r="N8" s="6" t="e">
        <f>SUMIF(#REF!,$A8,#REF!)</f>
        <v>#REF!</v>
      </c>
      <c r="O8" s="6" t="e">
        <f>SUMIF(#REF!,$A8,#REF!)</f>
        <v>#REF!</v>
      </c>
      <c r="P8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8" s="48" t="e">
        <f>tableau_cotations[[#This Row],[Cout Moyen €]]*$X$46</f>
        <v>#REF!</v>
      </c>
      <c r="R8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8" s="37">
        <f>IF(tableau_cotations[[#This Row],[DEVISE]]="EUR",0,IF(tableau_cotations[[#This Row],[DEVISE]]="USD",0))</f>
        <v>0</v>
      </c>
      <c r="T8" s="12">
        <f>IFERROR(SUM(tableau_cotations[[#This Row],[plus value globale CC]]/tableau_cotations[[#This Row],[Qte en portefeuille]]),0)</f>
        <v>0</v>
      </c>
      <c r="U8" s="13">
        <f>IFERROR(SUM((tableau_cotations[[#This Row],[plus value par action CC]]/tableau_cotations[[#This Row],[Cout Moyen €]])),0)</f>
        <v>0</v>
      </c>
      <c r="V8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8" s="30" t="e">
        <f>SUM((tableau_cotations[[#This Row],[valeurs totale à la vente CC]]-tableau_cotations[[#This Row],[Valeur Achat €]])+tableau_cotations[[#This Row],[Valeur Vente €]])</f>
        <v>#REF!</v>
      </c>
      <c r="X8" s="17" t="e">
        <f>SUMIF(#REF!,$A8,#REF!)</f>
        <v>#REF!</v>
      </c>
      <c r="Y8" s="17" t="e">
        <f>tableau_cotations[[#This Row],[dividendes]]+tableau_cotations[[#This Row],[plus value globale CC]]</f>
        <v>#REF!</v>
      </c>
      <c r="Z8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8" s="28">
        <f>IFERROR(SUM((tableau_cotations[[#This Row],[plus value par action CC]]/tableau_cotations[[#This Row],[cm avec div]])),0)</f>
        <v>0</v>
      </c>
      <c r="AB8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8" s="3" t="e">
        <f>SUM(SUM(SUMIF(#REF!,$A8,#REF!)+tableau_cotations[[#This Row],[valeurs totale à la vente CC]])-SUMIF(#REF!,$A8,#REF!))/SUMIF(#REF!,$A8,#REF!)</f>
        <v>#REF!</v>
      </c>
      <c r="AD8" s="17" t="e">
        <f>SUMIF(#REF!,$A8,#REF!)+tableau_cotations[[#This Row],[valeurs totale à la vente CC]]</f>
        <v>#REF!</v>
      </c>
      <c r="AE8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8" t="s">
        <v>385</v>
      </c>
      <c r="AG8" t="s">
        <v>386</v>
      </c>
      <c r="AH8" t="s">
        <v>387</v>
      </c>
      <c r="AI8" t="s">
        <v>388</v>
      </c>
      <c r="AJ8" t="s">
        <v>389</v>
      </c>
      <c r="AK8" t="s">
        <v>390</v>
      </c>
      <c r="AO8"/>
      <c r="AS8" t="s">
        <v>292</v>
      </c>
      <c r="AT8" t="s">
        <v>293</v>
      </c>
    </row>
    <row r="9" spans="1:47" ht="19.2" x14ac:dyDescent="0.3">
      <c r="A9" s="46" t="s">
        <v>48</v>
      </c>
      <c r="B9" s="50" t="s">
        <v>49</v>
      </c>
      <c r="C9" s="41" t="s">
        <v>50</v>
      </c>
      <c r="D9">
        <v>203.5</v>
      </c>
      <c r="E9" s="43">
        <f>SUM(tableau_cotations[[#This Row],[Cotation EUR]]/COTATIONS!$X$44)</f>
        <v>182.2986652333602</v>
      </c>
      <c r="F9" s="23" t="s">
        <v>23</v>
      </c>
      <c r="G9" s="24" t="s">
        <v>8</v>
      </c>
      <c r="H9" s="25" t="s">
        <v>45</v>
      </c>
      <c r="I9" s="1" t="s">
        <v>51</v>
      </c>
      <c r="J9" s="26" t="s">
        <v>52</v>
      </c>
      <c r="K9" s="31" t="e">
        <f>SUMIFS(#REF!,#REF!,$A9,#REF!,"A")</f>
        <v>#REF!</v>
      </c>
      <c r="L9" s="31" t="e">
        <f>SUMIFS(#REF!,#REF!,$A9,#REF!,"V")</f>
        <v>#REF!</v>
      </c>
      <c r="M9" s="36" t="e">
        <f t="shared" si="0"/>
        <v>#REF!</v>
      </c>
      <c r="N9" s="6" t="e">
        <f>SUMIF(#REF!,$A9,#REF!)</f>
        <v>#REF!</v>
      </c>
      <c r="O9" s="6" t="e">
        <f>SUMIF(#REF!,$A9,#REF!)</f>
        <v>#REF!</v>
      </c>
      <c r="P9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9" s="6" t="e">
        <f>tableau_cotations[[#This Row],[Cout Moyen €]]*$X$44</f>
        <v>#REF!</v>
      </c>
      <c r="R9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9" s="37">
        <f>IF(tableau_cotations[[#This Row],[DEVISE]]="EUR",0,IF(tableau_cotations[[#This Row],[DEVISE]]="USD",0))</f>
        <v>0</v>
      </c>
      <c r="T9" s="12">
        <f>IFERROR(SUM(tableau_cotations[[#This Row],[plus value globale CC]]/tableau_cotations[[#This Row],[Qte en portefeuille]]),0)</f>
        <v>0</v>
      </c>
      <c r="U9" s="13">
        <f>IFERROR(SUM((tableau_cotations[[#This Row],[plus value par action CC]]/tableau_cotations[[#This Row],[Cout Moyen €]])),0)</f>
        <v>0</v>
      </c>
      <c r="V9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9" s="30" t="e">
        <f>SUM((tableau_cotations[[#This Row],[valeurs totale à la vente CC]]-tableau_cotations[[#This Row],[Valeur Achat €]])+tableau_cotations[[#This Row],[Valeur Vente €]])</f>
        <v>#REF!</v>
      </c>
      <c r="X9" s="17" t="e">
        <f>SUMIF(#REF!,$A9,#REF!)</f>
        <v>#REF!</v>
      </c>
      <c r="Y9" s="17" t="e">
        <f>tableau_cotations[[#This Row],[dividendes]]+tableau_cotations[[#This Row],[plus value globale CC]]</f>
        <v>#REF!</v>
      </c>
      <c r="Z9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9" s="28">
        <f>IFERROR(SUM((tableau_cotations[[#This Row],[plus value par action CC]]/tableau_cotations[[#This Row],[cm avec div]])),0)</f>
        <v>0</v>
      </c>
      <c r="AB9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9" s="3" t="e">
        <f>SUM(SUM(SUMIF(#REF!,$A9,#REF!)+tableau_cotations[[#This Row],[valeurs totale à la vente CC]])-SUMIF(#REF!,$A9,#REF!))/SUMIF(#REF!,$A9,#REF!)</f>
        <v>#REF!</v>
      </c>
      <c r="AD9" s="17" t="e">
        <f>SUMIF(#REF!,$A9,#REF!)+tableau_cotations[[#This Row],[valeurs totale à la vente CC]]</f>
        <v>#REF!</v>
      </c>
      <c r="AE9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9" t="s">
        <v>391</v>
      </c>
      <c r="AG9" t="s">
        <v>392</v>
      </c>
      <c r="AH9" t="s">
        <v>393</v>
      </c>
      <c r="AI9" t="s">
        <v>394</v>
      </c>
      <c r="AJ9" t="s">
        <v>395</v>
      </c>
      <c r="AK9" t="s">
        <v>396</v>
      </c>
      <c r="AO9"/>
      <c r="AS9" t="s">
        <v>294</v>
      </c>
      <c r="AT9" t="s">
        <v>295</v>
      </c>
    </row>
    <row r="10" spans="1:47" ht="19.2" x14ac:dyDescent="0.3">
      <c r="A10" s="46" t="s">
        <v>66</v>
      </c>
      <c r="B10" s="50" t="s">
        <v>83</v>
      </c>
      <c r="C10" s="41" t="s">
        <v>85</v>
      </c>
      <c r="D10">
        <v>368.3</v>
      </c>
      <c r="E10" s="43">
        <f>SUM(tableau_cotations[[#This Row],[Cotation EUR]]/COTATIONS!$X$44)</f>
        <v>329.9292304935949</v>
      </c>
      <c r="F10" s="23" t="s">
        <v>23</v>
      </c>
      <c r="G10" s="24" t="s">
        <v>8</v>
      </c>
      <c r="H10" s="25" t="s">
        <v>45</v>
      </c>
      <c r="I10" s="1" t="s">
        <v>84</v>
      </c>
      <c r="J10" s="1" t="s">
        <v>76</v>
      </c>
      <c r="K10" s="31" t="e">
        <f>SUMIFS(#REF!,#REF!,$A10,#REF!,"A")</f>
        <v>#REF!</v>
      </c>
      <c r="L10" s="31" t="e">
        <f>SUMIFS(#REF!,#REF!,$A10,#REF!,"V")</f>
        <v>#REF!</v>
      </c>
      <c r="M10" s="36" t="e">
        <f t="shared" si="0"/>
        <v>#REF!</v>
      </c>
      <c r="N10" s="6" t="e">
        <f>SUMIF(#REF!,$A10,#REF!)</f>
        <v>#REF!</v>
      </c>
      <c r="O10" s="6" t="e">
        <f>SUMIF(#REF!,$A10,#REF!)</f>
        <v>#REF!</v>
      </c>
      <c r="P10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10" s="48" t="e">
        <f>tableau_cotations[[#This Row],[Cout Moyen €]]*$X$46</f>
        <v>#REF!</v>
      </c>
      <c r="R10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10" s="37">
        <f>IF(tableau_cotations[[#This Row],[DEVISE]]="EUR",0,IF(tableau_cotations[[#This Row],[DEVISE]]="USD",0))</f>
        <v>0</v>
      </c>
      <c r="T10" s="12">
        <f>IFERROR(SUM(tableau_cotations[[#This Row],[plus value globale CC]]/tableau_cotations[[#This Row],[Qte en portefeuille]]),0)</f>
        <v>0</v>
      </c>
      <c r="U10" s="13">
        <f>IFERROR(SUM((tableau_cotations[[#This Row],[plus value par action CC]]/tableau_cotations[[#This Row],[Cout Moyen €]])),0)</f>
        <v>0</v>
      </c>
      <c r="V10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10" s="30" t="e">
        <f>SUM((tableau_cotations[[#This Row],[valeurs totale à la vente CC]]-tableau_cotations[[#This Row],[Valeur Achat €]])+tableau_cotations[[#This Row],[Valeur Vente €]])</f>
        <v>#REF!</v>
      </c>
      <c r="X10" s="17" t="e">
        <f>SUMIF(#REF!,$A10,#REF!)</f>
        <v>#REF!</v>
      </c>
      <c r="Y10" s="17" t="e">
        <f>tableau_cotations[[#This Row],[dividendes]]+tableau_cotations[[#This Row],[plus value globale CC]]</f>
        <v>#REF!</v>
      </c>
      <c r="Z10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10" s="28">
        <f>IFERROR(SUM((tableau_cotations[[#This Row],[plus value par action CC]]/tableau_cotations[[#This Row],[cm avec div]])),0)</f>
        <v>0</v>
      </c>
      <c r="AB10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10" s="3" t="e">
        <f>SUM(SUM(SUMIF(#REF!,$A10,#REF!)+tableau_cotations[[#This Row],[valeurs totale à la vente CC]])-SUMIF(#REF!,$A10,#REF!))/SUMIF(#REF!,$A10,#REF!)</f>
        <v>#REF!</v>
      </c>
      <c r="AD10" s="17" t="e">
        <f>SUMIF(#REF!,$A10,#REF!)+tableau_cotations[[#This Row],[valeurs totale à la vente CC]]</f>
        <v>#REF!</v>
      </c>
      <c r="AE10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10" t="s">
        <v>349</v>
      </c>
      <c r="AG10" t="s">
        <v>346</v>
      </c>
      <c r="AH10" t="s">
        <v>397</v>
      </c>
      <c r="AI10" t="s">
        <v>398</v>
      </c>
      <c r="AJ10" t="s">
        <v>399</v>
      </c>
      <c r="AK10" t="s">
        <v>400</v>
      </c>
      <c r="AO10"/>
      <c r="AS10" t="s">
        <v>296</v>
      </c>
      <c r="AT10" t="s">
        <v>297</v>
      </c>
    </row>
    <row r="11" spans="1:47" ht="15.6" x14ac:dyDescent="0.3">
      <c r="A11" t="s">
        <v>54</v>
      </c>
      <c r="B11" s="50" t="s">
        <v>59</v>
      </c>
      <c r="C11" s="41" t="s">
        <v>60</v>
      </c>
      <c r="D11">
        <v>1930.5</v>
      </c>
      <c r="E11" s="43">
        <f>SUM(tableau_cotations[[#This Row],[Cotation EUR]]/COTATIONS!$X$44)</f>
        <v>1729.3738242407953</v>
      </c>
      <c r="F11" s="23" t="s">
        <v>23</v>
      </c>
      <c r="G11" s="24" t="s">
        <v>8</v>
      </c>
      <c r="H11" s="25" t="s">
        <v>45</v>
      </c>
      <c r="I11" s="1" t="s">
        <v>71</v>
      </c>
      <c r="J11" s="1" t="s">
        <v>72</v>
      </c>
      <c r="K11" s="31" t="e">
        <f>SUMIFS(#REF!,#REF!,$A11,#REF!,"A")</f>
        <v>#REF!</v>
      </c>
      <c r="L11" s="31" t="e">
        <f>SUMIFS(#REF!,#REF!,$A11,#REF!,"V")</f>
        <v>#REF!</v>
      </c>
      <c r="M11" s="36" t="e">
        <f t="shared" si="0"/>
        <v>#REF!</v>
      </c>
      <c r="N11" s="6" t="e">
        <f>SUMIF(#REF!,$A11,#REF!)</f>
        <v>#REF!</v>
      </c>
      <c r="O11" s="6" t="e">
        <f>SUMIF(#REF!,$A11,#REF!)</f>
        <v>#REF!</v>
      </c>
      <c r="P11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11" s="48" t="e">
        <f>tableau_cotations[[#This Row],[Cout Moyen €]]*$X$46</f>
        <v>#REF!</v>
      </c>
      <c r="R11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11" s="37">
        <f>IF(tableau_cotations[[#This Row],[DEVISE]]="EUR",0,IF(tableau_cotations[[#This Row],[DEVISE]]="USD",0))</f>
        <v>0</v>
      </c>
      <c r="T11" s="12">
        <f>IFERROR(SUM(tableau_cotations[[#This Row],[plus value globale CC]]/tableau_cotations[[#This Row],[Qte en portefeuille]]),0)</f>
        <v>0</v>
      </c>
      <c r="U11" s="13">
        <f>IFERROR(SUM((tableau_cotations[[#This Row],[plus value par action CC]]/tableau_cotations[[#This Row],[Cout Moyen €]])),0)</f>
        <v>0</v>
      </c>
      <c r="V11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11" s="30" t="e">
        <f>SUM((tableau_cotations[[#This Row],[valeurs totale à la vente CC]]-tableau_cotations[[#This Row],[Valeur Achat €]])+tableau_cotations[[#This Row],[Valeur Vente €]])</f>
        <v>#REF!</v>
      </c>
      <c r="X11" s="17" t="e">
        <f>SUMIF(#REF!,$A11,#REF!)</f>
        <v>#REF!</v>
      </c>
      <c r="Y11" s="17" t="e">
        <f>tableau_cotations[[#This Row],[dividendes]]+tableau_cotations[[#This Row],[plus value globale CC]]</f>
        <v>#REF!</v>
      </c>
      <c r="Z11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11" s="28">
        <f>IFERROR(SUM((tableau_cotations[[#This Row],[plus value par action CC]]/tableau_cotations[[#This Row],[cm avec div]])),0)</f>
        <v>0</v>
      </c>
      <c r="AB11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11" s="3" t="e">
        <f>SUM(SUM(SUMIF(#REF!,$A11,#REF!)+tableau_cotations[[#This Row],[valeurs totale à la vente CC]])-SUMIF(#REF!,$A11,#REF!))/SUMIF(#REF!,$A11,#REF!)</f>
        <v>#REF!</v>
      </c>
      <c r="AD11" s="17" t="e">
        <f>SUMIF(#REF!,$A11,#REF!)+tableau_cotations[[#This Row],[valeurs totale à la vente CC]]</f>
        <v>#REF!</v>
      </c>
      <c r="AE11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11" t="s">
        <v>401</v>
      </c>
      <c r="AG11" t="s">
        <v>402</v>
      </c>
      <c r="AH11" t="s">
        <v>403</v>
      </c>
      <c r="AI11" t="s">
        <v>404</v>
      </c>
      <c r="AJ11" t="s">
        <v>405</v>
      </c>
      <c r="AK11" t="s">
        <v>406</v>
      </c>
      <c r="AO11"/>
      <c r="AS11" t="s">
        <v>298</v>
      </c>
      <c r="AT11" t="s">
        <v>299</v>
      </c>
    </row>
    <row r="12" spans="1:47" ht="15.6" x14ac:dyDescent="0.3">
      <c r="A12" t="s">
        <v>101</v>
      </c>
      <c r="B12" s="50" t="s">
        <v>118</v>
      </c>
      <c r="C12" t="s">
        <v>150</v>
      </c>
      <c r="D12">
        <v>109.25</v>
      </c>
      <c r="E12" s="23">
        <f>SUM(tableau_cotations[[#This Row],[Cotation EUR]]/COTATIONS!$X$46)</f>
        <v>15607.142857142857</v>
      </c>
      <c r="F12" s="23" t="s">
        <v>23</v>
      </c>
      <c r="G12" s="24" t="str">
        <f>IF(tableau_cotations[[#This Row],[pays]]="usa","USD",IF(tableau_cotations[[#This Row],[pays]]="Royaume-Uni","GBP","EUR"))</f>
        <v>EUR</v>
      </c>
      <c r="H12" s="25" t="s">
        <v>45</v>
      </c>
      <c r="I12" s="1" t="s">
        <v>119</v>
      </c>
      <c r="J12" s="26" t="s">
        <v>64</v>
      </c>
      <c r="K12" s="31" t="e">
        <f>SUMIFS(#REF!,#REF!,$A12,#REF!,"A")</f>
        <v>#REF!</v>
      </c>
      <c r="L12" s="31" t="e">
        <f>SUMIFS(#REF!,#REF!,$A12,#REF!,"V")</f>
        <v>#REF!</v>
      </c>
      <c r="M12" s="36" t="e">
        <f t="shared" ref="M12:M15" si="1">K12-L12</f>
        <v>#REF!</v>
      </c>
      <c r="N12" s="6" t="e">
        <f>SUMIF(#REF!,$A12,#REF!)</f>
        <v>#REF!</v>
      </c>
      <c r="O12" s="6" t="e">
        <f>SUMIF(#REF!,$A12,#REF!)</f>
        <v>#REF!</v>
      </c>
      <c r="P12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12" s="48" t="e">
        <f>tableau_cotations[[#This Row],[Cout Moyen €]]*$X$46</f>
        <v>#REF!</v>
      </c>
      <c r="R12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12" s="37">
        <f>IF(tableau_cotations[[#This Row],[DEVISE]]="EUR",0,IF(tableau_cotations[[#This Row],[DEVISE]]="USD",0))</f>
        <v>0</v>
      </c>
      <c r="T12" s="12">
        <f>IFERROR(SUM(tableau_cotations[[#This Row],[plus value globale CC]]/tableau_cotations[[#This Row],[Qte en portefeuille]]),0)</f>
        <v>0</v>
      </c>
      <c r="U12" s="13">
        <f>IFERROR(SUM((tableau_cotations[[#This Row],[plus value par action CC]]/tableau_cotations[[#This Row],[Cout Moyen €]])),0)</f>
        <v>0</v>
      </c>
      <c r="V12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12" s="30" t="e">
        <f>SUM((tableau_cotations[[#This Row],[valeurs totale à la vente CC]]-tableau_cotations[[#This Row],[Valeur Achat €]])+tableau_cotations[[#This Row],[Valeur Vente €]])</f>
        <v>#REF!</v>
      </c>
      <c r="X12" s="17" t="e">
        <f>SUMIF(#REF!,$A12,#REF!)</f>
        <v>#REF!</v>
      </c>
      <c r="Y12" s="17" t="e">
        <f>tableau_cotations[[#This Row],[dividendes]]+tableau_cotations[[#This Row],[plus value globale CC]]</f>
        <v>#REF!</v>
      </c>
      <c r="Z12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12" s="28">
        <f>IFERROR(SUM((tableau_cotations[[#This Row],[plus value par action CC]]/tableau_cotations[[#This Row],[cm avec div]])),0)</f>
        <v>0</v>
      </c>
      <c r="AB12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12" s="3" t="e">
        <f>SUM(SUM(SUMIF(#REF!,$A12,#REF!)+tableau_cotations[[#This Row],[valeurs totale à la vente CC]])-SUMIF(#REF!,$A12,#REF!))/SUMIF(#REF!,$A12,#REF!)</f>
        <v>#REF!</v>
      </c>
      <c r="AD12" s="17" t="e">
        <f>SUMIF(#REF!,$A12,#REF!)+tableau_cotations[[#This Row],[valeurs totale à la vente CC]]</f>
        <v>#REF!</v>
      </c>
      <c r="AE12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12" t="s">
        <v>407</v>
      </c>
      <c r="AG12" t="s">
        <v>408</v>
      </c>
      <c r="AH12" t="s">
        <v>409</v>
      </c>
      <c r="AI12" t="s">
        <v>410</v>
      </c>
      <c r="AJ12" t="s">
        <v>411</v>
      </c>
      <c r="AK12" t="s">
        <v>412</v>
      </c>
      <c r="AO12"/>
      <c r="AS12" t="s">
        <v>300</v>
      </c>
      <c r="AT12" t="s">
        <v>301</v>
      </c>
    </row>
    <row r="13" spans="1:47" ht="15.6" x14ac:dyDescent="0.3">
      <c r="A13" t="s">
        <v>102</v>
      </c>
      <c r="B13" s="50" t="s">
        <v>120</v>
      </c>
      <c r="C13" t="s">
        <v>151</v>
      </c>
      <c r="D13">
        <v>36.659999999999997</v>
      </c>
      <c r="E13" s="23">
        <f>SUM(tableau_cotations[[#This Row],[Cotation EUR]]/COTATIONS!$X$46)</f>
        <v>5237.1428571428569</v>
      </c>
      <c r="F13" s="23" t="s">
        <v>23</v>
      </c>
      <c r="G13" s="24" t="str">
        <f>IF(tableau_cotations[[#This Row],[pays]]="usa","USD",IF(tableau_cotations[[#This Row],[pays]]="Royaume-Uni","GBP","EUR"))</f>
        <v>EUR</v>
      </c>
      <c r="H13" s="25" t="s">
        <v>45</v>
      </c>
      <c r="I13" s="1" t="s">
        <v>121</v>
      </c>
      <c r="J13" s="1" t="s">
        <v>72</v>
      </c>
      <c r="K13" s="31" t="e">
        <f>SUMIFS(#REF!,#REF!,$A13,#REF!,"A")</f>
        <v>#REF!</v>
      </c>
      <c r="L13" s="31" t="e">
        <f>SUMIFS(#REF!,#REF!,$A13,#REF!,"V")</f>
        <v>#REF!</v>
      </c>
      <c r="M13" s="36" t="e">
        <f t="shared" si="1"/>
        <v>#REF!</v>
      </c>
      <c r="N13" s="6" t="e">
        <f>SUMIF(#REF!,$A13,#REF!)</f>
        <v>#REF!</v>
      </c>
      <c r="O13" s="6" t="e">
        <f>SUMIF(#REF!,$A13,#REF!)</f>
        <v>#REF!</v>
      </c>
      <c r="P13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13" s="48" t="e">
        <f>tableau_cotations[[#This Row],[Cout Moyen €]]*$X$46</f>
        <v>#REF!</v>
      </c>
      <c r="R13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13" s="37">
        <f>IF(tableau_cotations[[#This Row],[DEVISE]]="EUR",0,IF(tableau_cotations[[#This Row],[DEVISE]]="USD",0))</f>
        <v>0</v>
      </c>
      <c r="T13" s="12">
        <f>IFERROR(SUM(tableau_cotations[[#This Row],[plus value globale CC]]/tableau_cotations[[#This Row],[Qte en portefeuille]]),0)</f>
        <v>0</v>
      </c>
      <c r="U13" s="13">
        <f>IFERROR(SUM((tableau_cotations[[#This Row],[plus value par action CC]]/tableau_cotations[[#This Row],[Cout Moyen €]])),0)</f>
        <v>0</v>
      </c>
      <c r="V13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13" s="30" t="e">
        <f>SUM((tableau_cotations[[#This Row],[valeurs totale à la vente CC]]-tableau_cotations[[#This Row],[Valeur Achat €]])+tableau_cotations[[#This Row],[Valeur Vente €]])</f>
        <v>#REF!</v>
      </c>
      <c r="X13" s="17" t="e">
        <f>SUMIF(#REF!,$A13,#REF!)</f>
        <v>#REF!</v>
      </c>
      <c r="Y13" s="17" t="e">
        <f>tableau_cotations[[#This Row],[dividendes]]+tableau_cotations[[#This Row],[plus value globale CC]]</f>
        <v>#REF!</v>
      </c>
      <c r="Z13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13" s="28">
        <f>IFERROR(SUM((tableau_cotations[[#This Row],[plus value par action CC]]/tableau_cotations[[#This Row],[cm avec div]])),0)</f>
        <v>0</v>
      </c>
      <c r="AB13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13" s="3" t="e">
        <f>SUM(SUM(SUMIF(#REF!,$A13,#REF!)+tableau_cotations[[#This Row],[valeurs totale à la vente CC]])-SUMIF(#REF!,$A13,#REF!))/SUMIF(#REF!,$A13,#REF!)</f>
        <v>#REF!</v>
      </c>
      <c r="AD13" s="17" t="e">
        <f>SUMIF(#REF!,$A13,#REF!)+tableau_cotations[[#This Row],[valeurs totale à la vente CC]]</f>
        <v>#REF!</v>
      </c>
      <c r="AE13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13" t="s">
        <v>413</v>
      </c>
      <c r="AG13" t="s">
        <v>414</v>
      </c>
      <c r="AH13" t="s">
        <v>415</v>
      </c>
      <c r="AI13" t="s">
        <v>416</v>
      </c>
      <c r="AJ13" t="s">
        <v>417</v>
      </c>
      <c r="AK13" t="s">
        <v>418</v>
      </c>
      <c r="AO13"/>
      <c r="AS13" t="s">
        <v>302</v>
      </c>
      <c r="AT13" t="s">
        <v>303</v>
      </c>
    </row>
    <row r="14" spans="1:47" ht="15.6" x14ac:dyDescent="0.3">
      <c r="A14" t="s">
        <v>103</v>
      </c>
      <c r="B14" s="50" t="s">
        <v>122</v>
      </c>
      <c r="C14" t="s">
        <v>152</v>
      </c>
      <c r="D14">
        <v>16.3</v>
      </c>
      <c r="E14" s="23">
        <f>SUM(tableau_cotations[[#This Row],[Cotation EUR]]/COTATIONS!$X$46)</f>
        <v>2328.5714285714284</v>
      </c>
      <c r="F14" s="23" t="s">
        <v>23</v>
      </c>
      <c r="G14" s="24" t="str">
        <f>IF(tableau_cotations[[#This Row],[pays]]="usa","USD",IF(tableau_cotations[[#This Row],[pays]]="Royaume-Uni","GBP","EUR"))</f>
        <v>EUR</v>
      </c>
      <c r="H14" s="25" t="s">
        <v>45</v>
      </c>
      <c r="I14" s="1" t="s">
        <v>123</v>
      </c>
      <c r="J14" s="1" t="s">
        <v>124</v>
      </c>
      <c r="K14" s="31" t="e">
        <f>SUMIFS(#REF!,#REF!,$A14,#REF!,"A")</f>
        <v>#REF!</v>
      </c>
      <c r="L14" s="31" t="e">
        <f>SUMIFS(#REF!,#REF!,$A14,#REF!,"V")</f>
        <v>#REF!</v>
      </c>
      <c r="M14" s="36" t="e">
        <f t="shared" si="1"/>
        <v>#REF!</v>
      </c>
      <c r="N14" s="6" t="e">
        <f>SUMIF(#REF!,$A14,#REF!)</f>
        <v>#REF!</v>
      </c>
      <c r="O14" s="6" t="e">
        <f>SUMIF(#REF!,$A14,#REF!)</f>
        <v>#REF!</v>
      </c>
      <c r="P14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14" s="48" t="e">
        <f>tableau_cotations[[#This Row],[Cout Moyen €]]*$X$46</f>
        <v>#REF!</v>
      </c>
      <c r="R14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14" s="37">
        <f>IF(tableau_cotations[[#This Row],[DEVISE]]="EUR",0,IF(tableau_cotations[[#This Row],[DEVISE]]="USD",0))</f>
        <v>0</v>
      </c>
      <c r="T14" s="12">
        <f>IFERROR(SUM(tableau_cotations[[#This Row],[plus value globale CC]]/tableau_cotations[[#This Row],[Qte en portefeuille]]),0)</f>
        <v>0</v>
      </c>
      <c r="U14" s="13">
        <f>IFERROR(SUM((tableau_cotations[[#This Row],[plus value par action CC]]/tableau_cotations[[#This Row],[Cout Moyen €]])),0)</f>
        <v>0</v>
      </c>
      <c r="V14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14" s="30" t="e">
        <f>SUM((tableau_cotations[[#This Row],[valeurs totale à la vente CC]]-tableau_cotations[[#This Row],[Valeur Achat €]])+tableau_cotations[[#This Row],[Valeur Vente €]])</f>
        <v>#REF!</v>
      </c>
      <c r="X14" s="17" t="e">
        <f>SUMIF(#REF!,$A14,#REF!)</f>
        <v>#REF!</v>
      </c>
      <c r="Y14" s="17" t="e">
        <f>tableau_cotations[[#This Row],[dividendes]]+tableau_cotations[[#This Row],[plus value globale CC]]</f>
        <v>#REF!</v>
      </c>
      <c r="Z14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14" s="28">
        <f>IFERROR(SUM((tableau_cotations[[#This Row],[plus value par action CC]]/tableau_cotations[[#This Row],[cm avec div]])),0)</f>
        <v>0</v>
      </c>
      <c r="AB14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14" s="3" t="e">
        <f>SUM(SUM(SUMIF(#REF!,$A14,#REF!)+tableau_cotations[[#This Row],[valeurs totale à la vente CC]])-SUMIF(#REF!,$A14,#REF!))/SUMIF(#REF!,$A14,#REF!)</f>
        <v>#REF!</v>
      </c>
      <c r="AD14" s="17" t="e">
        <f>SUMIF(#REF!,$A14,#REF!)+tableau_cotations[[#This Row],[valeurs totale à la vente CC]]</f>
        <v>#REF!</v>
      </c>
      <c r="AE14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14" t="s">
        <v>354</v>
      </c>
      <c r="AG14" t="s">
        <v>355</v>
      </c>
      <c r="AH14" t="s">
        <v>356</v>
      </c>
      <c r="AI14" t="s">
        <v>351</v>
      </c>
      <c r="AJ14" t="s">
        <v>352</v>
      </c>
      <c r="AK14" t="s">
        <v>353</v>
      </c>
      <c r="AO14"/>
      <c r="AS14">
        <v>0</v>
      </c>
    </row>
    <row r="15" spans="1:47" ht="15.6" x14ac:dyDescent="0.3">
      <c r="A15" t="s">
        <v>104</v>
      </c>
      <c r="B15" s="50" t="s">
        <v>125</v>
      </c>
      <c r="C15" t="s">
        <v>153</v>
      </c>
      <c r="D15">
        <v>31.39</v>
      </c>
      <c r="E15" s="23">
        <f>SUM(tableau_cotations[[#This Row],[Cotation EUR]]/COTATIONS!$X$46)</f>
        <v>4484.2857142857147</v>
      </c>
      <c r="F15" s="23" t="s">
        <v>23</v>
      </c>
      <c r="G15" s="24" t="str">
        <f>IF(tableau_cotations[[#This Row],[pays]]="usa","USD",IF(tableau_cotations[[#This Row],[pays]]="Royaume-Uni","GBP","EUR"))</f>
        <v>EUR</v>
      </c>
      <c r="H15" s="25" t="s">
        <v>45</v>
      </c>
      <c r="I15" s="1" t="s">
        <v>119</v>
      </c>
      <c r="J15" s="1" t="s">
        <v>64</v>
      </c>
      <c r="K15" s="31" t="e">
        <f>SUMIFS(#REF!,#REF!,$A15,#REF!,"A")</f>
        <v>#REF!</v>
      </c>
      <c r="L15" s="31" t="e">
        <f>SUMIFS(#REF!,#REF!,$A15,#REF!,"V")</f>
        <v>#REF!</v>
      </c>
      <c r="M15" s="36" t="e">
        <f t="shared" si="1"/>
        <v>#REF!</v>
      </c>
      <c r="N15" s="6" t="e">
        <f>SUMIF(#REF!,$A15,#REF!)</f>
        <v>#REF!</v>
      </c>
      <c r="O15" s="6" t="e">
        <f>SUMIF(#REF!,$A15,#REF!)</f>
        <v>#REF!</v>
      </c>
      <c r="P15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15" s="48" t="e">
        <f>tableau_cotations[[#This Row],[Cout Moyen €]]*$X$46</f>
        <v>#REF!</v>
      </c>
      <c r="R15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15" s="37">
        <f>IF(tableau_cotations[[#This Row],[DEVISE]]="EUR",0,IF(tableau_cotations[[#This Row],[DEVISE]]="USD",0))</f>
        <v>0</v>
      </c>
      <c r="T15" s="12">
        <f>IFERROR(SUM(tableau_cotations[[#This Row],[plus value globale CC]]/tableau_cotations[[#This Row],[Qte en portefeuille]]),0)</f>
        <v>0</v>
      </c>
      <c r="U15" s="13">
        <f>IFERROR(SUM((tableau_cotations[[#This Row],[plus value par action CC]]/tableau_cotations[[#This Row],[Cout Moyen €]])),0)</f>
        <v>0</v>
      </c>
      <c r="V15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15" s="30" t="e">
        <f>SUM((tableau_cotations[[#This Row],[valeurs totale à la vente CC]]-tableau_cotations[[#This Row],[Valeur Achat €]])+tableau_cotations[[#This Row],[Valeur Vente €]])</f>
        <v>#REF!</v>
      </c>
      <c r="X15" s="17" t="e">
        <f>SUMIF(#REF!,$A15,#REF!)</f>
        <v>#REF!</v>
      </c>
      <c r="Y15" s="17" t="e">
        <f>tableau_cotations[[#This Row],[dividendes]]+tableau_cotations[[#This Row],[plus value globale CC]]</f>
        <v>#REF!</v>
      </c>
      <c r="Z15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15" s="28">
        <f>IFERROR(SUM((tableau_cotations[[#This Row],[plus value par action CC]]/tableau_cotations[[#This Row],[cm avec div]])),0)</f>
        <v>0</v>
      </c>
      <c r="AB15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15" s="3" t="e">
        <f>SUM(SUM(SUMIF(#REF!,$A15,#REF!)+tableau_cotations[[#This Row],[valeurs totale à la vente CC]])-SUMIF(#REF!,$A15,#REF!))/SUMIF(#REF!,$A15,#REF!)</f>
        <v>#REF!</v>
      </c>
      <c r="AD15" s="17" t="e">
        <f>SUMIF(#REF!,$A15,#REF!)+tableau_cotations[[#This Row],[valeurs totale à la vente CC]]</f>
        <v>#REF!</v>
      </c>
      <c r="AE15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15" t="s">
        <v>419</v>
      </c>
      <c r="AG15" t="s">
        <v>419</v>
      </c>
      <c r="AH15" t="s">
        <v>420</v>
      </c>
      <c r="AI15" t="s">
        <v>421</v>
      </c>
      <c r="AJ15" t="s">
        <v>421</v>
      </c>
      <c r="AK15" t="s">
        <v>422</v>
      </c>
      <c r="AO15"/>
      <c r="AS15" t="s">
        <v>304</v>
      </c>
      <c r="AT15" t="s">
        <v>305</v>
      </c>
    </row>
    <row r="16" spans="1:47" ht="15.6" x14ac:dyDescent="0.3">
      <c r="A16" t="s">
        <v>105</v>
      </c>
      <c r="B16" s="50" t="s">
        <v>126</v>
      </c>
      <c r="C16" t="s">
        <v>154</v>
      </c>
      <c r="D16">
        <v>26</v>
      </c>
      <c r="E16" s="23">
        <f>SUM(tableau_cotations[[#This Row],[Cotation EUR]]/COTATIONS!$X$46)</f>
        <v>3714.2857142857142</v>
      </c>
      <c r="F16" s="23" t="s">
        <v>23</v>
      </c>
      <c r="G16" s="24" t="str">
        <f>IF(tableau_cotations[[#This Row],[pays]]="usa","USD",IF(tableau_cotations[[#This Row],[pays]]="Royaume-Uni","GBP","EUR"))</f>
        <v>EUR</v>
      </c>
      <c r="H16" s="25" t="s">
        <v>45</v>
      </c>
      <c r="I16" s="1" t="s">
        <v>127</v>
      </c>
      <c r="J16" s="1" t="s">
        <v>76</v>
      </c>
      <c r="K16" s="31" t="e">
        <f>SUMIFS(#REF!,#REF!,$A16,#REF!,"A")</f>
        <v>#REF!</v>
      </c>
      <c r="L16" s="31" t="e">
        <f>SUMIFS(#REF!,#REF!,$A16,#REF!,"V")</f>
        <v>#REF!</v>
      </c>
      <c r="M16" s="36" t="e">
        <f t="shared" ref="M16" si="2">K16-L16</f>
        <v>#REF!</v>
      </c>
      <c r="N16" s="6" t="e">
        <f>SUMIF(#REF!,$A16,#REF!)</f>
        <v>#REF!</v>
      </c>
      <c r="O16" s="6" t="e">
        <f>SUMIF(#REF!,$A16,#REF!)</f>
        <v>#REF!</v>
      </c>
      <c r="P16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16" s="48" t="e">
        <f>tableau_cotations[[#This Row],[Cout Moyen €]]*$X$46</f>
        <v>#REF!</v>
      </c>
      <c r="R16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16" s="37">
        <f>IF(tableau_cotations[[#This Row],[DEVISE]]="EUR",0,IF(tableau_cotations[[#This Row],[DEVISE]]="USD",0))</f>
        <v>0</v>
      </c>
      <c r="T16" s="12">
        <f>IFERROR(SUM(tableau_cotations[[#This Row],[plus value globale CC]]/tableau_cotations[[#This Row],[Qte en portefeuille]]),0)</f>
        <v>0</v>
      </c>
      <c r="U16" s="13">
        <f>IFERROR(SUM((tableau_cotations[[#This Row],[plus value par action CC]]/tableau_cotations[[#This Row],[Cout Moyen €]])),0)</f>
        <v>0</v>
      </c>
      <c r="V16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16" s="30" t="e">
        <f>SUM((tableau_cotations[[#This Row],[valeurs totale à la vente CC]]-tableau_cotations[[#This Row],[Valeur Achat €]])+tableau_cotations[[#This Row],[Valeur Vente €]])</f>
        <v>#REF!</v>
      </c>
      <c r="X16" s="17" t="e">
        <f>SUMIF(#REF!,$A16,#REF!)</f>
        <v>#REF!</v>
      </c>
      <c r="Y16" s="17" t="e">
        <f>tableau_cotations[[#This Row],[dividendes]]+tableau_cotations[[#This Row],[plus value globale CC]]</f>
        <v>#REF!</v>
      </c>
      <c r="Z16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16" s="28">
        <f>IFERROR(SUM((tableau_cotations[[#This Row],[plus value par action CC]]/tableau_cotations[[#This Row],[cm avec div]])),0)</f>
        <v>0</v>
      </c>
      <c r="AB16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16" s="3" t="e">
        <f>SUM(SUM(SUMIF(#REF!,$A16,#REF!)+tableau_cotations[[#This Row],[valeurs totale à la vente CC]])-SUMIF(#REF!,$A16,#REF!))/SUMIF(#REF!,$A16,#REF!)</f>
        <v>#REF!</v>
      </c>
      <c r="AD16" s="17" t="e">
        <f>SUMIF(#REF!,$A16,#REF!)+tableau_cotations[[#This Row],[valeurs totale à la vente CC]]</f>
        <v>#REF!</v>
      </c>
      <c r="AE16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16" t="s">
        <v>423</v>
      </c>
      <c r="AG16" t="s">
        <v>424</v>
      </c>
      <c r="AH16" t="s">
        <v>425</v>
      </c>
      <c r="AI16" t="s">
        <v>426</v>
      </c>
      <c r="AJ16" t="s">
        <v>427</v>
      </c>
      <c r="AK16" t="s">
        <v>428</v>
      </c>
      <c r="AO16"/>
      <c r="AS16" t="s">
        <v>306</v>
      </c>
      <c r="AT16" t="s">
        <v>307</v>
      </c>
    </row>
    <row r="17" spans="1:46" ht="15.6" x14ac:dyDescent="0.3">
      <c r="A17" t="s">
        <v>106</v>
      </c>
      <c r="B17" s="50" t="s">
        <v>128</v>
      </c>
      <c r="C17" t="s">
        <v>155</v>
      </c>
      <c r="D17">
        <v>60.5</v>
      </c>
      <c r="E17" s="23">
        <f>SUM(tableau_cotations[[#This Row],[Cotation EUR]]/COTATIONS!$X$46)</f>
        <v>8642.8571428571431</v>
      </c>
      <c r="F17" s="23" t="s">
        <v>23</v>
      </c>
      <c r="G17" s="24" t="str">
        <f>IF(tableau_cotations[[#This Row],[pays]]="usa","USD",IF(tableau_cotations[[#This Row],[pays]]="Royaume-Uni","GBP","EUR"))</f>
        <v>EUR</v>
      </c>
      <c r="H17" s="25" t="s">
        <v>45</v>
      </c>
      <c r="I17" s="1" t="s">
        <v>129</v>
      </c>
      <c r="J17" s="1" t="s">
        <v>64</v>
      </c>
      <c r="K17" s="31" t="e">
        <f>SUMIFS(#REF!,#REF!,$A17,#REF!,"A")</f>
        <v>#REF!</v>
      </c>
      <c r="L17" s="31" t="e">
        <f>SUMIFS(#REF!,#REF!,$A17,#REF!,"V")</f>
        <v>#REF!</v>
      </c>
      <c r="M17" s="36" t="e">
        <f>K17-L17</f>
        <v>#REF!</v>
      </c>
      <c r="N17" s="6" t="e">
        <f>SUMIF(#REF!,$A17,#REF!)</f>
        <v>#REF!</v>
      </c>
      <c r="O17" s="6" t="e">
        <f>SUMIF(#REF!,$A17,#REF!)</f>
        <v>#REF!</v>
      </c>
      <c r="P17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17" s="48" t="e">
        <f>tableau_cotations[[#This Row],[Cout Moyen €]]*$X$46</f>
        <v>#REF!</v>
      </c>
      <c r="R17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17" s="37">
        <f>IF(tableau_cotations[[#This Row],[DEVISE]]="EUR",0,IF(tableau_cotations[[#This Row],[DEVISE]]="USD",0))</f>
        <v>0</v>
      </c>
      <c r="T17" s="12">
        <f>IFERROR(SUM(tableau_cotations[[#This Row],[plus value globale CC]]/tableau_cotations[[#This Row],[Qte en portefeuille]]),0)</f>
        <v>0</v>
      </c>
      <c r="U17" s="13">
        <f>IFERROR(SUM((tableau_cotations[[#This Row],[plus value par action CC]]/tableau_cotations[[#This Row],[Cout Moyen €]])),0)</f>
        <v>0</v>
      </c>
      <c r="V17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17" s="30" t="e">
        <f>SUM((tableau_cotations[[#This Row],[valeurs totale à la vente CC]]-tableau_cotations[[#This Row],[Valeur Achat €]])+tableau_cotations[[#This Row],[Valeur Vente €]])</f>
        <v>#REF!</v>
      </c>
      <c r="X17" s="17" t="e">
        <f>SUMIF(#REF!,$A17,#REF!)</f>
        <v>#REF!</v>
      </c>
      <c r="Y17" s="17" t="e">
        <f>tableau_cotations[[#This Row],[dividendes]]+tableau_cotations[[#This Row],[plus value globale CC]]</f>
        <v>#REF!</v>
      </c>
      <c r="Z17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17" s="28">
        <f>IFERROR(SUM((tableau_cotations[[#This Row],[plus value par action CC]]/tableau_cotations[[#This Row],[cm avec div]])),0)</f>
        <v>0</v>
      </c>
      <c r="AB17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17" s="3" t="e">
        <f>SUM(SUM(SUMIF(#REF!,$A17,#REF!)+tableau_cotations[[#This Row],[valeurs totale à la vente CC]])-SUMIF(#REF!,$A17,#REF!))/SUMIF(#REF!,$A17,#REF!)</f>
        <v>#REF!</v>
      </c>
      <c r="AD17" s="17" t="e">
        <f>SUMIF(#REF!,$A17,#REF!)+tableau_cotations[[#This Row],[valeurs totale à la vente CC]]</f>
        <v>#REF!</v>
      </c>
      <c r="AE17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17" t="s">
        <v>429</v>
      </c>
      <c r="AG17" t="s">
        <v>430</v>
      </c>
      <c r="AH17" t="s">
        <v>431</v>
      </c>
      <c r="AI17" t="s">
        <v>432</v>
      </c>
      <c r="AJ17" t="s">
        <v>412</v>
      </c>
      <c r="AK17" t="s">
        <v>433</v>
      </c>
      <c r="AO17"/>
      <c r="AS17" t="s">
        <v>308</v>
      </c>
      <c r="AT17" t="s">
        <v>309</v>
      </c>
    </row>
    <row r="18" spans="1:46" ht="15.6" x14ac:dyDescent="0.3">
      <c r="A18" t="s">
        <v>107</v>
      </c>
      <c r="B18" s="50" t="s">
        <v>130</v>
      </c>
      <c r="C18" t="s">
        <v>156</v>
      </c>
      <c r="D18">
        <v>26.26</v>
      </c>
      <c r="E18" s="23">
        <f>SUM(tableau_cotations[[#This Row],[Cotation EUR]]/COTATIONS!$X$46)</f>
        <v>3751.4285714285716</v>
      </c>
      <c r="F18" s="23" t="s">
        <v>23</v>
      </c>
      <c r="G18" s="24" t="str">
        <f>IF(tableau_cotations[[#This Row],[pays]]="usa","USD",IF(tableau_cotations[[#This Row],[pays]]="Royaume-Uni","GBP","EUR"))</f>
        <v>EUR</v>
      </c>
      <c r="H18" s="25" t="s">
        <v>45</v>
      </c>
      <c r="I18" s="1" t="s">
        <v>131</v>
      </c>
      <c r="J18" s="1" t="s">
        <v>47</v>
      </c>
      <c r="K18" s="31" t="e">
        <f>SUMIFS(#REF!,#REF!,$A18,#REF!,"A")</f>
        <v>#REF!</v>
      </c>
      <c r="L18" s="31" t="e">
        <f>SUMIFS(#REF!,#REF!,$A18,#REF!,"V")</f>
        <v>#REF!</v>
      </c>
      <c r="M18" s="36" t="e">
        <f>K18-L18</f>
        <v>#REF!</v>
      </c>
      <c r="N18" s="6" t="e">
        <f>SUMIF(#REF!,$A18,#REF!)</f>
        <v>#REF!</v>
      </c>
      <c r="O18" s="6" t="e">
        <f>SUMIF(#REF!,$A18,#REF!)</f>
        <v>#REF!</v>
      </c>
      <c r="P18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18" s="48" t="e">
        <f>tableau_cotations[[#This Row],[Cout Moyen €]]*$X$46</f>
        <v>#REF!</v>
      </c>
      <c r="R18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18" s="37">
        <f>IF(tableau_cotations[[#This Row],[DEVISE]]="EUR",0,IF(tableau_cotations[[#This Row],[DEVISE]]="USD",0))</f>
        <v>0</v>
      </c>
      <c r="T18" s="12">
        <f>IFERROR(SUM(tableau_cotations[[#This Row],[plus value globale CC]]/tableau_cotations[[#This Row],[Qte en portefeuille]]),0)</f>
        <v>0</v>
      </c>
      <c r="U18" s="13">
        <f>IFERROR(SUM((tableau_cotations[[#This Row],[plus value par action CC]]/tableau_cotations[[#This Row],[Cout Moyen €]])),0)</f>
        <v>0</v>
      </c>
      <c r="V18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18" s="30" t="e">
        <f>SUM((tableau_cotations[[#This Row],[valeurs totale à la vente CC]]-tableau_cotations[[#This Row],[Valeur Achat €]])+tableau_cotations[[#This Row],[Valeur Vente €]])</f>
        <v>#REF!</v>
      </c>
      <c r="X18" s="17" t="e">
        <f>SUMIF(#REF!,$A18,#REF!)</f>
        <v>#REF!</v>
      </c>
      <c r="Y18" s="17" t="e">
        <f>tableau_cotations[[#This Row],[dividendes]]+tableau_cotations[[#This Row],[plus value globale CC]]</f>
        <v>#REF!</v>
      </c>
      <c r="Z18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18" s="28">
        <f>IFERROR(SUM((tableau_cotations[[#This Row],[plus value par action CC]]/tableau_cotations[[#This Row],[cm avec div]])),0)</f>
        <v>0</v>
      </c>
      <c r="AB18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18" s="3" t="e">
        <f>SUM(SUM(SUMIF(#REF!,$A18,#REF!)+tableau_cotations[[#This Row],[valeurs totale à la vente CC]])-SUMIF(#REF!,$A18,#REF!))/SUMIF(#REF!,$A18,#REF!)</f>
        <v>#REF!</v>
      </c>
      <c r="AD18" s="17" t="e">
        <f>SUMIF(#REF!,$A18,#REF!)+tableau_cotations[[#This Row],[valeurs totale à la vente CC]]</f>
        <v>#REF!</v>
      </c>
      <c r="AE18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18" t="s">
        <v>434</v>
      </c>
      <c r="AG18" t="s">
        <v>435</v>
      </c>
      <c r="AH18" t="s">
        <v>436</v>
      </c>
      <c r="AI18" t="s">
        <v>437</v>
      </c>
      <c r="AJ18" t="s">
        <v>438</v>
      </c>
      <c r="AK18" t="s">
        <v>439</v>
      </c>
      <c r="AO18"/>
      <c r="AS18" t="s">
        <v>310</v>
      </c>
      <c r="AT18" t="s">
        <v>311</v>
      </c>
    </row>
    <row r="19" spans="1:46" ht="15.6" x14ac:dyDescent="0.3">
      <c r="A19" t="s">
        <v>108</v>
      </c>
      <c r="B19" s="50" t="s">
        <v>132</v>
      </c>
      <c r="C19" t="s">
        <v>157</v>
      </c>
      <c r="D19">
        <v>29.62</v>
      </c>
      <c r="E19" s="23">
        <f>SUM(tableau_cotations[[#This Row],[Cotation EUR]]/COTATIONS!$X$46)</f>
        <v>4231.4285714285716</v>
      </c>
      <c r="F19" s="23" t="s">
        <v>23</v>
      </c>
      <c r="G19" s="24" t="str">
        <f>IF(tableau_cotations[[#This Row],[pays]]="usa","USD",IF(tableau_cotations[[#This Row],[pays]]="Royaume-Uni","GBP","EUR"))</f>
        <v>EUR</v>
      </c>
      <c r="H19" s="25" t="s">
        <v>45</v>
      </c>
      <c r="I19" s="1" t="s">
        <v>133</v>
      </c>
      <c r="J19" s="1" t="s">
        <v>134</v>
      </c>
      <c r="K19" s="31" t="e">
        <f>SUMIFS(#REF!,#REF!,$A19,#REF!,"A")</f>
        <v>#REF!</v>
      </c>
      <c r="L19" s="31" t="e">
        <f>SUMIFS(#REF!,#REF!,$A19,#REF!,"V")</f>
        <v>#REF!</v>
      </c>
      <c r="M19" s="36" t="e">
        <f>K19-L19</f>
        <v>#REF!</v>
      </c>
      <c r="N19" s="6" t="e">
        <f>SUMIF(#REF!,$A19,#REF!)</f>
        <v>#REF!</v>
      </c>
      <c r="O19" s="6" t="e">
        <f>SUMIF(#REF!,$A19,#REF!)</f>
        <v>#REF!</v>
      </c>
      <c r="P19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19" s="48" t="e">
        <f>tableau_cotations[[#This Row],[Cout Moyen €]]*$X$46</f>
        <v>#REF!</v>
      </c>
      <c r="R19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19" s="37">
        <f>IF(tableau_cotations[[#This Row],[DEVISE]]="EUR",0,IF(tableau_cotations[[#This Row],[DEVISE]]="USD",0))</f>
        <v>0</v>
      </c>
      <c r="T19" s="12">
        <f>IFERROR(SUM(tableau_cotations[[#This Row],[plus value globale CC]]/tableau_cotations[[#This Row],[Qte en portefeuille]]),0)</f>
        <v>0</v>
      </c>
      <c r="U19" s="13">
        <f>IFERROR(SUM((tableau_cotations[[#This Row],[plus value par action CC]]/tableau_cotations[[#This Row],[Cout Moyen €]])),0)</f>
        <v>0</v>
      </c>
      <c r="V19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19" s="30" t="e">
        <f>SUM((tableau_cotations[[#This Row],[valeurs totale à la vente CC]]-tableau_cotations[[#This Row],[Valeur Achat €]])+tableau_cotations[[#This Row],[Valeur Vente €]])</f>
        <v>#REF!</v>
      </c>
      <c r="X19" s="17" t="e">
        <f>SUMIF(#REF!,$A19,#REF!)</f>
        <v>#REF!</v>
      </c>
      <c r="Y19" s="17" t="e">
        <f>tableau_cotations[[#This Row],[dividendes]]+tableau_cotations[[#This Row],[plus value globale CC]]</f>
        <v>#REF!</v>
      </c>
      <c r="Z19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19" s="28">
        <f>IFERROR(SUM((tableau_cotations[[#This Row],[plus value par action CC]]/tableau_cotations[[#This Row],[cm avec div]])),0)</f>
        <v>0</v>
      </c>
      <c r="AB19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19" s="3" t="e">
        <f>SUM(SUM(SUMIF(#REF!,$A19,#REF!)+tableau_cotations[[#This Row],[valeurs totale à la vente CC]])-SUMIF(#REF!,$A19,#REF!))/SUMIF(#REF!,$A19,#REF!)</f>
        <v>#REF!</v>
      </c>
      <c r="AD19" s="17" t="e">
        <f>SUMIF(#REF!,$A19,#REF!)+tableau_cotations[[#This Row],[valeurs totale à la vente CC]]</f>
        <v>#REF!</v>
      </c>
      <c r="AE19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19" t="s">
        <v>436</v>
      </c>
      <c r="AG19" t="s">
        <v>440</v>
      </c>
      <c r="AH19" t="s">
        <v>441</v>
      </c>
      <c r="AI19" t="s">
        <v>442</v>
      </c>
      <c r="AJ19" t="s">
        <v>443</v>
      </c>
      <c r="AK19" t="s">
        <v>444</v>
      </c>
      <c r="AO19"/>
      <c r="AS19" t="s">
        <v>312</v>
      </c>
      <c r="AT19" t="s">
        <v>313</v>
      </c>
    </row>
    <row r="20" spans="1:46" ht="15.6" x14ac:dyDescent="0.3">
      <c r="A20" t="s">
        <v>109</v>
      </c>
      <c r="B20" s="50" t="s">
        <v>135</v>
      </c>
      <c r="C20" t="s">
        <v>158</v>
      </c>
      <c r="D20">
        <v>67.7</v>
      </c>
      <c r="E20" s="23">
        <f>SUM(tableau_cotations[[#This Row],[Cotation EUR]]/COTATIONS!$X$46)</f>
        <v>9671.4285714285725</v>
      </c>
      <c r="F20" s="23" t="s">
        <v>23</v>
      </c>
      <c r="G20" s="24" t="str">
        <f>IF(tableau_cotations[[#This Row],[pays]]="usa","USD",IF(tableau_cotations[[#This Row],[pays]]="Royaume-Uni","GBP","EUR"))</f>
        <v>EUR</v>
      </c>
      <c r="H20" s="25" t="s">
        <v>45</v>
      </c>
      <c r="I20" s="1" t="s">
        <v>70</v>
      </c>
      <c r="J20" s="1" t="s">
        <v>58</v>
      </c>
      <c r="K20" s="31" t="e">
        <f>SUMIFS(#REF!,#REF!,$A20,#REF!,"A")</f>
        <v>#REF!</v>
      </c>
      <c r="L20" s="31" t="e">
        <f>SUMIFS(#REF!,#REF!,$A20,#REF!,"V")</f>
        <v>#REF!</v>
      </c>
      <c r="M20" s="36" t="e">
        <f>K20-L20</f>
        <v>#REF!</v>
      </c>
      <c r="N20" s="6" t="e">
        <f>SUMIF(#REF!,$A20,#REF!)</f>
        <v>#REF!</v>
      </c>
      <c r="O20" s="6" t="e">
        <f>SUMIF(#REF!,$A20,#REF!)</f>
        <v>#REF!</v>
      </c>
      <c r="P20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0" s="48" t="e">
        <f>tableau_cotations[[#This Row],[Cout Moyen €]]*$X$46</f>
        <v>#REF!</v>
      </c>
      <c r="R20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0" s="37">
        <f>IF(tableau_cotations[[#This Row],[DEVISE]]="EUR",0,IF(tableau_cotations[[#This Row],[DEVISE]]="USD",0))</f>
        <v>0</v>
      </c>
      <c r="T20" s="12">
        <f>IFERROR(SUM(tableau_cotations[[#This Row],[plus value globale CC]]/tableau_cotations[[#This Row],[Qte en portefeuille]]),0)</f>
        <v>0</v>
      </c>
      <c r="U20" s="13">
        <f>IFERROR(SUM((tableau_cotations[[#This Row],[plus value par action CC]]/tableau_cotations[[#This Row],[Cout Moyen €]])),0)</f>
        <v>0</v>
      </c>
      <c r="V20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0" s="30" t="e">
        <f>SUM((tableau_cotations[[#This Row],[valeurs totale à la vente CC]]-tableau_cotations[[#This Row],[Valeur Achat €]])+tableau_cotations[[#This Row],[Valeur Vente €]])</f>
        <v>#REF!</v>
      </c>
      <c r="X20" s="17" t="e">
        <f>SUMIF(#REF!,$A20,#REF!)</f>
        <v>#REF!</v>
      </c>
      <c r="Y20" s="17" t="e">
        <f>tableau_cotations[[#This Row],[dividendes]]+tableau_cotations[[#This Row],[plus value globale CC]]</f>
        <v>#REF!</v>
      </c>
      <c r="Z20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0" s="28">
        <f>IFERROR(SUM((tableau_cotations[[#This Row],[plus value par action CC]]/tableau_cotations[[#This Row],[cm avec div]])),0)</f>
        <v>0</v>
      </c>
      <c r="AB20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0" s="3" t="e">
        <f>SUM(SUM(SUMIF(#REF!,$A20,#REF!)+tableau_cotations[[#This Row],[valeurs totale à la vente CC]])-SUMIF(#REF!,$A20,#REF!))/SUMIF(#REF!,$A20,#REF!)</f>
        <v>#REF!</v>
      </c>
      <c r="AD20" s="17" t="e">
        <f>SUMIF(#REF!,$A20,#REF!)+tableau_cotations[[#This Row],[valeurs totale à la vente CC]]</f>
        <v>#REF!</v>
      </c>
      <c r="AE20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0" t="s">
        <v>445</v>
      </c>
      <c r="AG20" t="s">
        <v>446</v>
      </c>
      <c r="AH20" t="s">
        <v>447</v>
      </c>
      <c r="AI20" t="s">
        <v>448</v>
      </c>
      <c r="AJ20" t="s">
        <v>449</v>
      </c>
      <c r="AK20" t="s">
        <v>450</v>
      </c>
      <c r="AO20"/>
      <c r="AS20" t="s">
        <v>314</v>
      </c>
      <c r="AT20" t="s">
        <v>279</v>
      </c>
    </row>
    <row r="21" spans="1:46" ht="15.6" x14ac:dyDescent="0.3">
      <c r="A21" t="s">
        <v>110</v>
      </c>
      <c r="B21" s="50" t="s">
        <v>136</v>
      </c>
      <c r="C21" t="s">
        <v>159</v>
      </c>
      <c r="D21">
        <v>35.94</v>
      </c>
      <c r="E21" s="23">
        <f>SUM(tableau_cotations[[#This Row],[Cotation EUR]]/COTATIONS!$X$46)</f>
        <v>5134.2857142857138</v>
      </c>
      <c r="F21" s="23" t="s">
        <v>23</v>
      </c>
      <c r="G21" s="24" t="str">
        <f>IF(tableau_cotations[[#This Row],[pays]]="usa","USD",IF(tableau_cotations[[#This Row],[pays]]="Royaume-Uni","GBP","EUR"))</f>
        <v>EUR</v>
      </c>
      <c r="H21" s="25" t="s">
        <v>45</v>
      </c>
      <c r="I21" s="1" t="s">
        <v>137</v>
      </c>
      <c r="J21" s="1" t="s">
        <v>58</v>
      </c>
      <c r="K21" s="31" t="e">
        <f>SUMIFS(#REF!,#REF!,$A21,#REF!,"A")</f>
        <v>#REF!</v>
      </c>
      <c r="L21" s="31" t="e">
        <f>SUMIFS(#REF!,#REF!,$A21,#REF!,"V")</f>
        <v>#REF!</v>
      </c>
      <c r="M21" s="36" t="e">
        <f t="shared" ref="M21:M23" si="3">K21-L21</f>
        <v>#REF!</v>
      </c>
      <c r="N21" s="6" t="e">
        <f>SUMIF(#REF!,$A21,#REF!)</f>
        <v>#REF!</v>
      </c>
      <c r="O21" s="6" t="e">
        <f>SUMIF(#REF!,$A21,#REF!)</f>
        <v>#REF!</v>
      </c>
      <c r="P21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1" s="48" t="e">
        <f>tableau_cotations[[#This Row],[Cout Moyen €]]*$X$46</f>
        <v>#REF!</v>
      </c>
      <c r="R21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1" s="37">
        <f>IF(tableau_cotations[[#This Row],[DEVISE]]="EUR",0,IF(tableau_cotations[[#This Row],[DEVISE]]="USD",0))</f>
        <v>0</v>
      </c>
      <c r="T21" s="12">
        <f>IFERROR(SUM(tableau_cotations[[#This Row],[plus value globale CC]]/tableau_cotations[[#This Row],[Qte en portefeuille]]),0)</f>
        <v>0</v>
      </c>
      <c r="U21" s="13">
        <f>IFERROR(SUM((tableau_cotations[[#This Row],[plus value par action CC]]/tableau_cotations[[#This Row],[Cout Moyen €]])),0)</f>
        <v>0</v>
      </c>
      <c r="V21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1" s="30" t="e">
        <f>SUM((tableau_cotations[[#This Row],[valeurs totale à la vente CC]]-tableau_cotations[[#This Row],[Valeur Achat €]])+tableau_cotations[[#This Row],[Valeur Vente €]])</f>
        <v>#REF!</v>
      </c>
      <c r="X21" s="17" t="e">
        <f>SUMIF(#REF!,$A21,#REF!)</f>
        <v>#REF!</v>
      </c>
      <c r="Y21" s="17" t="e">
        <f>tableau_cotations[[#This Row],[dividendes]]+tableau_cotations[[#This Row],[plus value globale CC]]</f>
        <v>#REF!</v>
      </c>
      <c r="Z21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1" s="28">
        <f>IFERROR(SUM((tableau_cotations[[#This Row],[plus value par action CC]]/tableau_cotations[[#This Row],[cm avec div]])),0)</f>
        <v>0</v>
      </c>
      <c r="AB21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1" s="3" t="e">
        <f>SUM(SUM(SUMIF(#REF!,$A21,#REF!)+tableau_cotations[[#This Row],[valeurs totale à la vente CC]])-SUMIF(#REF!,$A21,#REF!))/SUMIF(#REF!,$A21,#REF!)</f>
        <v>#REF!</v>
      </c>
      <c r="AD21" s="17" t="e">
        <f>SUMIF(#REF!,$A21,#REF!)+tableau_cotations[[#This Row],[valeurs totale à la vente CC]]</f>
        <v>#REF!</v>
      </c>
      <c r="AE21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1" t="s">
        <v>451</v>
      </c>
      <c r="AG21" t="s">
        <v>452</v>
      </c>
      <c r="AH21" t="s">
        <v>453</v>
      </c>
      <c r="AI21" t="s">
        <v>454</v>
      </c>
      <c r="AJ21" t="s">
        <v>455</v>
      </c>
      <c r="AK21" t="s">
        <v>456</v>
      </c>
      <c r="AO21"/>
      <c r="AS21" t="s">
        <v>315</v>
      </c>
      <c r="AT21" t="s">
        <v>316</v>
      </c>
    </row>
    <row r="22" spans="1:46" ht="15.6" x14ac:dyDescent="0.3">
      <c r="A22" t="s">
        <v>160</v>
      </c>
      <c r="B22" s="50" t="s">
        <v>138</v>
      </c>
      <c r="C22" t="s">
        <v>161</v>
      </c>
      <c r="D22">
        <v>20.9</v>
      </c>
      <c r="E22" s="23">
        <f>SUM(tableau_cotations[[#This Row],[Cotation EUR]]/COTATIONS!$X$46)</f>
        <v>2985.7142857142853</v>
      </c>
      <c r="F22" s="23" t="s">
        <v>23</v>
      </c>
      <c r="G22" s="24" t="str">
        <f>IF(tableau_cotations[[#This Row],[pays]]="usa","USD",IF(tableau_cotations[[#This Row],[pays]]="Royaume-Uni","GBP","EUR"))</f>
        <v>EUR</v>
      </c>
      <c r="H22" s="25" t="s">
        <v>45</v>
      </c>
      <c r="I22" s="1" t="s">
        <v>139</v>
      </c>
      <c r="J22" s="1" t="s">
        <v>134</v>
      </c>
      <c r="K22" s="31" t="e">
        <f>SUMIFS(#REF!,#REF!,$A22,#REF!,"A")</f>
        <v>#REF!</v>
      </c>
      <c r="L22" s="31" t="e">
        <f>SUMIFS(#REF!,#REF!,$A22,#REF!,"V")</f>
        <v>#REF!</v>
      </c>
      <c r="M22" s="36" t="e">
        <f t="shared" si="3"/>
        <v>#REF!</v>
      </c>
      <c r="N22" s="6" t="e">
        <f>SUMIF(#REF!,$A22,#REF!)</f>
        <v>#REF!</v>
      </c>
      <c r="O22" s="6" t="e">
        <f>SUMIF(#REF!,$A22,#REF!)</f>
        <v>#REF!</v>
      </c>
      <c r="P22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2" s="48" t="e">
        <f>tableau_cotations[[#This Row],[Cout Moyen €]]*$X$46</f>
        <v>#REF!</v>
      </c>
      <c r="R22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2" s="37">
        <f>IF(tableau_cotations[[#This Row],[DEVISE]]="EUR",0,IF(tableau_cotations[[#This Row],[DEVISE]]="USD",0))</f>
        <v>0</v>
      </c>
      <c r="T22" s="12">
        <f>IFERROR(SUM(tableau_cotations[[#This Row],[plus value globale CC]]/tableau_cotations[[#This Row],[Qte en portefeuille]]),0)</f>
        <v>0</v>
      </c>
      <c r="U22" s="13">
        <f>IFERROR(SUM((tableau_cotations[[#This Row],[plus value par action CC]]/tableau_cotations[[#This Row],[Cout Moyen €]])),0)</f>
        <v>0</v>
      </c>
      <c r="V22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2" s="30" t="e">
        <f>SUM((tableau_cotations[[#This Row],[valeurs totale à la vente CC]]-tableau_cotations[[#This Row],[Valeur Achat €]])+tableau_cotations[[#This Row],[Valeur Vente €]])</f>
        <v>#REF!</v>
      </c>
      <c r="X22" s="17" t="e">
        <f>SUMIF(#REF!,$A22,#REF!)</f>
        <v>#REF!</v>
      </c>
      <c r="Y22" s="17" t="e">
        <f>tableau_cotations[[#This Row],[dividendes]]+tableau_cotations[[#This Row],[plus value globale CC]]</f>
        <v>#REF!</v>
      </c>
      <c r="Z22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2" s="28">
        <f>IFERROR(SUM((tableau_cotations[[#This Row],[plus value par action CC]]/tableau_cotations[[#This Row],[cm avec div]])),0)</f>
        <v>0</v>
      </c>
      <c r="AB22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2" s="3" t="e">
        <f>SUM(SUM(SUMIF(#REF!,$A22,#REF!)+tableau_cotations[[#This Row],[valeurs totale à la vente CC]])-SUMIF(#REF!,$A22,#REF!))/SUMIF(#REF!,$A22,#REF!)</f>
        <v>#REF!</v>
      </c>
      <c r="AD22" s="17" t="e">
        <f>SUMIF(#REF!,$A22,#REF!)+tableau_cotations[[#This Row],[valeurs totale à la vente CC]]</f>
        <v>#REF!</v>
      </c>
      <c r="AE22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2" t="s">
        <v>354</v>
      </c>
      <c r="AG22" t="s">
        <v>355</v>
      </c>
      <c r="AH22" t="s">
        <v>356</v>
      </c>
      <c r="AI22" t="s">
        <v>351</v>
      </c>
      <c r="AJ22" t="s">
        <v>352</v>
      </c>
      <c r="AK22" t="s">
        <v>353</v>
      </c>
      <c r="AO22"/>
      <c r="AS22">
        <v>0</v>
      </c>
    </row>
    <row r="23" spans="1:46" ht="15.6" x14ac:dyDescent="0.3">
      <c r="A23" t="s">
        <v>111</v>
      </c>
      <c r="B23" s="50" t="s">
        <v>140</v>
      </c>
      <c r="C23" t="s">
        <v>162</v>
      </c>
      <c r="D23">
        <v>96.22</v>
      </c>
      <c r="E23" s="23">
        <f>SUM(tableau_cotations[[#This Row],[Cotation EUR]]/COTATIONS!$X$46)</f>
        <v>13745.714285714284</v>
      </c>
      <c r="F23" s="23" t="s">
        <v>23</v>
      </c>
      <c r="G23" s="24" t="str">
        <f>IF(tableau_cotations[[#This Row],[pays]]="usa","USD",IF(tableau_cotations[[#This Row],[pays]]="Royaume-Uni","GBP","EUR"))</f>
        <v>EUR</v>
      </c>
      <c r="H23" s="25" t="s">
        <v>45</v>
      </c>
      <c r="I23" s="1" t="s">
        <v>129</v>
      </c>
      <c r="J23" s="1" t="s">
        <v>64</v>
      </c>
      <c r="K23" s="31" t="e">
        <f>SUMIFS(#REF!,#REF!,$A23,#REF!,"A")</f>
        <v>#REF!</v>
      </c>
      <c r="L23" s="31" t="e">
        <f>SUMIFS(#REF!,#REF!,$A23,#REF!,"V")</f>
        <v>#REF!</v>
      </c>
      <c r="M23" s="36" t="e">
        <f t="shared" si="3"/>
        <v>#REF!</v>
      </c>
      <c r="N23" s="6" t="e">
        <f>SUMIF(#REF!,$A23,#REF!)</f>
        <v>#REF!</v>
      </c>
      <c r="O23" s="6" t="e">
        <f>SUMIF(#REF!,$A23,#REF!)</f>
        <v>#REF!</v>
      </c>
      <c r="P23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3" s="48" t="e">
        <f>tableau_cotations[[#This Row],[Cout Moyen €]]*$X$46</f>
        <v>#REF!</v>
      </c>
      <c r="R23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3" s="37">
        <f>IF(tableau_cotations[[#This Row],[DEVISE]]="EUR",0,IF(tableau_cotations[[#This Row],[DEVISE]]="USD",0))</f>
        <v>0</v>
      </c>
      <c r="T23" s="12">
        <f>IFERROR(SUM(tableau_cotations[[#This Row],[plus value globale CC]]/tableau_cotations[[#This Row],[Qte en portefeuille]]),0)</f>
        <v>0</v>
      </c>
      <c r="U23" s="13">
        <f>IFERROR(SUM((tableau_cotations[[#This Row],[plus value par action CC]]/tableau_cotations[[#This Row],[Cout Moyen €]])),0)</f>
        <v>0</v>
      </c>
      <c r="V23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3" s="30" t="e">
        <f>SUM((tableau_cotations[[#This Row],[valeurs totale à la vente CC]]-tableau_cotations[[#This Row],[Valeur Achat €]])+tableau_cotations[[#This Row],[Valeur Vente €]])</f>
        <v>#REF!</v>
      </c>
      <c r="X23" s="17" t="e">
        <f>SUMIF(#REF!,$A23,#REF!)</f>
        <v>#REF!</v>
      </c>
      <c r="Y23" s="17" t="e">
        <f>tableau_cotations[[#This Row],[dividendes]]+tableau_cotations[[#This Row],[plus value globale CC]]</f>
        <v>#REF!</v>
      </c>
      <c r="Z23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3" s="28">
        <f>IFERROR(SUM((tableau_cotations[[#This Row],[plus value par action CC]]/tableau_cotations[[#This Row],[cm avec div]])),0)</f>
        <v>0</v>
      </c>
      <c r="AB23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3" s="3" t="e">
        <f>SUM(SUM(SUMIF(#REF!,$A23,#REF!)+tableau_cotations[[#This Row],[valeurs totale à la vente CC]])-SUMIF(#REF!,$A23,#REF!))/SUMIF(#REF!,$A23,#REF!)</f>
        <v>#REF!</v>
      </c>
      <c r="AD23" s="17" t="e">
        <f>SUMIF(#REF!,$A23,#REF!)+tableau_cotations[[#This Row],[valeurs totale à la vente CC]]</f>
        <v>#REF!</v>
      </c>
      <c r="AE23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3" t="s">
        <v>457</v>
      </c>
      <c r="AG23" t="s">
        <v>458</v>
      </c>
      <c r="AH23" t="s">
        <v>459</v>
      </c>
      <c r="AI23" t="s">
        <v>460</v>
      </c>
      <c r="AJ23" t="s">
        <v>461</v>
      </c>
      <c r="AK23" t="s">
        <v>427</v>
      </c>
      <c r="AO23"/>
      <c r="AS23" t="s">
        <v>317</v>
      </c>
      <c r="AT23" t="s">
        <v>318</v>
      </c>
    </row>
    <row r="24" spans="1:46" ht="15.6" x14ac:dyDescent="0.3">
      <c r="A24" t="s">
        <v>112</v>
      </c>
      <c r="B24" s="50" t="s">
        <v>141</v>
      </c>
      <c r="C24" t="s">
        <v>163</v>
      </c>
      <c r="D24">
        <v>27.45</v>
      </c>
      <c r="E24" s="23">
        <f>SUM(tableau_cotations[[#This Row],[Cotation EUR]]/COTATIONS!$X$46)</f>
        <v>3921.4285714285711</v>
      </c>
      <c r="F24" s="23" t="s">
        <v>23</v>
      </c>
      <c r="G24" s="24" t="str">
        <f>IF(tableau_cotations[[#This Row],[pays]]="usa","USD",IF(tableau_cotations[[#This Row],[pays]]="Royaume-Uni","GBP","EUR"))</f>
        <v>EUR</v>
      </c>
      <c r="H24" s="25" t="s">
        <v>45</v>
      </c>
      <c r="I24" s="1" t="s">
        <v>142</v>
      </c>
      <c r="J24" s="1" t="s">
        <v>76</v>
      </c>
      <c r="K24" s="31" t="e">
        <f>SUMIFS(#REF!,#REF!,$A24,#REF!,"A")</f>
        <v>#REF!</v>
      </c>
      <c r="L24" s="31" t="e">
        <f>SUMIFS(#REF!,#REF!,$A24,#REF!,"V")</f>
        <v>#REF!</v>
      </c>
      <c r="M24" s="36" t="e">
        <f t="shared" ref="M24:M29" si="4">K24-L24</f>
        <v>#REF!</v>
      </c>
      <c r="N24" s="6" t="e">
        <f>SUMIF(#REF!,$A24,#REF!)</f>
        <v>#REF!</v>
      </c>
      <c r="O24" s="6" t="e">
        <f>SUMIF(#REF!,$A24,#REF!)</f>
        <v>#REF!</v>
      </c>
      <c r="P24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4" s="48" t="e">
        <f>tableau_cotations[[#This Row],[Cout Moyen €]]*$X$46</f>
        <v>#REF!</v>
      </c>
      <c r="R24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4" s="37">
        <f>IF(tableau_cotations[[#This Row],[DEVISE]]="EUR",0,IF(tableau_cotations[[#This Row],[DEVISE]]="USD",0))</f>
        <v>0</v>
      </c>
      <c r="T24" s="12">
        <f>IFERROR(SUM(tableau_cotations[[#This Row],[plus value globale CC]]/tableau_cotations[[#This Row],[Qte en portefeuille]]),0)</f>
        <v>0</v>
      </c>
      <c r="U24" s="13">
        <f>IFERROR(SUM((tableau_cotations[[#This Row],[plus value par action CC]]/tableau_cotations[[#This Row],[Cout Moyen €]])),0)</f>
        <v>0</v>
      </c>
      <c r="V24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4" s="30" t="e">
        <f>SUM((tableau_cotations[[#This Row],[valeurs totale à la vente CC]]-tableau_cotations[[#This Row],[Valeur Achat €]])+tableau_cotations[[#This Row],[Valeur Vente €]])</f>
        <v>#REF!</v>
      </c>
      <c r="X24" s="17" t="e">
        <f>SUMIF(#REF!,$A24,#REF!)</f>
        <v>#REF!</v>
      </c>
      <c r="Y24" s="17" t="e">
        <f>tableau_cotations[[#This Row],[dividendes]]+tableau_cotations[[#This Row],[plus value globale CC]]</f>
        <v>#REF!</v>
      </c>
      <c r="Z24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4" s="28">
        <f>IFERROR(SUM((tableau_cotations[[#This Row],[plus value par action CC]]/tableau_cotations[[#This Row],[cm avec div]])),0)</f>
        <v>0</v>
      </c>
      <c r="AB24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4" s="3" t="e">
        <f>SUM(SUM(SUMIF(#REF!,$A24,#REF!)+tableau_cotations[[#This Row],[valeurs totale à la vente CC]])-SUMIF(#REF!,$A24,#REF!))/SUMIF(#REF!,$A24,#REF!)</f>
        <v>#REF!</v>
      </c>
      <c r="AD24" s="17" t="e">
        <f>SUMIF(#REF!,$A24,#REF!)+tableau_cotations[[#This Row],[valeurs totale à la vente CC]]</f>
        <v>#REF!</v>
      </c>
      <c r="AE24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4" t="s">
        <v>424</v>
      </c>
      <c r="AG24" t="s">
        <v>424</v>
      </c>
      <c r="AH24" t="s">
        <v>462</v>
      </c>
      <c r="AI24" t="s">
        <v>463</v>
      </c>
      <c r="AJ24" t="s">
        <v>463</v>
      </c>
      <c r="AK24" t="s">
        <v>464</v>
      </c>
      <c r="AO24"/>
      <c r="AS24" t="s">
        <v>319</v>
      </c>
      <c r="AT24" t="s">
        <v>320</v>
      </c>
    </row>
    <row r="25" spans="1:46" ht="15.6" x14ac:dyDescent="0.3">
      <c r="A25" t="s">
        <v>113</v>
      </c>
      <c r="B25" s="50" t="s">
        <v>143</v>
      </c>
      <c r="C25" t="s">
        <v>164</v>
      </c>
      <c r="D25">
        <v>26.15</v>
      </c>
      <c r="E25" s="23">
        <f>SUM(tableau_cotations[[#This Row],[Cotation EUR]]/COTATIONS!$X$46)</f>
        <v>3735.7142857142853</v>
      </c>
      <c r="F25" s="23" t="s">
        <v>23</v>
      </c>
      <c r="G25" s="24" t="str">
        <f>IF(tableau_cotations[[#This Row],[pays]]="usa","USD",IF(tableau_cotations[[#This Row],[pays]]="Royaume-Uni","GBP","EUR"))</f>
        <v>EUR</v>
      </c>
      <c r="H25" s="25" t="s">
        <v>45</v>
      </c>
      <c r="I25" s="1" t="s">
        <v>79</v>
      </c>
      <c r="J25" s="1" t="s">
        <v>64</v>
      </c>
      <c r="K25" s="31" t="e">
        <f>SUMIFS(#REF!,#REF!,$A25,#REF!,"A")</f>
        <v>#REF!</v>
      </c>
      <c r="L25" s="31" t="e">
        <f>SUMIFS(#REF!,#REF!,$A25,#REF!,"V")</f>
        <v>#REF!</v>
      </c>
      <c r="M25" s="36" t="e">
        <f t="shared" si="4"/>
        <v>#REF!</v>
      </c>
      <c r="N25" s="6" t="e">
        <f>SUMIF(#REF!,$A25,#REF!)</f>
        <v>#REF!</v>
      </c>
      <c r="O25" s="6" t="e">
        <f>SUMIF(#REF!,$A25,#REF!)</f>
        <v>#REF!</v>
      </c>
      <c r="P25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5" s="48" t="e">
        <f>tableau_cotations[[#This Row],[Cout Moyen €]]*$X$46</f>
        <v>#REF!</v>
      </c>
      <c r="R25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5" s="37">
        <f>IF(tableau_cotations[[#This Row],[DEVISE]]="EUR",0,IF(tableau_cotations[[#This Row],[DEVISE]]="USD",0))</f>
        <v>0</v>
      </c>
      <c r="T25" s="12">
        <f>IFERROR(SUM(tableau_cotations[[#This Row],[plus value globale CC]]/tableau_cotations[[#This Row],[Qte en portefeuille]]),0)</f>
        <v>0</v>
      </c>
      <c r="U25" s="13">
        <f>IFERROR(SUM((tableau_cotations[[#This Row],[plus value par action CC]]/tableau_cotations[[#This Row],[Cout Moyen €]])),0)</f>
        <v>0</v>
      </c>
      <c r="V25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5" s="30" t="e">
        <f>SUM((tableau_cotations[[#This Row],[valeurs totale à la vente CC]]-tableau_cotations[[#This Row],[Valeur Achat €]])+tableau_cotations[[#This Row],[Valeur Vente €]])</f>
        <v>#REF!</v>
      </c>
      <c r="X25" s="17" t="e">
        <f>SUMIF(#REF!,$A25,#REF!)</f>
        <v>#REF!</v>
      </c>
      <c r="Y25" s="17" t="e">
        <f>tableau_cotations[[#This Row],[dividendes]]+tableau_cotations[[#This Row],[plus value globale CC]]</f>
        <v>#REF!</v>
      </c>
      <c r="Z25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5" s="28">
        <f>IFERROR(SUM((tableau_cotations[[#This Row],[plus value par action CC]]/tableau_cotations[[#This Row],[cm avec div]])),0)</f>
        <v>0</v>
      </c>
      <c r="AB25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5" s="3" t="e">
        <f>SUM(SUM(SUMIF(#REF!,$A25,#REF!)+tableau_cotations[[#This Row],[valeurs totale à la vente CC]])-SUMIF(#REF!,$A25,#REF!))/SUMIF(#REF!,$A25,#REF!)</f>
        <v>#REF!</v>
      </c>
      <c r="AD25" s="17" t="e">
        <f>SUMIF(#REF!,$A25,#REF!)+tableau_cotations[[#This Row],[valeurs totale à la vente CC]]</f>
        <v>#REF!</v>
      </c>
      <c r="AE25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5" t="s">
        <v>465</v>
      </c>
      <c r="AG25" t="s">
        <v>465</v>
      </c>
      <c r="AH25" t="s">
        <v>466</v>
      </c>
      <c r="AI25" t="s">
        <v>467</v>
      </c>
      <c r="AJ25" t="s">
        <v>467</v>
      </c>
      <c r="AK25" t="s">
        <v>418</v>
      </c>
      <c r="AO25"/>
      <c r="AS25" t="s">
        <v>302</v>
      </c>
      <c r="AT25" t="s">
        <v>321</v>
      </c>
    </row>
    <row r="26" spans="1:46" ht="15.6" x14ac:dyDescent="0.3">
      <c r="A26" t="s">
        <v>114</v>
      </c>
      <c r="B26" s="50" t="s">
        <v>144</v>
      </c>
      <c r="C26" t="s">
        <v>165</v>
      </c>
      <c r="D26">
        <v>21.88</v>
      </c>
      <c r="E26" s="23">
        <f>SUM(tableau_cotations[[#This Row],[Cotation EUR]]/COTATIONS!$X$46)</f>
        <v>3125.7142857142853</v>
      </c>
      <c r="F26" s="23" t="s">
        <v>23</v>
      </c>
      <c r="G26" s="24" t="str">
        <f>IF(tableau_cotations[[#This Row],[pays]]="usa","USD",IF(tableau_cotations[[#This Row],[pays]]="Royaume-Uni","GBP","EUR"))</f>
        <v>EUR</v>
      </c>
      <c r="H26" s="25" t="s">
        <v>45</v>
      </c>
      <c r="I26" s="1" t="s">
        <v>145</v>
      </c>
      <c r="J26" s="1" t="s">
        <v>58</v>
      </c>
      <c r="K26" s="31" t="e">
        <f>SUMIFS(#REF!,#REF!,$A26,#REF!,"A")</f>
        <v>#REF!</v>
      </c>
      <c r="L26" s="31" t="e">
        <f>SUMIFS(#REF!,#REF!,$A26,#REF!,"V")</f>
        <v>#REF!</v>
      </c>
      <c r="M26" s="36" t="e">
        <f t="shared" si="4"/>
        <v>#REF!</v>
      </c>
      <c r="N26" s="6" t="e">
        <f>SUMIF(#REF!,$A26,#REF!)</f>
        <v>#REF!</v>
      </c>
      <c r="O26" s="6" t="e">
        <f>SUMIF(#REF!,$A26,#REF!)</f>
        <v>#REF!</v>
      </c>
      <c r="P26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6" s="48" t="e">
        <f>tableau_cotations[[#This Row],[Cout Moyen €]]*$X$46</f>
        <v>#REF!</v>
      </c>
      <c r="R26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6" s="37">
        <f>IF(tableau_cotations[[#This Row],[DEVISE]]="EUR",0,IF(tableau_cotations[[#This Row],[DEVISE]]="USD",0))</f>
        <v>0</v>
      </c>
      <c r="T26" s="12">
        <f>IFERROR(SUM(tableau_cotations[[#This Row],[plus value globale CC]]/tableau_cotations[[#This Row],[Qte en portefeuille]]),0)</f>
        <v>0</v>
      </c>
      <c r="U26" s="13">
        <f>IFERROR(SUM((tableau_cotations[[#This Row],[plus value par action CC]]/tableau_cotations[[#This Row],[Cout Moyen €]])),0)</f>
        <v>0</v>
      </c>
      <c r="V26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6" s="30" t="e">
        <f>SUM((tableau_cotations[[#This Row],[valeurs totale à la vente CC]]-tableau_cotations[[#This Row],[Valeur Achat €]])+tableau_cotations[[#This Row],[Valeur Vente €]])</f>
        <v>#REF!</v>
      </c>
      <c r="X26" s="17" t="e">
        <f>SUMIF(#REF!,$A26,#REF!)</f>
        <v>#REF!</v>
      </c>
      <c r="Y26" s="17" t="e">
        <f>tableau_cotations[[#This Row],[dividendes]]+tableau_cotations[[#This Row],[plus value globale CC]]</f>
        <v>#REF!</v>
      </c>
      <c r="Z26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6" s="28">
        <f>IFERROR(SUM((tableau_cotations[[#This Row],[plus value par action CC]]/tableau_cotations[[#This Row],[cm avec div]])),0)</f>
        <v>0</v>
      </c>
      <c r="AB26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6" s="3" t="e">
        <f>SUM(SUM(SUMIF(#REF!,$A26,#REF!)+tableau_cotations[[#This Row],[valeurs totale à la vente CC]])-SUMIF(#REF!,$A26,#REF!))/SUMIF(#REF!,$A26,#REF!)</f>
        <v>#REF!</v>
      </c>
      <c r="AD26" s="17" t="e">
        <f>SUMIF(#REF!,$A26,#REF!)+tableau_cotations[[#This Row],[valeurs totale à la vente CC]]</f>
        <v>#REF!</v>
      </c>
      <c r="AE26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6" t="s">
        <v>468</v>
      </c>
      <c r="AG26" t="s">
        <v>469</v>
      </c>
      <c r="AH26" t="s">
        <v>470</v>
      </c>
      <c r="AI26" t="s">
        <v>471</v>
      </c>
      <c r="AJ26" t="s">
        <v>472</v>
      </c>
      <c r="AK26" t="s">
        <v>473</v>
      </c>
      <c r="AO26"/>
      <c r="AS26" t="s">
        <v>322</v>
      </c>
      <c r="AT26" t="s">
        <v>323</v>
      </c>
    </row>
    <row r="27" spans="1:46" ht="15.6" x14ac:dyDescent="0.3">
      <c r="A27" t="s">
        <v>115</v>
      </c>
      <c r="B27" s="50" t="s">
        <v>146</v>
      </c>
      <c r="C27" t="s">
        <v>166</v>
      </c>
      <c r="D27">
        <v>8.0820000000000007</v>
      </c>
      <c r="E27" s="23">
        <f>SUM(tableau_cotations[[#This Row],[Cotation EUR]]/COTATIONS!$X$46)</f>
        <v>1154.5714285714287</v>
      </c>
      <c r="F27" s="23" t="s">
        <v>23</v>
      </c>
      <c r="G27" s="24" t="str">
        <f>IF(tableau_cotations[[#This Row],[pays]]="usa","USD",IF(tableau_cotations[[#This Row],[pays]]="Royaume-Uni","GBP","EUR"))</f>
        <v>EUR</v>
      </c>
      <c r="H27" s="25" t="s">
        <v>45</v>
      </c>
      <c r="I27" s="1" t="s">
        <v>121</v>
      </c>
      <c r="J27" s="1" t="s">
        <v>72</v>
      </c>
      <c r="K27" s="31" t="e">
        <f>SUMIFS(#REF!,#REF!,$A27,#REF!,"A")</f>
        <v>#REF!</v>
      </c>
      <c r="L27" s="31" t="e">
        <f>SUMIFS(#REF!,#REF!,$A27,#REF!,"V")</f>
        <v>#REF!</v>
      </c>
      <c r="M27" s="36" t="e">
        <f t="shared" si="4"/>
        <v>#REF!</v>
      </c>
      <c r="N27" s="6" t="e">
        <f>SUMIF(#REF!,$A27,#REF!)</f>
        <v>#REF!</v>
      </c>
      <c r="O27" s="6" t="e">
        <f>SUMIF(#REF!,$A27,#REF!)</f>
        <v>#REF!</v>
      </c>
      <c r="P27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7" s="48" t="e">
        <f>tableau_cotations[[#This Row],[Cout Moyen €]]*$X$46</f>
        <v>#REF!</v>
      </c>
      <c r="R27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7" s="37">
        <f>IF(tableau_cotations[[#This Row],[DEVISE]]="EUR",0,IF(tableau_cotations[[#This Row],[DEVISE]]="USD",0))</f>
        <v>0</v>
      </c>
      <c r="T27" s="12">
        <f>IFERROR(SUM(tableau_cotations[[#This Row],[plus value globale CC]]/tableau_cotations[[#This Row],[Qte en portefeuille]]),0)</f>
        <v>0</v>
      </c>
      <c r="U27" s="13">
        <f>IFERROR(SUM((tableau_cotations[[#This Row],[plus value par action CC]]/tableau_cotations[[#This Row],[Cout Moyen €]])),0)</f>
        <v>0</v>
      </c>
      <c r="V27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7" s="30" t="e">
        <f>SUM((tableau_cotations[[#This Row],[valeurs totale à la vente CC]]-tableau_cotations[[#This Row],[Valeur Achat €]])+tableau_cotations[[#This Row],[Valeur Vente €]])</f>
        <v>#REF!</v>
      </c>
      <c r="X27" s="17" t="e">
        <f>SUMIF(#REF!,$A27,#REF!)</f>
        <v>#REF!</v>
      </c>
      <c r="Y27" s="17" t="e">
        <f>tableau_cotations[[#This Row],[dividendes]]+tableau_cotations[[#This Row],[plus value globale CC]]</f>
        <v>#REF!</v>
      </c>
      <c r="Z27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7" s="28">
        <f>IFERROR(SUM((tableau_cotations[[#This Row],[plus value par action CC]]/tableau_cotations[[#This Row],[cm avec div]])),0)</f>
        <v>0</v>
      </c>
      <c r="AB27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7" s="3" t="e">
        <f>SUM(SUM(SUMIF(#REF!,$A27,#REF!)+tableau_cotations[[#This Row],[valeurs totale à la vente CC]])-SUMIF(#REF!,$A27,#REF!))/SUMIF(#REF!,$A27,#REF!)</f>
        <v>#REF!</v>
      </c>
      <c r="AD27" s="17" t="e">
        <f>SUMIF(#REF!,$A27,#REF!)+tableau_cotations[[#This Row],[valeurs totale à la vente CC]]</f>
        <v>#REF!</v>
      </c>
      <c r="AE27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7" t="s">
        <v>474</v>
      </c>
      <c r="AG27" t="s">
        <v>474</v>
      </c>
      <c r="AH27" t="s">
        <v>475</v>
      </c>
      <c r="AI27" t="s">
        <v>476</v>
      </c>
      <c r="AJ27" t="s">
        <v>476</v>
      </c>
      <c r="AK27" t="s">
        <v>477</v>
      </c>
      <c r="AO27"/>
      <c r="AS27" t="s">
        <v>324</v>
      </c>
      <c r="AT27" t="s">
        <v>325</v>
      </c>
    </row>
    <row r="28" spans="1:46" ht="15.6" x14ac:dyDescent="0.3">
      <c r="A28" t="s">
        <v>116</v>
      </c>
      <c r="B28" s="50" t="s">
        <v>147</v>
      </c>
      <c r="C28" s="1" t="s">
        <v>167</v>
      </c>
      <c r="D28">
        <v>26.7</v>
      </c>
      <c r="E28" s="23">
        <f>SUM(tableau_cotations[[#This Row],[Cotation EUR]]/COTATIONS!$X$46)</f>
        <v>3814.2857142857142</v>
      </c>
      <c r="F28" s="23" t="s">
        <v>23</v>
      </c>
      <c r="G28" s="24" t="str">
        <f>IF(tableau_cotations[[#This Row],[pays]]="usa","USD",IF(tableau_cotations[[#This Row],[pays]]="Royaume-Uni","GBP","EUR"))</f>
        <v>EUR</v>
      </c>
      <c r="H28" s="25" t="s">
        <v>45</v>
      </c>
      <c r="I28" s="1" t="s">
        <v>82</v>
      </c>
      <c r="J28" s="1" t="s">
        <v>72</v>
      </c>
      <c r="K28" s="31" t="e">
        <f>SUMIFS(#REF!,#REF!,$A28,#REF!,"A")</f>
        <v>#REF!</v>
      </c>
      <c r="L28" s="31" t="e">
        <f>SUMIFS(#REF!,#REF!,$A28,#REF!,"V")</f>
        <v>#REF!</v>
      </c>
      <c r="M28" s="36" t="e">
        <f t="shared" si="4"/>
        <v>#REF!</v>
      </c>
      <c r="N28" s="6" t="e">
        <f>SUMIF(#REF!,$A28,#REF!)</f>
        <v>#REF!</v>
      </c>
      <c r="O28" s="6" t="e">
        <f>SUMIF(#REF!,$A28,#REF!)</f>
        <v>#REF!</v>
      </c>
      <c r="P28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8" s="48" t="e">
        <f>tableau_cotations[[#This Row],[Cout Moyen €]]*$X$46</f>
        <v>#REF!</v>
      </c>
      <c r="R28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8" s="37">
        <f>IF(tableau_cotations[[#This Row],[DEVISE]]="EUR",0,IF(tableau_cotations[[#This Row],[DEVISE]]="USD",0))</f>
        <v>0</v>
      </c>
      <c r="T28" s="12">
        <f>IFERROR(SUM(tableau_cotations[[#This Row],[plus value globale CC]]/tableau_cotations[[#This Row],[Qte en portefeuille]]),0)</f>
        <v>0</v>
      </c>
      <c r="U28" s="13">
        <f>IFERROR(SUM((tableau_cotations[[#This Row],[plus value par action CC]]/tableau_cotations[[#This Row],[Cout Moyen €]])),0)</f>
        <v>0</v>
      </c>
      <c r="V28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8" s="30" t="e">
        <f>SUM((tableau_cotations[[#This Row],[valeurs totale à la vente CC]]-tableau_cotations[[#This Row],[Valeur Achat €]])+tableau_cotations[[#This Row],[Valeur Vente €]])</f>
        <v>#REF!</v>
      </c>
      <c r="X28" s="17" t="e">
        <f>SUMIF(#REF!,$A28,#REF!)</f>
        <v>#REF!</v>
      </c>
      <c r="Y28" s="17" t="e">
        <f>tableau_cotations[[#This Row],[dividendes]]+tableau_cotations[[#This Row],[plus value globale CC]]</f>
        <v>#REF!</v>
      </c>
      <c r="Z28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8" s="28">
        <f>IFERROR(SUM((tableau_cotations[[#This Row],[plus value par action CC]]/tableau_cotations[[#This Row],[cm avec div]])),0)</f>
        <v>0</v>
      </c>
      <c r="AB28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8" s="3" t="e">
        <f>SUM(SUM(SUMIF(#REF!,$A28,#REF!)+tableau_cotations[[#This Row],[valeurs totale à la vente CC]])-SUMIF(#REF!,$A28,#REF!))/SUMIF(#REF!,$A28,#REF!)</f>
        <v>#REF!</v>
      </c>
      <c r="AD28" s="17" t="e">
        <f>SUMIF(#REF!,$A28,#REF!)+tableau_cotations[[#This Row],[valeurs totale à la vente CC]]</f>
        <v>#REF!</v>
      </c>
      <c r="AE28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8" t="s">
        <v>354</v>
      </c>
      <c r="AG28" t="s">
        <v>355</v>
      </c>
      <c r="AH28" t="s">
        <v>356</v>
      </c>
      <c r="AI28" t="s">
        <v>351</v>
      </c>
      <c r="AJ28" t="s">
        <v>352</v>
      </c>
      <c r="AK28" t="s">
        <v>353</v>
      </c>
      <c r="AO28"/>
      <c r="AS28">
        <v>0</v>
      </c>
    </row>
    <row r="29" spans="1:46" ht="15.6" x14ac:dyDescent="0.3">
      <c r="A29" t="s">
        <v>117</v>
      </c>
      <c r="B29" s="50" t="s">
        <v>148</v>
      </c>
      <c r="C29" s="1" t="s">
        <v>168</v>
      </c>
      <c r="D29">
        <v>140</v>
      </c>
      <c r="E29" s="23">
        <f>SUM(tableau_cotations[[#This Row],[Cotation EUR]]/COTATIONS!$X$46)</f>
        <v>20000</v>
      </c>
      <c r="F29" s="23" t="s">
        <v>23</v>
      </c>
      <c r="G29" s="24" t="str">
        <f>IF(tableau_cotations[[#This Row],[pays]]="usa","USD",IF(tableau_cotations[[#This Row],[pays]]="Royaume-Uni","GBP","EUR"))</f>
        <v>EUR</v>
      </c>
      <c r="H29" s="25" t="s">
        <v>45</v>
      </c>
      <c r="I29" s="1" t="s">
        <v>149</v>
      </c>
      <c r="J29" s="1" t="s">
        <v>64</v>
      </c>
      <c r="K29" s="31" t="e">
        <f>SUMIFS(#REF!,#REF!,$A29,#REF!,"A")</f>
        <v>#REF!</v>
      </c>
      <c r="L29" s="31" t="e">
        <f>SUMIFS(#REF!,#REF!,$A29,#REF!,"V")</f>
        <v>#REF!</v>
      </c>
      <c r="M29" s="36" t="e">
        <f t="shared" si="4"/>
        <v>#REF!</v>
      </c>
      <c r="N29" s="6" t="e">
        <f>SUMIF(#REF!,$A29,#REF!)</f>
        <v>#REF!</v>
      </c>
      <c r="O29" s="6" t="e">
        <f>SUMIF(#REF!,$A29,#REF!)</f>
        <v>#REF!</v>
      </c>
      <c r="P29" s="39" t="e">
        <f>IF(tableau_cotations[[#This Row],[Valeur Vente €]]&gt;tableau_cotations[[#This Row],[Valeur Achat €]],IFERROR(((tableau_cotations[[#This Row],[Valeur Vente €]]+(tableau_cotations[[#This Row],[Qte en portefeuille]]*tableau_cotations[[#This Row],[Cotation EUR]]))-tableau_cotations[[#This Row],[Valeur Achat €]])/tableau_cotations[[#This Row],[Qte en portefeuille]],0),IFERROR((tableau_cotations[[#This Row],[Valeur Achat €]]-(tableau_cotations[[#This Row],[Valeur Vente €]]))/tableau_cotations[[#This Row],[Qte en portefeuille]],0))</f>
        <v>#REF!</v>
      </c>
      <c r="Q29" s="48" t="e">
        <f>tableau_cotations[[#This Row],[Cout Moyen €]]*$X$46</f>
        <v>#REF!</v>
      </c>
      <c r="R29" s="6" t="e">
        <f>IF(tableau_cotations[[#This Row],[DEVISE]]="EUR",tableau_cotations[[#This Row],[Cotation EUR]]*tableau_cotations[[#This Row],[Qte en portefeuille]],IF(tableau_cotations[[#This Row],[DEVISE]]="USD",tableau_cotations[[#This Row],[convert USD]]*tableau_cotations[[#This Row],[Qte en portefeuille]],IF(tableau_cotations[[#This Row],[DEVISE]]="etf",tableau_cotations[[#This Row],[Cotation EUR]]*tableau_cotations[[#This Row],[Qte en portefeuille]])))</f>
        <v>#REF!</v>
      </c>
      <c r="S29" s="37">
        <f>IF(tableau_cotations[[#This Row],[DEVISE]]="EUR",0,IF(tableau_cotations[[#This Row],[DEVISE]]="USD",0))</f>
        <v>0</v>
      </c>
      <c r="T29" s="12">
        <f>IFERROR(SUM(tableau_cotations[[#This Row],[plus value globale CC]]/tableau_cotations[[#This Row],[Qte en portefeuille]]),0)</f>
        <v>0</v>
      </c>
      <c r="U29" s="13">
        <f>IFERROR(SUM((tableau_cotations[[#This Row],[plus value par action CC]]/tableau_cotations[[#This Row],[Cout Moyen €]])),0)</f>
        <v>0</v>
      </c>
      <c r="V29" s="47" t="e">
        <f>IF(tableau_cotations[[#This Row],[Qte en portefeuille]]&gt;0,IF(tableau_cotations[[#This Row],[DEVISE]]="EUR",SUM(tableau_cotations[[#This Row],[Qte en portefeuille]]*tableau_cotations[[#This Row],[Cotation EUR]]),IF(tableau_cotations[[#This Row],[DEVISE]]="USD",SUM((tableau_cotations[[#This Row],[Qte en portefeuille]]*tableau_cotations[[#This Row],[convert USD]])),IF(tableau_cotations[[#This Row],[DEVISE]]="etf",(tableau_cotations[[#This Row],[Cotation EUR]]*tableau_cotations[[#This Row],[Qte en portefeuille]]),#REF!))),0)</f>
        <v>#REF!</v>
      </c>
      <c r="W29" s="30" t="e">
        <f>SUM((tableau_cotations[[#This Row],[valeurs totale à la vente CC]]-tableau_cotations[[#This Row],[Valeur Achat €]])+tableau_cotations[[#This Row],[Valeur Vente €]])</f>
        <v>#REF!</v>
      </c>
      <c r="X29" s="17" t="e">
        <f>SUMIF(#REF!,$A29,#REF!)</f>
        <v>#REF!</v>
      </c>
      <c r="Y29" s="17" t="e">
        <f>tableau_cotations[[#This Row],[dividendes]]+tableau_cotations[[#This Row],[plus value globale CC]]</f>
        <v>#REF!</v>
      </c>
      <c r="Z29" s="17">
        <f>IFERROR(IF(tableau_cotations[[#This Row],[global]]&lt;=0,(tableau_cotations[[#This Row],[Valeur Achat €]]-(tableau_cotations[[#This Row],[Valeur Vente €]]-tableau_cotations[[#This Row],[dividendes]]))/tableau_cotations[[#This Row],[Qte en portefeuille]],(tableau_cotations[[#This Row],[Valeur Achat €]]-(tableau_cotations[[#This Row],[Valeur Vente €]]+tableau_cotations[[#This Row],[dividendes]]))/tableau_cotations[[#This Row],[Qte en portefeuille]]),0)</f>
        <v>0</v>
      </c>
      <c r="AA29" s="28">
        <f>IFERROR(SUM((tableau_cotations[[#This Row],[plus value par action CC]]/tableau_cotations[[#This Row],[cm avec div]])),0)</f>
        <v>0</v>
      </c>
      <c r="AB29" s="17" t="e">
        <f>IF(tableau_cotations[[#This Row],[plus value globale CC]]&lt;0,tableau_cotations[[#This Row],[valeurs totale à la vente CC]]-tableau_cotations[[#This Row],[plus value globale CC]],tableau_cotations[[#This Row],[valeurs totale à la vente CC]]+tableau_cotations[[#This Row],[plus value globale CC]])</f>
        <v>#REF!</v>
      </c>
      <c r="AC29" s="3" t="e">
        <f>SUM(SUM(SUMIF(#REF!,$A29,#REF!)+tableau_cotations[[#This Row],[valeurs totale à la vente CC]])-SUMIF(#REF!,$A29,#REF!))/SUMIF(#REF!,$A29,#REF!)</f>
        <v>#REF!</v>
      </c>
      <c r="AD29" s="17" t="e">
        <f>SUMIF(#REF!,$A29,#REF!)+tableau_cotations[[#This Row],[valeurs totale à la vente CC]]</f>
        <v>#REF!</v>
      </c>
      <c r="AE29" s="27" t="e">
        <f>IF((tableau_cotations[[#This Row],[valeur en stock HC €]]-tableau_cotations[[#This Row],[plus value globale CC]])&lt;0,tableau_cotations[[#This Row],[plus value globale CC]]+tableau_cotations[[#This Row],[valeur en stock HC €]],tableau_cotations[[#This Row],[valeur en stock HC €]]-tableau_cotations[[#This Row],[plus value globale CC]])</f>
        <v>#REF!</v>
      </c>
      <c r="AF29" t="s">
        <v>478</v>
      </c>
      <c r="AG29" t="s">
        <v>479</v>
      </c>
      <c r="AH29" t="s">
        <v>480</v>
      </c>
      <c r="AI29" t="s">
        <v>481</v>
      </c>
      <c r="AJ29" t="s">
        <v>482</v>
      </c>
      <c r="AK29" t="s">
        <v>483</v>
      </c>
      <c r="AO29"/>
      <c r="AS29" t="s">
        <v>326</v>
      </c>
      <c r="AT29" t="s">
        <v>327</v>
      </c>
    </row>
    <row r="30" spans="1:46" x14ac:dyDescent="0.3">
      <c r="A30" t="s">
        <v>2</v>
      </c>
      <c r="D30"/>
      <c r="E30" s="45"/>
      <c r="F30" s="45"/>
      <c r="G30" s="24"/>
      <c r="H30" s="25"/>
      <c r="I30" s="45"/>
      <c r="J30" s="45"/>
      <c r="K30" s="31"/>
      <c r="M30"/>
      <c r="P30" s="39"/>
      <c r="Q30"/>
      <c r="R30" s="33" t="e">
        <f>SUBTOTAL(109,tableau_cotations[valeur en stock HC €])</f>
        <v>#REF!</v>
      </c>
      <c r="S30"/>
      <c r="T30"/>
      <c r="V30" s="2" t="e">
        <f>SUBTOTAL(109,tableau_cotations[valeurs totale à la vente CC])</f>
        <v>#REF!</v>
      </c>
      <c r="W30" s="34"/>
      <c r="X30" s="17" t="e">
        <f>SUBTOTAL(109,tableau_cotations[dividendes])</f>
        <v>#REF!</v>
      </c>
      <c r="AA30" s="28"/>
      <c r="AB30"/>
      <c r="AC30" s="3"/>
      <c r="AD30"/>
      <c r="AE30" s="27"/>
      <c r="AI30"/>
      <c r="AJ30" t="s">
        <v>171</v>
      </c>
      <c r="AK30" t="s">
        <v>169</v>
      </c>
      <c r="AO30"/>
    </row>
    <row r="31" spans="1:46" x14ac:dyDescent="0.3">
      <c r="E31" s="45"/>
      <c r="F31" s="45"/>
      <c r="G31" s="24"/>
      <c r="H31" s="25"/>
      <c r="I31" s="45"/>
      <c r="J31" s="45"/>
      <c r="K31" s="31"/>
      <c r="M31"/>
      <c r="P31" s="39"/>
      <c r="Q31"/>
      <c r="R31" s="33"/>
      <c r="S31"/>
      <c r="T31"/>
      <c r="V31" s="2"/>
      <c r="W31" s="34"/>
      <c r="X31" s="17"/>
      <c r="AA31" s="28"/>
      <c r="AB31"/>
      <c r="AC31" s="3"/>
      <c r="AD31"/>
      <c r="AE31" s="27"/>
    </row>
    <row r="32" spans="1:46" x14ac:dyDescent="0.3">
      <c r="E32"/>
    </row>
    <row r="33" spans="1:43" x14ac:dyDescent="0.3">
      <c r="E33"/>
    </row>
    <row r="34" spans="1:43" x14ac:dyDescent="0.3">
      <c r="E34"/>
    </row>
    <row r="35" spans="1:43" x14ac:dyDescent="0.3">
      <c r="E35"/>
    </row>
    <row r="36" spans="1:43" x14ac:dyDescent="0.3">
      <c r="E36"/>
    </row>
    <row r="37" spans="1:43" x14ac:dyDescent="0.3">
      <c r="E37"/>
      <c r="P37" s="4"/>
    </row>
    <row r="38" spans="1:43" x14ac:dyDescent="0.3">
      <c r="E38"/>
    </row>
    <row r="39" spans="1:43" x14ac:dyDescent="0.3">
      <c r="E39"/>
    </row>
    <row r="40" spans="1:43" x14ac:dyDescent="0.3">
      <c r="E40"/>
    </row>
    <row r="41" spans="1:43" x14ac:dyDescent="0.3">
      <c r="E41"/>
    </row>
    <row r="42" spans="1:43" x14ac:dyDescent="0.3">
      <c r="E42"/>
      <c r="W42" s="40" t="s">
        <v>25</v>
      </c>
      <c r="X42" s="40" t="s">
        <v>9</v>
      </c>
      <c r="Y42" s="40" t="s">
        <v>8</v>
      </c>
      <c r="Z42" s="40" t="s">
        <v>11</v>
      </c>
      <c r="AA42" s="40" t="s">
        <v>10</v>
      </c>
      <c r="AB42" s="40" t="s">
        <v>12</v>
      </c>
      <c r="AC42" s="40" t="s">
        <v>13</v>
      </c>
      <c r="AD42" s="40" t="s">
        <v>26</v>
      </c>
      <c r="AE42" s="40" t="s">
        <v>27</v>
      </c>
      <c r="AF42" s="40"/>
      <c r="AG42" s="40"/>
      <c r="AH42" s="40"/>
      <c r="AI42" s="54"/>
      <c r="AJ42" s="54"/>
      <c r="AK42" s="54"/>
      <c r="AL42" s="40"/>
      <c r="AM42" s="40"/>
      <c r="AN42" s="40"/>
      <c r="AO42" s="67"/>
      <c r="AP42" s="40"/>
      <c r="AQ42" s="40"/>
    </row>
    <row r="43" spans="1:43" x14ac:dyDescent="0.3">
      <c r="E43"/>
      <c r="W43" s="40" t="s">
        <v>9</v>
      </c>
      <c r="X43" s="40">
        <v>1</v>
      </c>
      <c r="Y43" s="40">
        <v>0.89580000000000004</v>
      </c>
      <c r="Z43" s="40">
        <v>0.74780000000000002</v>
      </c>
      <c r="AA43" s="40">
        <v>142.19</v>
      </c>
      <c r="AB43" s="40">
        <v>0.84050000000000002</v>
      </c>
      <c r="AC43" s="40">
        <v>1.3512</v>
      </c>
      <c r="AD43" s="40">
        <v>1.4488000000000001</v>
      </c>
      <c r="AE43" s="40">
        <v>1.5770999999999999</v>
      </c>
      <c r="AF43" s="40"/>
      <c r="AG43" s="40"/>
      <c r="AH43" s="40"/>
      <c r="AI43" s="54"/>
      <c r="AJ43" s="54"/>
      <c r="AK43" s="54"/>
      <c r="AL43" s="40"/>
      <c r="AM43" s="40"/>
      <c r="AN43" s="40"/>
      <c r="AO43" s="67"/>
      <c r="AP43" s="40"/>
      <c r="AQ43" s="40"/>
    </row>
    <row r="44" spans="1:43" x14ac:dyDescent="0.3">
      <c r="E44"/>
      <c r="W44" s="40" t="s">
        <v>8</v>
      </c>
      <c r="X44" s="40">
        <v>1.1163000000000001</v>
      </c>
      <c r="Y44" s="40">
        <v>1</v>
      </c>
      <c r="Z44" s="40">
        <v>0.83479999999999999</v>
      </c>
      <c r="AA44" s="40">
        <v>158.78</v>
      </c>
      <c r="AB44" s="40">
        <v>0.93840000000000001</v>
      </c>
      <c r="AC44" s="40">
        <v>1.5088999999999999</v>
      </c>
      <c r="AD44" s="40">
        <v>1.6173</v>
      </c>
      <c r="AE44" s="40">
        <v>1.7605</v>
      </c>
      <c r="AF44" s="40"/>
      <c r="AG44" s="40"/>
      <c r="AH44" s="40"/>
      <c r="AI44" s="54"/>
      <c r="AJ44" s="54"/>
      <c r="AK44" s="54"/>
      <c r="AL44" s="40"/>
      <c r="AM44" s="40"/>
      <c r="AN44" s="40"/>
      <c r="AO44" s="67"/>
      <c r="AP44" s="40"/>
      <c r="AQ44" s="40"/>
    </row>
    <row r="45" spans="1:43" x14ac:dyDescent="0.3">
      <c r="E45"/>
      <c r="W45" s="40" t="s">
        <v>11</v>
      </c>
      <c r="X45" s="40">
        <v>1.3372999999999999</v>
      </c>
      <c r="Y45" s="40">
        <v>1.1978</v>
      </c>
      <c r="Z45" s="40">
        <v>1</v>
      </c>
      <c r="AA45" s="40">
        <v>190.18</v>
      </c>
      <c r="AB45" s="40">
        <v>1.1240000000000001</v>
      </c>
      <c r="AC45" s="40">
        <v>1.8073999999999999</v>
      </c>
      <c r="AD45" s="40">
        <v>1.9375</v>
      </c>
      <c r="AE45" s="40">
        <v>2.109</v>
      </c>
      <c r="AF45" s="40"/>
      <c r="AG45" s="40"/>
      <c r="AH45" s="40"/>
      <c r="AI45" s="54"/>
      <c r="AJ45" s="54"/>
      <c r="AK45" s="54"/>
      <c r="AL45" s="40"/>
      <c r="AM45" s="40"/>
      <c r="AN45" s="40"/>
      <c r="AO45" s="67"/>
      <c r="AP45" s="40"/>
      <c r="AQ45" s="40"/>
    </row>
    <row r="46" spans="1:43" x14ac:dyDescent="0.3">
      <c r="E46"/>
      <c r="W46" s="40" t="s">
        <v>10</v>
      </c>
      <c r="X46" s="40">
        <v>7.0000000000000001E-3</v>
      </c>
      <c r="Y46" s="40">
        <v>6.3E-3</v>
      </c>
      <c r="Z46" s="40">
        <v>0.52569999999999995</v>
      </c>
      <c r="AA46" s="40">
        <v>1</v>
      </c>
      <c r="AB46" s="40">
        <v>5.8999999999999999E-3</v>
      </c>
      <c r="AC46" s="40">
        <v>0.95050000000000001</v>
      </c>
      <c r="AD46" s="40">
        <v>1.01885</v>
      </c>
      <c r="AE46" s="40">
        <v>1.11E-2</v>
      </c>
      <c r="AF46" s="40"/>
      <c r="AG46" s="40"/>
      <c r="AH46" s="40"/>
      <c r="AI46" s="54"/>
      <c r="AJ46" s="54"/>
      <c r="AK46" s="54"/>
      <c r="AL46" s="40"/>
      <c r="AM46" s="40"/>
      <c r="AN46" s="40"/>
      <c r="AO46" s="67"/>
      <c r="AP46" s="40"/>
      <c r="AQ46" s="40"/>
    </row>
    <row r="47" spans="1:43" x14ac:dyDescent="0.3">
      <c r="E47"/>
      <c r="W47" s="40" t="s">
        <v>12</v>
      </c>
      <c r="X47" s="40">
        <v>1.1898</v>
      </c>
      <c r="Y47" s="40">
        <v>1.0656000000000001</v>
      </c>
      <c r="Z47" s="40">
        <v>0.88959999999999995</v>
      </c>
      <c r="AA47" s="40">
        <v>169.17</v>
      </c>
      <c r="AB47" s="40">
        <v>1</v>
      </c>
      <c r="AC47" s="40">
        <v>1.6080000000000001</v>
      </c>
      <c r="AD47" s="40">
        <v>1.7238</v>
      </c>
      <c r="AE47" s="40">
        <v>1.8762000000000001</v>
      </c>
      <c r="AF47" s="40"/>
      <c r="AG47" s="40"/>
      <c r="AH47" s="40"/>
      <c r="AI47" s="54"/>
      <c r="AJ47" s="54"/>
      <c r="AK47" s="54"/>
      <c r="AL47" s="40"/>
      <c r="AM47" s="40"/>
      <c r="AN47" s="40"/>
      <c r="AO47" s="67"/>
      <c r="AP47" s="40"/>
      <c r="AQ47" s="40"/>
    </row>
    <row r="48" spans="1:43" x14ac:dyDescent="0.3">
      <c r="A48" s="7"/>
      <c r="B48" s="7"/>
      <c r="C48" s="3"/>
      <c r="E48"/>
      <c r="W48" s="40" t="s">
        <v>13</v>
      </c>
      <c r="X48" s="40">
        <v>0.7399</v>
      </c>
      <c r="Y48" s="40">
        <v>0.66279999999999994</v>
      </c>
      <c r="Z48" s="40">
        <v>0.55330000000000001</v>
      </c>
      <c r="AA48" s="40">
        <v>105.21</v>
      </c>
      <c r="AB48" s="40">
        <v>0.62190000000000001</v>
      </c>
      <c r="AC48" s="40">
        <v>1</v>
      </c>
      <c r="AD48" s="40">
        <v>1.0721000000000001</v>
      </c>
      <c r="AE48" s="40">
        <v>1.1668000000000001</v>
      </c>
      <c r="AF48" s="40"/>
      <c r="AG48" s="40"/>
      <c r="AH48" s="40"/>
      <c r="AI48" s="54"/>
      <c r="AJ48" s="54"/>
      <c r="AK48" s="54"/>
      <c r="AL48" s="40"/>
      <c r="AM48" s="40"/>
      <c r="AN48" s="40"/>
      <c r="AO48" s="67"/>
      <c r="AP48" s="40"/>
      <c r="AQ48" s="40"/>
    </row>
    <row r="49" spans="1:43" x14ac:dyDescent="0.3">
      <c r="A49" s="7"/>
      <c r="B49" s="7"/>
      <c r="C49" s="3"/>
      <c r="E49"/>
      <c r="W49" s="40" t="s">
        <v>26</v>
      </c>
      <c r="X49" s="40">
        <v>0.69020000000000004</v>
      </c>
      <c r="Y49" s="40">
        <v>0.61829999999999996</v>
      </c>
      <c r="Z49" s="40">
        <v>0.5161</v>
      </c>
      <c r="AA49" s="40">
        <v>98.16</v>
      </c>
      <c r="AB49" s="40">
        <v>0.58020000000000005</v>
      </c>
      <c r="AC49" s="40">
        <v>0.93289999999999995</v>
      </c>
      <c r="AD49" s="40">
        <v>1</v>
      </c>
      <c r="AE49" s="40">
        <v>1.0884</v>
      </c>
      <c r="AF49" s="40"/>
      <c r="AG49" s="40"/>
      <c r="AH49" s="40"/>
      <c r="AI49" s="54"/>
      <c r="AJ49" s="54"/>
      <c r="AK49" s="54"/>
      <c r="AL49" s="40"/>
      <c r="AM49" s="40"/>
      <c r="AN49" s="40"/>
      <c r="AO49" s="67"/>
      <c r="AP49" s="40"/>
      <c r="AQ49" s="40"/>
    </row>
    <row r="50" spans="1:43" x14ac:dyDescent="0.3">
      <c r="A50" s="7"/>
      <c r="B50" s="7"/>
      <c r="C50" s="3"/>
      <c r="E50"/>
      <c r="W50" s="40" t="s">
        <v>27</v>
      </c>
      <c r="X50" s="40">
        <v>0.63400000000000001</v>
      </c>
      <c r="Y50" s="40">
        <v>0.56799999999999995</v>
      </c>
      <c r="Z50" s="40">
        <v>0.47420000000000001</v>
      </c>
      <c r="AA50" s="40">
        <v>90.18</v>
      </c>
      <c r="AB50" s="40">
        <v>0.53290000000000004</v>
      </c>
      <c r="AC50" s="40">
        <v>0.85699999999999998</v>
      </c>
      <c r="AD50" s="40">
        <v>0.91869999999999996</v>
      </c>
      <c r="AE50" s="40">
        <v>1</v>
      </c>
      <c r="AF50" s="40"/>
      <c r="AG50" s="40"/>
      <c r="AH50" s="40"/>
      <c r="AI50" s="54"/>
      <c r="AJ50" s="54"/>
      <c r="AK50" s="54"/>
      <c r="AL50" s="40"/>
      <c r="AM50" s="40"/>
      <c r="AN50" s="40"/>
      <c r="AO50" s="67"/>
      <c r="AP50" s="40"/>
      <c r="AQ50" s="40"/>
    </row>
    <row r="51" spans="1:43" x14ac:dyDescent="0.3">
      <c r="A51" s="7"/>
      <c r="B51" s="7"/>
      <c r="C51" s="3"/>
      <c r="E51"/>
    </row>
    <row r="52" spans="1:43" x14ac:dyDescent="0.3">
      <c r="A52" s="7"/>
      <c r="B52" s="7"/>
      <c r="C52" s="3"/>
      <c r="E52"/>
    </row>
    <row r="53" spans="1:43" x14ac:dyDescent="0.3">
      <c r="A53" s="7"/>
      <c r="B53" s="7"/>
      <c r="C53" s="3"/>
      <c r="E53"/>
    </row>
    <row r="54" spans="1:43" x14ac:dyDescent="0.3">
      <c r="A54" s="7"/>
      <c r="B54" s="7"/>
      <c r="C54" s="3"/>
      <c r="E54"/>
    </row>
    <row r="55" spans="1:43" x14ac:dyDescent="0.3">
      <c r="A55" s="7"/>
      <c r="B55" s="7"/>
      <c r="C55" s="3"/>
      <c r="E55"/>
    </row>
    <row r="56" spans="1:43" x14ac:dyDescent="0.3">
      <c r="A56" s="7"/>
      <c r="B56" s="7"/>
      <c r="C56" s="3"/>
      <c r="E56"/>
    </row>
    <row r="57" spans="1:43" x14ac:dyDescent="0.3">
      <c r="E57"/>
    </row>
    <row r="58" spans="1:43" x14ac:dyDescent="0.3">
      <c r="E58"/>
    </row>
    <row r="59" spans="1:43" x14ac:dyDescent="0.3">
      <c r="E59"/>
    </row>
    <row r="60" spans="1:43" x14ac:dyDescent="0.3">
      <c r="E60"/>
    </row>
    <row r="61" spans="1:43" x14ac:dyDescent="0.3">
      <c r="E61"/>
    </row>
    <row r="62" spans="1:43" x14ac:dyDescent="0.3">
      <c r="E62"/>
    </row>
    <row r="63" spans="1:43" x14ac:dyDescent="0.3">
      <c r="E63"/>
    </row>
    <row r="114" spans="16:25" x14ac:dyDescent="0.3">
      <c r="P114" s="5"/>
      <c r="Y114" s="5"/>
    </row>
    <row r="514" spans="18:18" x14ac:dyDescent="0.3">
      <c r="R514" s="15"/>
    </row>
  </sheetData>
  <conditionalFormatting sqref="U1">
    <cfRule type="iconSet" priority="11352">
      <iconSet iconSet="3Arrows">
        <cfvo type="percent" val="0"/>
        <cfvo type="num" val="0"/>
        <cfvo type="num" val="0"/>
      </iconSet>
    </cfRule>
  </conditionalFormatting>
  <conditionalFormatting sqref="W2:W29">
    <cfRule type="iconSet" priority="11374">
      <iconSet iconSet="3Arrows">
        <cfvo type="percent" val="0"/>
        <cfvo type="num" val="0"/>
        <cfvo type="num" val="0"/>
      </iconSet>
    </cfRule>
  </conditionalFormatting>
  <conditionalFormatting sqref="U2:U29">
    <cfRule type="iconSet" priority="11376">
      <iconSet iconSet="3Arrows">
        <cfvo type="percent" val="0"/>
        <cfvo type="num" val="0"/>
        <cfvo type="num" val="0"/>
      </iconSet>
    </cfRule>
  </conditionalFormatting>
  <hyperlinks>
    <hyperlink ref="I7" r:id="rId1" display="https://fr.investing.com/stock-screener/?sp=country::22|sector::a|industry::177|equityType::a%3Ceq_market_cap;1" xr:uid="{00000000-0004-0000-0500-000000000000}"/>
    <hyperlink ref="J7" r:id="rId2" display="https://fr.investing.com/stock-screener/?sp=country::22|sector::25|industry::a|equityType::a%3Ceq_market_cap;1" xr:uid="{00000000-0004-0000-0500-000001000000}"/>
    <hyperlink ref="I9" r:id="rId3" display="https://fr.investing.com/stock-screener/?sp=country::22|sector::a|industry::209|equityType::a%3Ceq_market_cap;1" xr:uid="{00000000-0004-0000-0500-000002000000}"/>
    <hyperlink ref="J2" r:id="rId4" display="https://fr.investing.com/stock-screener/?sp=country::22|sector::1|industry::a|equityType::a%3ceq_market_cap;1" xr:uid="{00000000-0004-0000-0500-000003000000}"/>
    <hyperlink ref="I2" r:id="rId5" display="https://fr.investing.com/stock-screener/?sp=country::22|sector::a|industry::205|equityType::a%3Ceq_market_cap;1" xr:uid="{00000000-0004-0000-0500-000004000000}"/>
    <hyperlink ref="I11" r:id="rId6" display="https://fr.investing.com/stock-screener/?sp=country::22|sector::a|industry::191|equityType::a%3Ceq_market_cap;1" xr:uid="{00000000-0004-0000-0500-000005000000}"/>
    <hyperlink ref="J11" r:id="rId7" display="https://fr.investing.com/stock-screener/?sp=country::22|sector::27|industry::a|equityType::a%3Ceq_market_cap;1" xr:uid="{00000000-0004-0000-0500-000006000000}"/>
    <hyperlink ref="I8" r:id="rId8" display="https://fr.investing.com/stock-screener/?sp=country::22|sector::a|industry::182|equityType::a%3Ceq_market_cap;1" xr:uid="{00000000-0004-0000-0500-000007000000}"/>
    <hyperlink ref="J3" r:id="rId9" display="https://fr.investing.com/stock-screener/?sp=country::22|sector::28|industry::a|equityType::a%3Ceq_market_cap;1" xr:uid="{00000000-0004-0000-0500-000008000000}"/>
    <hyperlink ref="I6" r:id="rId10" display="https://fr.investing.com/stock-screener/?sp=country::22|sector::a|industry::183|equityType::a%3Ceq_market_cap;1" xr:uid="{00000000-0004-0000-0500-000009000000}"/>
    <hyperlink ref="J6" r:id="rId11" display="https://fr.investing.com/stock-screener/?sp=country::22|sector::26|industry::a|equityType::a%3Ceq_market_cap;1" xr:uid="{00000000-0004-0000-0500-00000A000000}"/>
    <hyperlink ref="I4" r:id="rId12" display="https://fr.investing.com/stock-screener/?sp=country::22|sector::a|industry::198|equityType::a%3Ceq_market_cap;1" xr:uid="{00000000-0004-0000-0500-00000B000000}"/>
    <hyperlink ref="J4" r:id="rId13" display="https://fr.investing.com/stock-screener/?sp=country::22|sector::27|industry::a|equityType::a%3Ceq_market_cap;1" xr:uid="{00000000-0004-0000-0500-00000C000000}"/>
    <hyperlink ref="I10" r:id="rId14" display="https://fr.investing.com/stock-screener/?sp=country::22|sector::a|industry::201|equityType::a%3Ceq_market_cap;1" xr:uid="{00000000-0004-0000-0500-00000D000000}"/>
    <hyperlink ref="J10" r:id="rId15" display="https://fr.investing.com/stock-screener/?sp=country::22|sector::28|industry::a|equityType::a%3Ceq_market_cap;1" xr:uid="{00000000-0004-0000-0500-00000E000000}"/>
    <hyperlink ref="I5" r:id="rId16" display="https://fr.investing.com/stock-screener/?sp=country::22|sector::a|industry::191|equityType::a%3Ceq_market_cap;1" xr:uid="{00000000-0004-0000-0500-00000F000000}"/>
    <hyperlink ref="J5" r:id="rId17" display="https://fr.investing.com/stock-screener/?sp=country::22|sector::27|industry::a|equityType::a%3Ceq_market_cap;1" xr:uid="{00000000-0004-0000-0500-000010000000}"/>
    <hyperlink ref="I12" r:id="rId18" display="https://fr.investing.com/stock-screener/?sp=country::22|sector::a|industry::184|equityType::a%3Ceq_market_cap;1" xr:uid="{00000000-0004-0000-0500-000011000000}"/>
    <hyperlink ref="I13" r:id="rId19" display="https://fr.investing.com/stock-screener/?sp=country::22|sector::a|industry::190|equityType::a%3Ceq_market_cap;1" xr:uid="{00000000-0004-0000-0500-000012000000}"/>
    <hyperlink ref="J13" r:id="rId20" display="https://fr.investing.com/stock-screener/?sp=country::22|sector::27|industry::a|equityType::a%3Ceq_market_cap;1" xr:uid="{00000000-0004-0000-0500-000013000000}"/>
    <hyperlink ref="I14" r:id="rId21" display="https://fr.investing.com/stock-screener/?sp=country::22|sector::a|industry::219|equityType::a%3Ceq_market_cap;1" xr:uid="{00000000-0004-0000-0500-000014000000}"/>
    <hyperlink ref="J14" r:id="rId22" display="https://fr.investing.com/stock-screener/?sp=country::22|sector::31|industry::a|equityType::a%3Ceq_market_cap;1" xr:uid="{00000000-0004-0000-0500-000015000000}"/>
    <hyperlink ref="I15" r:id="rId23" display="https://fr.investing.com/stock-screener/?sp=country::22|sector::a|industry::184|equityType::a%3Ceq_market_cap;1" xr:uid="{00000000-0004-0000-0500-000016000000}"/>
    <hyperlink ref="J15" r:id="rId24" display="https://fr.investing.com/stock-screener/?sp=country::22|sector::26|industry::a|equityType::a%3Ceq_market_cap;1" xr:uid="{00000000-0004-0000-0500-000017000000}"/>
    <hyperlink ref="I16" r:id="rId25" display="https://fr.investing.com/stock-screener/?sp=country::22|sector::a|industry::200|equityType::a%3Ceq_market_cap;1" xr:uid="{00000000-0004-0000-0500-000018000000}"/>
    <hyperlink ref="J16" r:id="rId26" display="https://fr.investing.com/stock-screener/?sp=country::22|sector::28|industry::a|equityType::a%3Ceq_market_cap;1" xr:uid="{00000000-0004-0000-0500-000019000000}"/>
    <hyperlink ref="I17" r:id="rId27" display="https://fr.investing.com/stock-screener/?sp=country::22|sector::a|industry::186|equityType::a%3Ceq_market_cap;1" xr:uid="{00000000-0004-0000-0500-00001A000000}"/>
    <hyperlink ref="J17" r:id="rId28" display="https://fr.investing.com/stock-screener/?sp=country::22|sector::26|industry::a|equityType::a%3Ceq_market_cap;1" xr:uid="{00000000-0004-0000-0500-00001B000000}"/>
    <hyperlink ref="I18" r:id="rId29" display="https://fr.investing.com/stock-screener/?sp=country::22|sector::a|industry::181|equityType::a%3Ceq_market_cap;1" xr:uid="{00000000-0004-0000-0500-00001C000000}"/>
    <hyperlink ref="J18" r:id="rId30" display="https://fr.investing.com/stock-screener/?sp=country::22|sector::25|industry::a|equityType::a%3Ceq_market_cap;1" xr:uid="{00000000-0004-0000-0500-00001D000000}"/>
    <hyperlink ref="I19" r:id="rId31" display="https://fr.investing.com/stock-screener/?sp=country::22|sector::a|industry::227|equityType::a%3Ceq_market_cap;1" xr:uid="{00000000-0004-0000-0500-00001E000000}"/>
    <hyperlink ref="J19" r:id="rId32" display="https://fr.investing.com/stock-screener/?sp=country::22|sector::33|industry::a|equityType::a%3Ceq_market_cap;1" xr:uid="{00000000-0004-0000-0500-00001F000000}"/>
    <hyperlink ref="I20" r:id="rId33" display="https://fr.investing.com/stock-screener/?sp=country::22|sector::a|industry::205|equityType::a%3Ceq_market_cap;1" xr:uid="{00000000-0004-0000-0500-000020000000}"/>
    <hyperlink ref="J20" r:id="rId34" display="https://fr.investing.com/stock-screener/?sp=country::22|sector::29|industry::a|equityType::a%3Ceq_market_cap;1" xr:uid="{00000000-0004-0000-0500-000021000000}"/>
    <hyperlink ref="I21" r:id="rId35" display="https://fr.investing.com/stock-screener/?sp=country::22|sector::a|industry::206|equityType::a%3Ceq_market_cap;1" xr:uid="{00000000-0004-0000-0500-000022000000}"/>
    <hyperlink ref="J21" r:id="rId36" display="https://fr.investing.com/stock-screener/?sp=country::22|sector::29|industry::a|equityType::a%3Ceq_market_cap;1" xr:uid="{00000000-0004-0000-0500-000023000000}"/>
    <hyperlink ref="I22" r:id="rId37" display="https://fr.investing.com/stock-screener/?sp=country::22|sector::a|industry::226|equityType::a%3Ceq_market_cap;1" xr:uid="{00000000-0004-0000-0500-000024000000}"/>
    <hyperlink ref="J22" r:id="rId38" display="https://fr.investing.com/stock-screener/?sp=country::22|sector::33|industry::a|equityType::a%3Ceq_market_cap;1" xr:uid="{00000000-0004-0000-0500-000025000000}"/>
    <hyperlink ref="I23" r:id="rId39" display="https://fr.investing.com/stock-screener/?sp=country::22|sector::a|industry::186|equityType::a%3Ceq_market_cap;1" xr:uid="{00000000-0004-0000-0500-000026000000}"/>
    <hyperlink ref="J23" r:id="rId40" display="https://fr.investing.com/stock-screener/?sp=country::22|sector::26|industry::a|equityType::a%3Ceq_market_cap;1" xr:uid="{00000000-0004-0000-0500-000027000000}"/>
    <hyperlink ref="I24" r:id="rId41" display="https://fr.investing.com/stock-screener/?sp=country::22|sector::a|industry::203|equityType::a%3Ceq_market_cap;1" xr:uid="{00000000-0004-0000-0500-000028000000}"/>
    <hyperlink ref="J24" r:id="rId42" display="https://fr.investing.com/stock-screener/?sp=country::22|sector::28|industry::a|equityType::a%3Ceq_market_cap;1" xr:uid="{00000000-0004-0000-0500-000029000000}"/>
    <hyperlink ref="I25" r:id="rId43" display="https://fr.investing.com/stock-screener/?sp=country::22|sector::a|industry::183|equityType::a%3Ceq_market_cap;1" xr:uid="{00000000-0004-0000-0500-00002A000000}"/>
    <hyperlink ref="J25" r:id="rId44" display="https://fr.investing.com/stock-screener/?sp=country::22|sector::26|industry::a|equityType::a%3Ceq_market_cap;1" xr:uid="{00000000-0004-0000-0500-00002B000000}"/>
    <hyperlink ref="I26" r:id="rId45" display="https://fr.investing.com/stock-screener/?sp=country::22|sector::a|industry::204|equityType::a%3Ceq_market_cap;1" xr:uid="{00000000-0004-0000-0500-00002C000000}"/>
    <hyperlink ref="J26" r:id="rId46" display="https://fr.investing.com/stock-screener/?sp=country::22|sector::29|industry::a|equityType::a%3Ceq_market_cap;1" xr:uid="{00000000-0004-0000-0500-00002D000000}"/>
    <hyperlink ref="I27" r:id="rId47" display="https://fr.investing.com/stock-screener/?sp=country::22|sector::a|industry::190|equityType::a%3Ceq_market_cap;1" xr:uid="{00000000-0004-0000-0500-00002E000000}"/>
    <hyperlink ref="J27" r:id="rId48" display="https://fr.investing.com/stock-screener/?sp=country::22|sector::27|industry::a|equityType::a%3Ceq_market_cap;1" xr:uid="{00000000-0004-0000-0500-00002F000000}"/>
    <hyperlink ref="I28" r:id="rId49" display="https://fr.investing.com/stock-screener/?sp=country::22|sector::a|industry::198|equityType::a%3Ceq_market_cap;1" xr:uid="{00000000-0004-0000-0500-000030000000}"/>
    <hyperlink ref="J28" r:id="rId50" display="https://fr.investing.com/stock-screener/?sp=country::22|sector::27|industry::a|equityType::a%3Ceq_market_cap;1" xr:uid="{00000000-0004-0000-0500-000031000000}"/>
    <hyperlink ref="I29" r:id="rId51" display="https://fr.investing.com/stock-screener/?sp=country::22|sector::a|industry::187|equityType::a%3Ceq_market_cap;1" xr:uid="{00000000-0004-0000-0500-000032000000}"/>
    <hyperlink ref="J29" r:id="rId52" display="https://fr.investing.com/stock-screener/?sp=country::22|sector::26|industry::a|equityType::a%3Ceq_market_cap;1" xr:uid="{00000000-0004-0000-0500-000033000000}"/>
    <hyperlink ref="C11" r:id="rId53" xr:uid="{00000000-0004-0000-0500-000034000000}"/>
    <hyperlink ref="C2" r:id="rId54" xr:uid="{00000000-0004-0000-0500-000035000000}"/>
    <hyperlink ref="C7" r:id="rId55" xr:uid="{00000000-0004-0000-0500-000036000000}"/>
    <hyperlink ref="C29" r:id="rId56" xr:uid="{00000000-0004-0000-0500-000037000000}"/>
    <hyperlink ref="C28" r:id="rId57" xr:uid="{00000000-0004-0000-0500-000038000000}"/>
  </hyperlinks>
  <pageMargins left="0.7" right="0.7" top="0.75" bottom="0.75" header="0.3" footer="0.3"/>
  <pageSetup paperSize="9" orientation="portrait" r:id="rId58"/>
  <tableParts count="2">
    <tablePart r:id="rId59"/>
    <tablePart r:id="rId6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E50B1-4C5E-4F42-80E3-FF56E711DC6F}">
  <sheetPr codeName="Feuil5"/>
  <dimension ref="A1:F55"/>
  <sheetViews>
    <sheetView topLeftCell="A7" workbookViewId="0">
      <selection activeCell="K22" sqref="K22"/>
    </sheetView>
  </sheetViews>
  <sheetFormatPr baseColWidth="10" defaultRowHeight="14.4" x14ac:dyDescent="0.3"/>
  <sheetData>
    <row r="1" spans="1:6" ht="18" x14ac:dyDescent="0.35">
      <c r="A1" s="61" t="s">
        <v>172</v>
      </c>
    </row>
    <row r="2" spans="1:6" ht="21.6" customHeight="1" x14ac:dyDescent="0.3">
      <c r="A2" s="69" t="s">
        <v>173</v>
      </c>
      <c r="B2" s="69" t="s">
        <v>174</v>
      </c>
      <c r="C2" s="69" t="s">
        <v>175</v>
      </c>
      <c r="D2" s="69" t="s">
        <v>176</v>
      </c>
      <c r="E2" s="69" t="s">
        <v>174</v>
      </c>
      <c r="F2" s="69" t="s">
        <v>173</v>
      </c>
    </row>
    <row r="3" spans="1:6" x14ac:dyDescent="0.3">
      <c r="A3" s="69"/>
      <c r="B3" s="69"/>
      <c r="C3" s="69"/>
      <c r="D3" s="69"/>
      <c r="E3" s="69"/>
      <c r="F3" s="69"/>
    </row>
    <row r="4" spans="1:6" x14ac:dyDescent="0.3">
      <c r="A4" s="68">
        <v>3</v>
      </c>
      <c r="B4" s="68">
        <v>56</v>
      </c>
      <c r="C4" s="68" t="s">
        <v>255</v>
      </c>
      <c r="D4" s="68" t="s">
        <v>222</v>
      </c>
      <c r="E4" s="68">
        <v>20</v>
      </c>
      <c r="F4" s="68">
        <v>1</v>
      </c>
    </row>
    <row r="5" spans="1:6" x14ac:dyDescent="0.3">
      <c r="A5" s="68">
        <v>1</v>
      </c>
      <c r="B5" s="68">
        <v>100</v>
      </c>
      <c r="C5" s="68" t="s">
        <v>256</v>
      </c>
      <c r="D5" s="68" t="s">
        <v>220</v>
      </c>
      <c r="E5" s="68">
        <v>30</v>
      </c>
      <c r="F5" s="68">
        <v>1</v>
      </c>
    </row>
    <row r="6" spans="1:6" x14ac:dyDescent="0.3">
      <c r="A6" s="68">
        <v>1</v>
      </c>
      <c r="B6" s="68">
        <v>13</v>
      </c>
      <c r="C6" s="68" t="s">
        <v>257</v>
      </c>
      <c r="D6" s="68" t="s">
        <v>221</v>
      </c>
      <c r="E6" s="68">
        <v>165</v>
      </c>
      <c r="F6" s="68">
        <v>3</v>
      </c>
    </row>
    <row r="7" spans="1:6" x14ac:dyDescent="0.3">
      <c r="A7" s="68">
        <v>2</v>
      </c>
      <c r="B7" s="68">
        <v>5</v>
      </c>
      <c r="C7" s="68" t="s">
        <v>258</v>
      </c>
      <c r="D7" s="68" t="s">
        <v>223</v>
      </c>
      <c r="E7" s="68">
        <v>95</v>
      </c>
      <c r="F7" s="68">
        <v>2</v>
      </c>
    </row>
    <row r="8" spans="1:6" x14ac:dyDescent="0.3">
      <c r="A8" s="68">
        <v>1</v>
      </c>
      <c r="B8" s="68">
        <v>11</v>
      </c>
      <c r="C8" s="68" t="s">
        <v>259</v>
      </c>
      <c r="D8" s="68" t="s">
        <v>260</v>
      </c>
      <c r="E8" s="68">
        <v>2</v>
      </c>
      <c r="F8" s="68">
        <v>1</v>
      </c>
    </row>
    <row r="9" spans="1:6" x14ac:dyDescent="0.3">
      <c r="A9" s="68">
        <v>1</v>
      </c>
      <c r="B9" s="68">
        <v>1</v>
      </c>
      <c r="C9" s="68" t="s">
        <v>261</v>
      </c>
      <c r="D9" s="68" t="s">
        <v>262</v>
      </c>
      <c r="E9" s="68">
        <v>22</v>
      </c>
      <c r="F9" s="68">
        <v>2</v>
      </c>
    </row>
    <row r="10" spans="1:6" x14ac:dyDescent="0.3">
      <c r="A10" s="68">
        <v>1</v>
      </c>
      <c r="B10" s="68">
        <v>8</v>
      </c>
      <c r="C10" s="68" t="s">
        <v>263</v>
      </c>
      <c r="D10" s="68" t="s">
        <v>219</v>
      </c>
      <c r="E10" s="68">
        <v>259</v>
      </c>
      <c r="F10" s="68">
        <v>11</v>
      </c>
    </row>
    <row r="11" spans="1:6" x14ac:dyDescent="0.3">
      <c r="A11" s="68">
        <v>1</v>
      </c>
      <c r="B11" s="68">
        <v>54</v>
      </c>
      <c r="C11" s="68" t="s">
        <v>264</v>
      </c>
      <c r="D11" s="68" t="s">
        <v>265</v>
      </c>
      <c r="E11" s="68">
        <v>100</v>
      </c>
      <c r="F11" s="68">
        <v>1</v>
      </c>
    </row>
    <row r="12" spans="1:6" x14ac:dyDescent="0.3">
      <c r="A12" s="68">
        <v>6</v>
      </c>
      <c r="B12" s="68">
        <v>48</v>
      </c>
      <c r="C12" s="68" t="s">
        <v>266</v>
      </c>
      <c r="D12" s="68" t="s">
        <v>267</v>
      </c>
      <c r="E12" s="68">
        <v>118</v>
      </c>
      <c r="F12" s="68">
        <v>1</v>
      </c>
    </row>
    <row r="13" spans="1:6" x14ac:dyDescent="0.3">
      <c r="A13" s="68">
        <v>2</v>
      </c>
      <c r="B13" s="68">
        <v>16</v>
      </c>
      <c r="C13" s="68" t="s">
        <v>268</v>
      </c>
      <c r="D13" s="68" t="s">
        <v>269</v>
      </c>
      <c r="E13" s="68">
        <v>58</v>
      </c>
      <c r="F13" s="68">
        <v>2</v>
      </c>
    </row>
    <row r="14" spans="1:6" x14ac:dyDescent="0.3">
      <c r="A14" s="68">
        <v>19</v>
      </c>
      <c r="B14" s="68">
        <v>312</v>
      </c>
      <c r="C14" s="68" t="s">
        <v>177</v>
      </c>
      <c r="D14" s="68" t="s">
        <v>177</v>
      </c>
      <c r="E14" s="68">
        <v>869</v>
      </c>
      <c r="F14" s="68">
        <v>25</v>
      </c>
    </row>
    <row r="15" spans="1:6" ht="18" x14ac:dyDescent="0.35">
      <c r="A15" s="61" t="s">
        <v>178</v>
      </c>
    </row>
    <row r="16" spans="1:6" ht="41.4" x14ac:dyDescent="0.3">
      <c r="A16" s="64"/>
      <c r="B16" s="64" t="s">
        <v>179</v>
      </c>
      <c r="C16" s="64" t="s">
        <v>180</v>
      </c>
      <c r="D16" s="64" t="s">
        <v>181</v>
      </c>
      <c r="E16" s="64" t="s">
        <v>182</v>
      </c>
      <c r="F16" s="64" t="s">
        <v>270</v>
      </c>
    </row>
    <row r="17" spans="1:6" x14ac:dyDescent="0.3">
      <c r="A17" s="64" t="s">
        <v>183</v>
      </c>
      <c r="B17" s="68" t="s">
        <v>225</v>
      </c>
      <c r="C17" s="68" t="s">
        <v>224</v>
      </c>
      <c r="D17" s="68" t="s">
        <v>226</v>
      </c>
      <c r="E17" s="68" t="s">
        <v>226</v>
      </c>
      <c r="F17" s="68" t="s">
        <v>271</v>
      </c>
    </row>
    <row r="18" spans="1:6" x14ac:dyDescent="0.3">
      <c r="A18" s="64" t="s">
        <v>184</v>
      </c>
      <c r="B18" s="68" t="s">
        <v>227</v>
      </c>
      <c r="C18" s="68" t="s">
        <v>228</v>
      </c>
      <c r="D18" s="68" t="s">
        <v>229</v>
      </c>
      <c r="E18" s="68" t="s">
        <v>185</v>
      </c>
      <c r="F18" s="68" t="s">
        <v>272</v>
      </c>
    </row>
    <row r="19" spans="1:6" x14ac:dyDescent="0.3">
      <c r="A19" s="64" t="s">
        <v>186</v>
      </c>
      <c r="B19" s="68" t="s">
        <v>224</v>
      </c>
      <c r="C19" s="68" t="s">
        <v>230</v>
      </c>
      <c r="D19" s="68" t="s">
        <v>231</v>
      </c>
      <c r="E19" s="68" t="s">
        <v>231</v>
      </c>
      <c r="F19" s="68" t="s">
        <v>230</v>
      </c>
    </row>
    <row r="20" spans="1:6" x14ac:dyDescent="0.3">
      <c r="A20" s="64" t="s">
        <v>187</v>
      </c>
      <c r="B20" s="68" t="s">
        <v>231</v>
      </c>
      <c r="C20" s="68" t="s">
        <v>230</v>
      </c>
      <c r="D20" s="68" t="s">
        <v>233</v>
      </c>
      <c r="E20" s="68" t="s">
        <v>273</v>
      </c>
      <c r="F20" s="68" t="s">
        <v>230</v>
      </c>
    </row>
    <row r="21" spans="1:6" x14ac:dyDescent="0.3">
      <c r="A21" s="64" t="s">
        <v>188</v>
      </c>
      <c r="B21" s="68" t="s">
        <v>234</v>
      </c>
      <c r="C21" s="68" t="s">
        <v>235</v>
      </c>
      <c r="D21" s="68" t="s">
        <v>236</v>
      </c>
      <c r="E21" s="68" t="s">
        <v>225</v>
      </c>
      <c r="F21" s="68" t="s">
        <v>274</v>
      </c>
    </row>
    <row r="22" spans="1:6" x14ac:dyDescent="0.3">
      <c r="A22" s="64" t="s">
        <v>189</v>
      </c>
      <c r="B22" s="63">
        <v>122983</v>
      </c>
      <c r="C22" s="63">
        <v>202170</v>
      </c>
      <c r="D22" s="63">
        <v>294990</v>
      </c>
      <c r="E22" s="63">
        <v>97479</v>
      </c>
      <c r="F22" s="63">
        <v>172266</v>
      </c>
    </row>
    <row r="23" spans="1:6" ht="18" x14ac:dyDescent="0.35">
      <c r="A23" s="61" t="s">
        <v>275</v>
      </c>
    </row>
    <row r="24" spans="1:6" ht="21.6" customHeight="1" x14ac:dyDescent="0.3">
      <c r="A24" s="69"/>
      <c r="B24" s="69">
        <v>2023</v>
      </c>
      <c r="C24" s="69" t="s">
        <v>190</v>
      </c>
      <c r="D24" s="69" t="s">
        <v>191</v>
      </c>
    </row>
    <row r="25" spans="1:6" x14ac:dyDescent="0.3">
      <c r="A25" s="69"/>
      <c r="B25" s="69"/>
      <c r="C25" s="69"/>
      <c r="D25" s="69"/>
    </row>
    <row r="26" spans="1:6" x14ac:dyDescent="0.3">
      <c r="A26" s="68" t="s">
        <v>192</v>
      </c>
      <c r="B26" s="70" t="s">
        <v>237</v>
      </c>
      <c r="C26" s="70" t="s">
        <v>238</v>
      </c>
      <c r="D26" s="70" t="s">
        <v>239</v>
      </c>
    </row>
    <row r="27" spans="1:6" x14ac:dyDescent="0.3">
      <c r="A27" s="68" t="s">
        <v>193</v>
      </c>
      <c r="B27" s="70"/>
      <c r="C27" s="70"/>
      <c r="D27" s="70"/>
    </row>
    <row r="28" spans="1:6" x14ac:dyDescent="0.3">
      <c r="A28" s="68" t="s">
        <v>194</v>
      </c>
      <c r="B28" s="68" t="s">
        <v>328</v>
      </c>
      <c r="C28" s="68" t="s">
        <v>329</v>
      </c>
      <c r="D28" s="68" t="s">
        <v>330</v>
      </c>
    </row>
    <row r="29" spans="1:6" ht="27.6" x14ac:dyDescent="0.3">
      <c r="A29" s="68" t="s">
        <v>195</v>
      </c>
      <c r="B29" s="68" t="s">
        <v>240</v>
      </c>
      <c r="C29" s="68" t="s">
        <v>241</v>
      </c>
      <c r="D29" s="68" t="s">
        <v>242</v>
      </c>
    </row>
    <row r="30" spans="1:6" x14ac:dyDescent="0.3">
      <c r="A30" s="68" t="s">
        <v>196</v>
      </c>
      <c r="B30" s="68" t="s">
        <v>331</v>
      </c>
      <c r="C30" s="68" t="s">
        <v>332</v>
      </c>
      <c r="D30" s="68" t="s">
        <v>333</v>
      </c>
    </row>
    <row r="31" spans="1:6" ht="18" x14ac:dyDescent="0.35">
      <c r="A31" s="61" t="s">
        <v>197</v>
      </c>
    </row>
    <row r="32" spans="1:6" x14ac:dyDescent="0.3">
      <c r="A32" s="69" t="s">
        <v>198</v>
      </c>
      <c r="B32" s="69" t="s">
        <v>199</v>
      </c>
      <c r="C32" s="69" t="s">
        <v>200</v>
      </c>
    </row>
    <row r="33" spans="1:4" x14ac:dyDescent="0.3">
      <c r="A33" s="69"/>
      <c r="B33" s="69"/>
      <c r="C33" s="69"/>
    </row>
    <row r="34" spans="1:4" x14ac:dyDescent="0.3">
      <c r="A34" s="65">
        <v>0.73285879629629624</v>
      </c>
      <c r="B34" s="68" t="s">
        <v>276</v>
      </c>
      <c r="C34" s="68">
        <v>209</v>
      </c>
    </row>
    <row r="35" spans="1:4" x14ac:dyDescent="0.3">
      <c r="A35" s="65">
        <v>0.73285879629629624</v>
      </c>
      <c r="B35" s="68" t="s">
        <v>276</v>
      </c>
      <c r="C35" s="68">
        <v>209</v>
      </c>
    </row>
    <row r="36" spans="1:4" x14ac:dyDescent="0.3">
      <c r="A36" s="65">
        <v>0.73285879629629624</v>
      </c>
      <c r="B36" s="68" t="s">
        <v>276</v>
      </c>
      <c r="C36" s="68">
        <v>167</v>
      </c>
    </row>
    <row r="37" spans="1:4" x14ac:dyDescent="0.3">
      <c r="A37" s="65">
        <v>0.73285879629629624</v>
      </c>
      <c r="B37" s="68" t="s">
        <v>276</v>
      </c>
      <c r="C37" s="68">
        <v>157</v>
      </c>
    </row>
    <row r="38" spans="1:4" x14ac:dyDescent="0.3">
      <c r="A38" s="65">
        <v>0.73285879629629624</v>
      </c>
      <c r="B38" s="68" t="s">
        <v>276</v>
      </c>
      <c r="C38" s="68">
        <v>159</v>
      </c>
    </row>
    <row r="39" spans="1:4" ht="18" x14ac:dyDescent="0.35">
      <c r="A39" s="61" t="s">
        <v>201</v>
      </c>
    </row>
    <row r="40" spans="1:4" x14ac:dyDescent="0.3">
      <c r="A40" s="69" t="s">
        <v>202</v>
      </c>
      <c r="B40" s="69" t="s">
        <v>203</v>
      </c>
      <c r="C40" s="69" t="s">
        <v>204</v>
      </c>
      <c r="D40" s="69" t="s">
        <v>205</v>
      </c>
    </row>
    <row r="41" spans="1:4" x14ac:dyDescent="0.3">
      <c r="A41" s="69"/>
      <c r="B41" s="69"/>
      <c r="C41" s="69"/>
      <c r="D41" s="69"/>
    </row>
    <row r="42" spans="1:4" ht="15" x14ac:dyDescent="0.3">
      <c r="A42" s="64" t="s">
        <v>206</v>
      </c>
      <c r="B42" s="68" t="s">
        <v>334</v>
      </c>
      <c r="C42" s="68" t="s">
        <v>232</v>
      </c>
      <c r="D42" s="68" t="s">
        <v>243</v>
      </c>
    </row>
    <row r="43" spans="1:4" x14ac:dyDescent="0.3">
      <c r="A43" s="64" t="s">
        <v>207</v>
      </c>
      <c r="B43" s="68" t="s">
        <v>335</v>
      </c>
      <c r="C43" s="68" t="s">
        <v>232</v>
      </c>
      <c r="D43" s="68" t="s">
        <v>274</v>
      </c>
    </row>
    <row r="44" spans="1:4" x14ac:dyDescent="0.3">
      <c r="A44" s="64" t="s">
        <v>208</v>
      </c>
      <c r="B44" s="68" t="s">
        <v>336</v>
      </c>
      <c r="C44" s="68" t="s">
        <v>232</v>
      </c>
      <c r="D44" s="68" t="s">
        <v>244</v>
      </c>
    </row>
    <row r="45" spans="1:4" x14ac:dyDescent="0.3">
      <c r="A45" s="64" t="s">
        <v>209</v>
      </c>
      <c r="B45" s="68" t="s">
        <v>337</v>
      </c>
      <c r="C45" s="68" t="s">
        <v>232</v>
      </c>
      <c r="D45" s="68" t="s">
        <v>245</v>
      </c>
    </row>
    <row r="46" spans="1:4" x14ac:dyDescent="0.3">
      <c r="A46" s="64" t="s">
        <v>210</v>
      </c>
      <c r="B46" s="68" t="s">
        <v>338</v>
      </c>
      <c r="C46" s="68" t="s">
        <v>232</v>
      </c>
      <c r="D46" s="68" t="s">
        <v>246</v>
      </c>
    </row>
    <row r="47" spans="1:4" x14ac:dyDescent="0.3">
      <c r="A47" s="64" t="s">
        <v>211</v>
      </c>
      <c r="B47" s="68" t="s">
        <v>339</v>
      </c>
      <c r="C47" s="68" t="s">
        <v>232</v>
      </c>
      <c r="D47" s="68" t="s">
        <v>247</v>
      </c>
    </row>
    <row r="48" spans="1:4" x14ac:dyDescent="0.3">
      <c r="A48" s="64" t="s">
        <v>212</v>
      </c>
      <c r="B48" s="68" t="s">
        <v>340</v>
      </c>
      <c r="C48" s="68" t="s">
        <v>248</v>
      </c>
      <c r="D48" s="68" t="s">
        <v>249</v>
      </c>
    </row>
    <row r="49" spans="1:4" x14ac:dyDescent="0.3">
      <c r="A49" s="64" t="s">
        <v>213</v>
      </c>
      <c r="B49" s="68" t="s">
        <v>341</v>
      </c>
      <c r="C49" s="68" t="s">
        <v>250</v>
      </c>
      <c r="D49" s="68" t="s">
        <v>251</v>
      </c>
    </row>
    <row r="50" spans="1:4" x14ac:dyDescent="0.3">
      <c r="A50" s="64" t="s">
        <v>214</v>
      </c>
      <c r="B50" s="68" t="s">
        <v>342</v>
      </c>
      <c r="C50" s="68" t="s">
        <v>250</v>
      </c>
      <c r="D50" s="68" t="s">
        <v>252</v>
      </c>
    </row>
    <row r="51" spans="1:4" x14ac:dyDescent="0.3">
      <c r="A51" s="68" t="s">
        <v>215</v>
      </c>
      <c r="B51" s="62"/>
      <c r="C51" s="62"/>
      <c r="D51" s="68" t="s">
        <v>343</v>
      </c>
    </row>
    <row r="52" spans="1:4" x14ac:dyDescent="0.3">
      <c r="A52" s="68" t="s">
        <v>216</v>
      </c>
      <c r="B52" s="62"/>
      <c r="C52" s="62"/>
      <c r="D52" s="68" t="s">
        <v>277</v>
      </c>
    </row>
    <row r="53" spans="1:4" x14ac:dyDescent="0.3">
      <c r="A53" s="68" t="s">
        <v>217</v>
      </c>
      <c r="B53" s="62"/>
      <c r="C53" s="62"/>
      <c r="D53" s="68" t="s">
        <v>278</v>
      </c>
    </row>
    <row r="54" spans="1:4" x14ac:dyDescent="0.3">
      <c r="A54" s="68" t="s">
        <v>218</v>
      </c>
      <c r="B54" s="62"/>
      <c r="C54" s="62"/>
      <c r="D54" s="68" t="s">
        <v>253</v>
      </c>
    </row>
    <row r="55" spans="1:4" ht="18" x14ac:dyDescent="0.35">
      <c r="A55" s="61" t="s">
        <v>254</v>
      </c>
    </row>
  </sheetData>
  <mergeCells count="20">
    <mergeCell ref="D40:D41"/>
    <mergeCell ref="A32:A33"/>
    <mergeCell ref="B32:B33"/>
    <mergeCell ref="C32:C33"/>
    <mergeCell ref="A40:A41"/>
    <mergeCell ref="B40:B41"/>
    <mergeCell ref="C40:C41"/>
    <mergeCell ref="A24:A25"/>
    <mergeCell ref="B24:B25"/>
    <mergeCell ref="C24:C25"/>
    <mergeCell ref="D24:D25"/>
    <mergeCell ref="B26:B27"/>
    <mergeCell ref="C26:C27"/>
    <mergeCell ref="D26:D27"/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� 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�  �  
</file>

<file path=customXml/item11.xml>�� 
</file>

<file path=customXml/item12.xml>�� 
</file>

<file path=customXml/item13.xml>�� 
</file>

<file path=customXml/item14.xml>�� 
</file>

<file path=customXml/item15.xml>�� �  �  �  �  �  �  �  �  �  �  �  �  �  �  �  �  �  �  �  � 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E3BB9832-22DC-41E9-85F1-EAFACFE7CFB5}">
  <ds:schemaRefs/>
</ds:datastoreItem>
</file>

<file path=customXml/itemProps2.xml><?xml version="1.0" encoding="utf-8"?>
<ds:datastoreItem xmlns:ds="http://schemas.openxmlformats.org/officeDocument/2006/customXml" ds:itemID="{C9029582-1F34-4263-A051-7CEC84CCB895}">
  <ds:schemaRefs/>
</ds:datastoreItem>
</file>

<file path=customXml/itemProps3.xml><?xml version="1.0" encoding="utf-8"?>
<ds:datastoreItem xmlns:ds="http://schemas.openxmlformats.org/officeDocument/2006/customXml" ds:itemID="{6FE26A1A-18AD-4651-B176-A4606748BA1E}">
  <ds:schemaRefs/>
</ds:datastoreItem>
</file>

<file path=customXml/itemProps4.xml><?xml version="1.0" encoding="utf-8"?>
<ds:datastoreItem xmlns:ds="http://schemas.openxmlformats.org/officeDocument/2006/customXml" ds:itemID="{A13A552D-9F91-4EBD-AAE3-6772B136561D}">
  <ds:schemaRefs/>
</ds:datastoreItem>
</file>

<file path=customXml/itemProps5.xml><?xml version="1.0" encoding="utf-8"?>
<ds:datastoreItem xmlns:ds="http://schemas.openxmlformats.org/officeDocument/2006/customXml" ds:itemID="{146A2769-F9AB-4241-AA2C-61C7059CEAEF}">
  <ds:schemaRefs/>
</ds:datastoreItem>
</file>

<file path=customXml/itemProps6.xml><?xml version="1.0" encoding="utf-8"?>
<ds:datastoreItem xmlns:ds="http://schemas.openxmlformats.org/officeDocument/2006/customXml" ds:itemID="{CA749A39-453E-4B8E-A997-82D7FEA83479}">
  <ds:schemaRefs/>
</ds:datastoreItem>
</file>

<file path=customXml/itemProps7.xml><?xml version="1.0" encoding="utf-8"?>
<ds:datastoreItem xmlns:ds="http://schemas.openxmlformats.org/officeDocument/2006/customXml" ds:itemID="{FC664792-235D-47E7-A376-3D05D8223FB3}">
  <ds:schemaRefs/>
</ds:datastoreItem>
</file>

<file path=customXml/itemProps8.xml><?xml version="1.0" encoding="utf-8"?>
<ds:datastoreItem xmlns:ds="http://schemas.openxmlformats.org/officeDocument/2006/customXml" ds:itemID="{847D2334-4DF1-437B-A8EC-B8A2DA4AF31C}">
  <ds:schemaRefs/>
</ds:datastoreItem>
</file>

<file path=customXml/itemProps9.xml><?xml version="1.0" encoding="utf-8"?>
<ds:datastoreItem xmlns:ds="http://schemas.openxmlformats.org/officeDocument/2006/customXml" ds:itemID="{CABDDADE-0AF8-42D8-A06D-578A7D9DCAE2}">
  <ds:schemaRefs/>
</ds:datastoreItem>
</file>

<file path=customXml/itemProps10.xml><?xml version="1.0" encoding="utf-8"?>
<ds:datastoreItem xmlns:ds="http://schemas.openxmlformats.org/officeDocument/2006/customXml" ds:itemID="{365419CB-A0CB-4B92-9BF8-30FB1A32EEA7}">
  <ds:schemaRefs/>
</ds:datastoreItem>
</file>

<file path=customXml/itemProps11.xml><?xml version="1.0" encoding="utf-8"?>
<ds:datastoreItem xmlns:ds="http://schemas.openxmlformats.org/officeDocument/2006/customXml" ds:itemID="{D957B82E-D5CE-485E-9A1A-897DF2D802BF}">
  <ds:schemaRefs/>
</ds:datastoreItem>
</file>

<file path=customXml/itemProps12.xml><?xml version="1.0" encoding="utf-8"?>
<ds:datastoreItem xmlns:ds="http://schemas.openxmlformats.org/officeDocument/2006/customXml" ds:itemID="{3158AC1B-1683-4264-B340-712A0CA0A91D}">
  <ds:schemaRefs/>
</ds:datastoreItem>
</file>

<file path=customXml/itemProps13.xml><?xml version="1.0" encoding="utf-8"?>
<ds:datastoreItem xmlns:ds="http://schemas.openxmlformats.org/officeDocument/2006/customXml" ds:itemID="{41EF46F9-7662-41E3-9FBC-5B3F78FC8C9C}">
  <ds:schemaRefs/>
</ds:datastoreItem>
</file>

<file path=customXml/itemProps14.xml><?xml version="1.0" encoding="utf-8"?>
<ds:datastoreItem xmlns:ds="http://schemas.openxmlformats.org/officeDocument/2006/customXml" ds:itemID="{1D0BAE7D-41D4-4A90-A060-AC393FB4D124}">
  <ds:schemaRefs/>
</ds:datastoreItem>
</file>

<file path=customXml/itemProps15.xml><?xml version="1.0" encoding="utf-8"?>
<ds:datastoreItem xmlns:ds="http://schemas.openxmlformats.org/officeDocument/2006/customXml" ds:itemID="{5FD07FF9-64F3-4D7D-8AED-5CC42CDEA842}">
  <ds:schemaRefs/>
</ds:datastoreItem>
</file>

<file path=customXml/itemProps16.xml><?xml version="1.0" encoding="utf-8"?>
<ds:datastoreItem xmlns:ds="http://schemas.openxmlformats.org/officeDocument/2006/customXml" ds:itemID="{038D3EEA-0D73-4421-B797-E059AA871957}">
  <ds:schemaRefs/>
</ds:datastoreItem>
</file>

<file path=customXml/itemProps17.xml><?xml version="1.0" encoding="utf-8"?>
<ds:datastoreItem xmlns:ds="http://schemas.openxmlformats.org/officeDocument/2006/customXml" ds:itemID="{BE8D503A-BFA3-4EC2-B801-A137455A93F4}">
  <ds:schemaRefs/>
</ds:datastoreItem>
</file>

<file path=customXml/itemProps18.xml><?xml version="1.0" encoding="utf-8"?>
<ds:datastoreItem xmlns:ds="http://schemas.openxmlformats.org/officeDocument/2006/customXml" ds:itemID="{8562B3C4-92F5-4857-8158-732432E1D9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COTATIONS</vt:lpstr>
      <vt:lpstr>HTMLSOURCE</vt:lpstr>
      <vt:lpstr>bpa2k23</vt:lpstr>
      <vt:lpstr>bpa2k24</vt:lpstr>
      <vt:lpstr>bpa2k25</vt:lpstr>
      <vt:lpstr>Cotation</vt:lpstr>
      <vt:lpstr>div2k23</vt:lpstr>
      <vt:lpstr>div2k24</vt:lpstr>
      <vt:lpstr>div2k25</vt:lpstr>
      <vt:lpstr>per2k23</vt:lpstr>
      <vt:lpstr>per2k24</vt:lpstr>
      <vt:lpstr>per2k25</vt:lpstr>
      <vt:lpstr>REF</vt:lpstr>
      <vt:lpstr>rend2k23</vt:lpstr>
      <vt:lpstr>rend2k24</vt:lpstr>
      <vt:lpstr>rend2k25</vt:lpstr>
      <vt:lpstr>valorisation</vt:lpstr>
      <vt:lpstr>valorisationEUR</vt:lpstr>
      <vt:lpstr>WWW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TAILLEZ Frédéric</cp:lastModifiedBy>
  <cp:lastPrinted>2021-11-30T14:55:30Z</cp:lastPrinted>
  <dcterms:created xsi:type="dcterms:W3CDTF">2006-09-16T00:00:00Z</dcterms:created>
  <dcterms:modified xsi:type="dcterms:W3CDTF">2024-09-29T14:58:55Z</dcterms:modified>
</cp:coreProperties>
</file>