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60" windowHeight="6990" activeTab="1"/>
  </bookViews>
  <sheets>
    <sheet name="." sheetId="5" r:id="rId1"/>
    <sheet name="Base" sheetId="2" r:id="rId2"/>
    <sheet name=" perte par" sheetId="1" r:id="rId3"/>
    <sheet name="perte total" sheetId="9" r:id="rId4"/>
    <sheet name="Autorisation" sheetId="3" r:id="rId5"/>
    <sheet name="Reseaux" sheetId="6" r:id="rId6"/>
    <sheet name="Récap" sheetId="8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Base!$M$14:$M$21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' perte par'!$B$1:$G$53</definedName>
  </definedNames>
  <calcPr calcId="162913"/>
</workbook>
</file>

<file path=xl/calcChain.xml><?xml version="1.0" encoding="utf-8"?>
<calcChain xmlns="http://schemas.openxmlformats.org/spreadsheetml/2006/main">
  <c r="E22" i="9" l="1"/>
  <c r="B14" i="9"/>
  <c r="F13" i="9"/>
  <c r="G1" i="9"/>
  <c r="F11" i="2" l="1"/>
  <c r="L9" i="2"/>
  <c r="F14" i="2" l="1"/>
  <c r="G10" i="2" l="1"/>
  <c r="G9" i="2"/>
  <c r="G40" i="2"/>
  <c r="F42" i="2"/>
  <c r="F48" i="2" s="1"/>
  <c r="G41" i="2"/>
  <c r="O46" i="2"/>
  <c r="O45" i="2"/>
  <c r="O44" i="2"/>
  <c r="O43" i="2"/>
  <c r="O42" i="2"/>
  <c r="E38" i="2"/>
  <c r="G39" i="2"/>
  <c r="G38" i="2"/>
  <c r="G42" i="2" s="1"/>
  <c r="I47" i="2"/>
  <c r="H47" i="2"/>
  <c r="D47" i="2"/>
  <c r="G46" i="2"/>
  <c r="E45" i="2"/>
  <c r="F44" i="2" s="1"/>
  <c r="G44" i="2" s="1"/>
  <c r="G43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G1" i="1"/>
  <c r="D25" i="2"/>
  <c r="I24" i="2"/>
  <c r="H24" i="2"/>
  <c r="G23" i="2"/>
  <c r="E21" i="2"/>
  <c r="F20" i="2" s="1"/>
  <c r="G20" i="2" s="1"/>
  <c r="G19" i="2"/>
  <c r="G17" i="2"/>
  <c r="G16" i="2"/>
  <c r="E16" i="2"/>
  <c r="G14" i="2"/>
  <c r="G12" i="2"/>
  <c r="G11" i="2"/>
  <c r="G8" i="2"/>
  <c r="B5" i="5"/>
  <c r="G48" i="2" l="1"/>
  <c r="F18" i="2"/>
  <c r="S24" i="2" s="1"/>
  <c r="P48" i="2"/>
  <c r="O48" i="2"/>
  <c r="P47" i="2"/>
  <c r="S46" i="2"/>
  <c r="P43" i="2"/>
  <c r="P44" i="2"/>
  <c r="P45" i="2"/>
  <c r="P46" i="2"/>
  <c r="O47" i="2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F5" i="5" l="1"/>
  <c r="G5" i="5" s="1"/>
  <c r="O23" i="2"/>
  <c r="O24" i="2"/>
  <c r="O21" i="2"/>
  <c r="F45" i="2" s="1"/>
  <c r="O22" i="2"/>
  <c r="O25" i="2"/>
  <c r="F26" i="2"/>
  <c r="O29" i="2" s="1"/>
  <c r="P23" i="2"/>
  <c r="G26" i="2"/>
  <c r="P29" i="2" s="1"/>
  <c r="P25" i="2"/>
  <c r="P24" i="2"/>
  <c r="P22" i="2"/>
  <c r="P5" i="5"/>
  <c r="AG5" i="5"/>
  <c r="AQ5" i="5"/>
  <c r="AB5" i="5"/>
  <c r="M5" i="5"/>
  <c r="S5" i="5"/>
  <c r="K5" i="5" s="1"/>
  <c r="D16" i="8"/>
  <c r="E32" i="8"/>
  <c r="B17" i="8"/>
  <c r="I21" i="8"/>
  <c r="H21" i="8"/>
  <c r="I36" i="8"/>
  <c r="I12" i="8"/>
  <c r="F6" i="8"/>
  <c r="G34" i="8"/>
  <c r="E26" i="8"/>
  <c r="F17" i="8"/>
  <c r="E8" i="8"/>
  <c r="E30" i="8"/>
  <c r="F16" i="8"/>
  <c r="G25" i="8"/>
  <c r="C35" i="8"/>
  <c r="E22" i="8"/>
  <c r="B16" i="8"/>
  <c r="H22" i="8"/>
  <c r="E15" i="8"/>
  <c r="G8" i="8"/>
  <c r="C30" i="8"/>
  <c r="C9" i="8"/>
  <c r="I18" i="8"/>
  <c r="E19" i="8"/>
  <c r="I20" i="8"/>
  <c r="D27" i="8"/>
  <c r="H35" i="8"/>
  <c r="D19" i="8"/>
  <c r="D18" i="8"/>
  <c r="H19" i="8"/>
  <c r="D14" i="8"/>
  <c r="E29" i="8"/>
  <c r="B30" i="8"/>
  <c r="B34" i="8"/>
  <c r="E20" i="8"/>
  <c r="B32" i="8"/>
  <c r="B4" i="8"/>
  <c r="C13" i="8"/>
  <c r="C2" i="8"/>
  <c r="H17" i="8"/>
  <c r="F26" i="8"/>
  <c r="H10" i="8"/>
  <c r="F23" i="8"/>
  <c r="I27" i="8"/>
  <c r="E36" i="8"/>
  <c r="B28" i="8"/>
  <c r="I19" i="8"/>
  <c r="E11" i="8"/>
  <c r="G20" i="8"/>
  <c r="I23" i="8"/>
  <c r="F21" i="8"/>
  <c r="C33" i="8"/>
  <c r="E6" i="8"/>
  <c r="F8" i="8"/>
  <c r="E25" i="8"/>
  <c r="C6" i="8"/>
  <c r="I34" i="8"/>
  <c r="G37" i="8"/>
  <c r="I9" i="8"/>
  <c r="B14" i="8"/>
  <c r="G2" i="8"/>
  <c r="F33" i="8"/>
  <c r="H15" i="8"/>
  <c r="G21" i="8"/>
  <c r="G29" i="8"/>
  <c r="B11" i="8"/>
  <c r="D34" i="8"/>
  <c r="E27" i="8"/>
  <c r="C31" i="8"/>
  <c r="H37" i="8"/>
  <c r="F37" i="8"/>
  <c r="B3" i="8"/>
  <c r="D29" i="8"/>
  <c r="C11" i="8"/>
  <c r="I3" i="8"/>
  <c r="G35" i="8"/>
  <c r="F7" i="8"/>
  <c r="D22" i="8"/>
  <c r="E5" i="8"/>
  <c r="B18" i="8"/>
  <c r="B23" i="8"/>
  <c r="C20" i="8"/>
  <c r="B27" i="8"/>
  <c r="H33" i="8"/>
  <c r="B26" i="8"/>
  <c r="D15" i="8"/>
  <c r="E28" i="8"/>
  <c r="H20" i="8"/>
  <c r="F4" i="8"/>
  <c r="I35" i="8"/>
  <c r="B25" i="8"/>
  <c r="D7" i="8"/>
  <c r="F28" i="8"/>
  <c r="B19" i="8"/>
  <c r="H27" i="8"/>
  <c r="H25" i="8"/>
  <c r="F5" i="8"/>
  <c r="H11" i="8"/>
  <c r="D28" i="8"/>
  <c r="C25" i="8"/>
  <c r="E21" i="8"/>
  <c r="D9" i="8"/>
  <c r="B2" i="8"/>
  <c r="E31" i="8"/>
  <c r="D37" i="8"/>
  <c r="C8" i="8"/>
  <c r="H16" i="8"/>
  <c r="G14" i="8"/>
  <c r="H4" i="8"/>
  <c r="C10" i="8"/>
  <c r="C3" i="8"/>
  <c r="H5" i="8"/>
  <c r="C23" i="8"/>
  <c r="E23" i="8"/>
  <c r="D11" i="8"/>
  <c r="H8" i="8"/>
  <c r="G16" i="8"/>
  <c r="H29" i="8"/>
  <c r="C28" i="8"/>
  <c r="D4" i="8"/>
  <c r="G15" i="8"/>
  <c r="E12" i="8"/>
  <c r="D3" i="8"/>
  <c r="H28" i="8"/>
  <c r="C5" i="8"/>
  <c r="D35" i="8"/>
  <c r="F32" i="8"/>
  <c r="G6" i="8"/>
  <c r="G26" i="8"/>
  <c r="H6" i="8"/>
  <c r="F29" i="8"/>
  <c r="F11" i="8"/>
  <c r="B29" i="8"/>
  <c r="B35" i="8"/>
  <c r="G17" i="8"/>
  <c r="I17" i="8"/>
  <c r="H26" i="8"/>
  <c r="F30" i="8"/>
  <c r="G28" i="8"/>
  <c r="B24" i="8"/>
  <c r="F34" i="8"/>
  <c r="I30" i="8"/>
  <c r="F27" i="8"/>
  <c r="C24" i="8"/>
  <c r="D21" i="8"/>
  <c r="E17" i="8"/>
  <c r="E35" i="8"/>
  <c r="C14" i="8"/>
  <c r="I5" i="8"/>
  <c r="I6" i="8"/>
  <c r="F20" i="8"/>
  <c r="H32" i="8"/>
  <c r="E14" i="8"/>
  <c r="H24" i="8"/>
  <c r="C29" i="8"/>
  <c r="B6" i="8"/>
  <c r="F22" i="8"/>
  <c r="I7" i="8"/>
  <c r="F9" i="8"/>
  <c r="F19" i="8"/>
  <c r="D24" i="8"/>
  <c r="H30" i="8"/>
  <c r="C32" i="8"/>
  <c r="D25" i="8"/>
  <c r="C12" i="8"/>
  <c r="C37" i="8"/>
  <c r="H18" i="8"/>
  <c r="G18" i="8"/>
  <c r="B20" i="8"/>
  <c r="E2" i="8"/>
  <c r="F24" i="8"/>
  <c r="F25" i="8"/>
  <c r="I15" i="8"/>
  <c r="F36" i="8"/>
  <c r="D5" i="8"/>
  <c r="I37" i="8"/>
  <c r="B21" i="8"/>
  <c r="D30" i="8"/>
  <c r="B33" i="8"/>
  <c r="F31" i="8"/>
  <c r="B37" i="8"/>
  <c r="E34" i="8"/>
  <c r="G33" i="8"/>
  <c r="G7" i="8"/>
  <c r="I29" i="8"/>
  <c r="C4" i="8"/>
  <c r="E13" i="8"/>
  <c r="D2" i="8"/>
  <c r="G19" i="8"/>
  <c r="B13" i="8"/>
  <c r="G30" i="8"/>
  <c r="H9" i="8"/>
  <c r="I11" i="8"/>
  <c r="H13" i="8"/>
  <c r="F14" i="8"/>
  <c r="G31" i="8"/>
  <c r="I8" i="8"/>
  <c r="G9" i="8"/>
  <c r="C7" i="8"/>
  <c r="B7" i="8"/>
  <c r="F13" i="8"/>
  <c r="C22" i="8"/>
  <c r="E3" i="8"/>
  <c r="I2" i="8"/>
  <c r="H36" i="8"/>
  <c r="C26" i="8"/>
  <c r="C17" i="8"/>
  <c r="G11" i="8"/>
  <c r="G13" i="8"/>
  <c r="I24" i="8"/>
  <c r="B5" i="8"/>
  <c r="D10" i="8"/>
  <c r="I16" i="8"/>
  <c r="E7" i="8"/>
  <c r="H23" i="8"/>
  <c r="E10" i="8"/>
  <c r="G5" i="8"/>
  <c r="G24" i="8"/>
  <c r="I25" i="8"/>
  <c r="B9" i="8"/>
  <c r="D17" i="8"/>
  <c r="D33" i="8"/>
  <c r="C34" i="8"/>
  <c r="E4" i="8"/>
  <c r="C27" i="8"/>
  <c r="G12" i="8"/>
  <c r="E16" i="8"/>
  <c r="G27" i="8"/>
  <c r="B8" i="8"/>
  <c r="D36" i="8"/>
  <c r="C16" i="8"/>
  <c r="D6" i="8"/>
  <c r="B31" i="8"/>
  <c r="G32" i="8"/>
  <c r="F15" i="8"/>
  <c r="B12" i="8"/>
  <c r="I32" i="8"/>
  <c r="F35" i="8"/>
  <c r="D23" i="8"/>
  <c r="D20" i="8"/>
  <c r="H12" i="8"/>
  <c r="B36" i="8"/>
  <c r="C36" i="8"/>
  <c r="I31" i="8"/>
  <c r="H14" i="8"/>
  <c r="C18" i="8"/>
  <c r="F3" i="8"/>
  <c r="G4" i="8"/>
  <c r="B15" i="8"/>
  <c r="H2" i="8"/>
  <c r="B22" i="8"/>
  <c r="F2" i="8"/>
  <c r="G23" i="8"/>
  <c r="H7" i="8"/>
  <c r="I28" i="8"/>
  <c r="D26" i="8"/>
  <c r="C15" i="8"/>
  <c r="F18" i="8"/>
  <c r="F10" i="8"/>
  <c r="D13" i="8"/>
  <c r="D8" i="8"/>
  <c r="C19" i="8"/>
  <c r="E9" i="8"/>
  <c r="G10" i="8"/>
  <c r="G3" i="8"/>
  <c r="D31" i="8"/>
  <c r="H31" i="8"/>
  <c r="E18" i="8"/>
  <c r="I14" i="8"/>
  <c r="D32" i="8"/>
  <c r="I10" i="8"/>
  <c r="F12" i="8"/>
  <c r="E33" i="8"/>
  <c r="H34" i="8"/>
  <c r="I4" i="8"/>
  <c r="E24" i="8"/>
  <c r="G22" i="8"/>
  <c r="I33" i="8"/>
  <c r="B10" i="8"/>
  <c r="I26" i="8"/>
  <c r="C21" i="8"/>
  <c r="H3" i="8"/>
  <c r="I22" i="8"/>
  <c r="E37" i="8"/>
  <c r="I13" i="8"/>
  <c r="G36" i="8"/>
  <c r="D12" i="8"/>
  <c r="AP5" i="5" l="1"/>
  <c r="AM5" i="5"/>
  <c r="V5" i="5"/>
  <c r="W5" i="5" s="1"/>
  <c r="L5" i="5"/>
  <c r="F21" i="2"/>
  <c r="O27" i="2" s="1"/>
  <c r="BJ5" i="5"/>
  <c r="BB5" i="5" s="1"/>
  <c r="AK5" i="5" s="1"/>
  <c r="AZ5" i="5"/>
  <c r="X5" i="5"/>
  <c r="Y5" i="5"/>
  <c r="AU5" i="5"/>
  <c r="AD5" i="5"/>
  <c r="AC5" i="5"/>
  <c r="N5" i="5"/>
  <c r="AY5" i="5"/>
  <c r="AI5" i="5"/>
  <c r="AH5" i="5"/>
  <c r="CS5" i="5"/>
  <c r="CO5" i="5"/>
  <c r="CK5" i="5" s="1"/>
  <c r="CG5" i="5" s="1"/>
  <c r="CA5" i="5" s="1"/>
  <c r="BS5" i="5" s="1"/>
  <c r="BK5" i="5" s="1"/>
  <c r="BC5" i="5" s="1"/>
  <c r="CB5" i="5"/>
  <c r="BT5" i="5"/>
  <c r="BL5" i="5" s="1"/>
  <c r="BD5" i="5" s="1"/>
  <c r="AO5" i="5" s="1"/>
  <c r="AN5" i="5"/>
  <c r="T5" i="5"/>
  <c r="H5" i="5"/>
  <c r="Q5" i="5"/>
  <c r="R5" i="5" s="1"/>
  <c r="J5" i="5"/>
  <c r="O26" i="2" l="1"/>
  <c r="F24" i="2"/>
  <c r="F47" i="2"/>
  <c r="CQ5" i="5"/>
  <c r="CM5" i="5" s="1"/>
  <c r="CI5" i="5" s="1"/>
  <c r="CD5" i="5" s="1"/>
  <c r="BW5" i="5" s="1"/>
  <c r="BO5" i="5" s="1"/>
  <c r="CE5" i="5"/>
  <c r="BX5" i="5" s="1"/>
  <c r="BP5" i="5" s="1"/>
  <c r="AR5" i="5"/>
  <c r="CP5" i="5"/>
  <c r="CL5" i="5" s="1"/>
  <c r="Z5" i="5" s="1"/>
  <c r="BG5" i="5"/>
  <c r="AW5" i="5" s="1"/>
  <c r="AE5" i="5" s="1"/>
  <c r="BH5" i="5"/>
  <c r="AX5" i="5"/>
  <c r="AF5" i="5" s="1"/>
  <c r="AV5" i="5"/>
  <c r="CR5" i="5"/>
  <c r="CN5" i="5"/>
  <c r="CJ5" i="5" s="1"/>
  <c r="CF5" i="5" s="1"/>
  <c r="BY5" i="5" s="1"/>
  <c r="BQ5" i="5" s="1"/>
  <c r="BI5" i="5" s="1"/>
  <c r="BA5" i="5" s="1"/>
  <c r="BR5" i="5"/>
  <c r="U5" i="5"/>
  <c r="BZ5" i="5" s="1"/>
  <c r="O5" i="5"/>
  <c r="BN5" i="5" s="1"/>
  <c r="BF5" i="5" s="1"/>
  <c r="AT5" i="5" s="1"/>
  <c r="AA5" i="5" s="1"/>
  <c r="O49" i="2" l="1"/>
  <c r="AJ5" i="5"/>
  <c r="CU5" i="5" s="1"/>
  <c r="C5" i="5" s="1"/>
  <c r="B14" i="1" s="1"/>
  <c r="BV5" i="5"/>
  <c r="CH5" i="5"/>
  <c r="CC5" i="5" s="1"/>
  <c r="BU5" i="5" s="1"/>
  <c r="BM5" i="5" s="1"/>
  <c r="BE5" i="5" s="1"/>
  <c r="AS5" i="5" s="1"/>
  <c r="F25" i="2" l="1"/>
  <c r="O28" i="2" s="1"/>
  <c r="G24" i="2" l="1"/>
  <c r="P21" i="2" s="1"/>
  <c r="G47" i="2"/>
  <c r="P49" i="2" s="1"/>
  <c r="G21" i="2" l="1"/>
  <c r="G45" i="2"/>
  <c r="P42" i="2" s="1"/>
  <c r="P27" i="2" l="1"/>
  <c r="G25" i="2" s="1"/>
  <c r="P28" i="2" s="1"/>
  <c r="P26" i="2"/>
</calcChain>
</file>

<file path=xl/sharedStrings.xml><?xml version="1.0" encoding="utf-8"?>
<sst xmlns="http://schemas.openxmlformats.org/spreadsheetml/2006/main" count="586" uniqueCount="182">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</sst>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0" fontId="12" fillId="0" borderId="25" xfId="0" applyFont="1" applyBorder="1" applyAlignment="1"/>
    <xf numFmtId="0" fontId="12" fillId="0" borderId="11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font>
        <color rgb="FF00B0F0"/>
      </font>
    </dxf>
    <dxf>
      <font>
        <color rgb="FF00B0F0"/>
      </font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233330</xdr:colOff>
      <xdr:row>31</xdr:row>
      <xdr:rowOff>66676</xdr:rowOff>
    </xdr:from>
    <xdr:ext cx="5897384" cy="937629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434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90800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160922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3247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24000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610225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4" dataDxfId="3">
  <autoFilter ref="F1:F69"/>
  <tableColumns count="1">
    <tableColumn id="1" name="agence" dataDxfId="2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' perte par'!F13</f>
        <v>18321.25</v>
      </c>
      <c r="C5" s="8" t="str">
        <f>UPPER(MID(CU5,1,1))&amp;MID(CU5,2,168)</f>
        <v>Dix-huit mille trois cent vingt et un Dinars et vingt cinq  cents</v>
      </c>
      <c r="D5" s="8">
        <f>INT(B5/1000000)</f>
        <v>0</v>
      </c>
      <c r="E5" s="8">
        <f>INT((B5-D5*1000000)/1000)</f>
        <v>18</v>
      </c>
      <c r="F5" s="8">
        <f>INT(B5-D5*1000000-E5*1000)</f>
        <v>321</v>
      </c>
      <c r="G5" s="8">
        <f>ROUND(B5-D5*1000000-E5*1000-F5,2)*100</f>
        <v>25</v>
      </c>
      <c r="H5" s="8">
        <f>D5-M5*100</f>
        <v>0</v>
      </c>
      <c r="J5" s="8">
        <f>E5-P5*100</f>
        <v>18</v>
      </c>
      <c r="K5" s="8">
        <f>ROUND(F5-S5*100,0)</f>
        <v>21</v>
      </c>
      <c r="L5" s="8">
        <f>G5</f>
        <v>25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8</v>
      </c>
      <c r="S5" s="8">
        <f>INT(F5/100)</f>
        <v>3</v>
      </c>
      <c r="T5" s="8">
        <f>INT((F5-S5*100)/10)</f>
        <v>2</v>
      </c>
      <c r="U5" s="8">
        <f>F5-S5*100-T5*10</f>
        <v>1</v>
      </c>
      <c r="V5" s="8">
        <f>INT(G5/10)</f>
        <v>2</v>
      </c>
      <c r="W5" s="8">
        <f>ROUND(G5-V5*10,0)</f>
        <v>5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dix-huit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vingt </v>
      </c>
      <c r="AK5" s="8" t="str">
        <f>IF(K5=11,"",IF(K5=12,"",IF(K5=13,"",IF(K5=14,"",IF(K5=15,"",IF(K5=16,"",BB5))))))</f>
        <v xml:space="preserve">et un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vingt </v>
      </c>
      <c r="AO5" s="8" t="str">
        <f>IF(L5=11,"",IF(L5=12,"",IF(L5=13,"",IF(L5=14,"",IF(L5=15,"",IF(L5=16,"",BD5))))))</f>
        <v xml:space="preserve">cinq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dix-huit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vingt </v>
      </c>
      <c r="BB5" s="8" t="str">
        <f>IF(K5=17,"",IF(K5=18,"",IF(K5=19,"",BJ5)))</f>
        <v xml:space="preserve">et un </v>
      </c>
      <c r="BC5" s="8" t="str">
        <f>IF(L5=10,"dix ",IF(L5=11,"onze ",IF(L5=12,"douze ",IF(L5=13,"treize ",IF(L5=14,"quatorze ",IF(L5=15,"quinze ",BK5))))))</f>
        <v xml:space="preserve">vingt </v>
      </c>
      <c r="BD5" s="8" t="str">
        <f>IF(L5=17,"",IF(L5=18,"",IF(L5=19,"",BL5)))</f>
        <v xml:space="preserve">cinq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dix-huit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vingt </v>
      </c>
      <c r="BJ5" s="8" t="str">
        <f>IF(K5=21,"et un ",IF(K5=31,"et un ",IF(K5=41,"et un ",IF(K5=51,"et un ",IF(K5=61,"et un ",BR5)))))</f>
        <v xml:space="preserve">et un </v>
      </c>
      <c r="BK5" s="8" t="str">
        <f>IF(L5=16,"seize ",IF(L5=17,"dix-sept ",IF(L5=18,"dix-huit ",IF(L5=19,"dix-neuf ",BS5))))</f>
        <v xml:space="preserve">vingt </v>
      </c>
      <c r="BL5" s="8" t="str">
        <f>IF(L5=21,"et un ",IF(L5=31,"et un ",IF(L5=41,"et un ",IF(L5=51,"et un ",IF(L5=61,"et un ",BT5)))))</f>
        <v xml:space="preserve">cinq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huit </v>
      </c>
      <c r="BQ5" s="8" t="str">
        <f>IF(K5=70,"soixante-dix ",IF(K5=71,"soixante et onze ",IF(K5=72,"soixante-douze ",IF(K5=73,"soixante-treize ",IF(K5=74,"soixante-quatorze ",IF(K5=75,"soixante-quinze ",BY5))))))</f>
        <v xml:space="preserve">vingt </v>
      </c>
      <c r="BR5" s="8" t="str">
        <f>IF(T5=9,"",IF(T5=7,"",IF(U5=0,"",IF(U5=1,"un ",IF(U5=2,"deux ",IF(U5=3,"trois ",IF(U5=4,"quatre ",IF(U5=5,"cinq ",BZ5))))))))</f>
        <v xml:space="preserve">un </v>
      </c>
      <c r="BS5" s="8" t="str">
        <f>IF(L5=70,"soixante-dix ",IF(L5=71,"soixante et onze ",IF(L5=72,"soixante-douze ",IF(L5=73,"soixante-treize ",IF(L5=74,"soixante-quatorze ",IF(L5=75,"soixante-quinze ",CA5))))))</f>
        <v xml:space="preserve">vingt </v>
      </c>
      <c r="BT5" s="8" t="str">
        <f>IF(V5=9,"",IF(V5=7,"",IF(W5=0,"",IF(W5=1,"un ",IF(W5=2,"deux ",IF(W5=3,"trois ",IF(W5=4,"quatre ",IF(W5=5,"cinq ",CB5))))))))</f>
        <v xml:space="preserve">cinq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huit </v>
      </c>
      <c r="BY5" s="8" t="str">
        <f>IF(K5=76,"soixante-seize ",IF(K5=77,"soixante-dix-sept ",IF(K5=78,"soixante-dix-huit ",IF(K5=79,"soixante-dix-neuf ",CF5))))</f>
        <v xml:space="preserve">vingt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vingt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huit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vingt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vingt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vingt </v>
      </c>
      <c r="CK5" s="8" t="str">
        <f>IF(L5=96,"quatre-vingt-seize ",IF(L5=97,"quatre-vingt-dix-sept ",IF(L5=98,"quatre-vingt-dix-huit ",IF(L5=99,"quatre-vingt-dix-neuf ",CO5))))</f>
        <v xml:space="preserve">vingt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vingt </v>
      </c>
      <c r="CO5" s="8" t="str">
        <f>IF(V5=2,"vingt ",IF(V5=3,"trente ",IF(V5=4,"quarante ",IF(V5=5,"cinquante ",CS5))))</f>
        <v xml:space="preserve">vingt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dix-huit mille trois cent vingt et un Dinars et vingt cinq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50"/>
  <sheetViews>
    <sheetView tabSelected="1" topLeftCell="D1" workbookViewId="0">
      <selection activeCell="H1" sqref="H1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32"/>
      <c r="D3" s="134"/>
      <c r="E3" s="135"/>
      <c r="F3" s="135"/>
      <c r="G3" s="135"/>
      <c r="H3" s="135"/>
      <c r="I3" s="136"/>
      <c r="J3" s="132" t="s">
        <v>147</v>
      </c>
    </row>
    <row r="4" spans="3:12" x14ac:dyDescent="0.25">
      <c r="C4" s="133"/>
      <c r="D4" s="137"/>
      <c r="E4" s="138"/>
      <c r="F4" s="138"/>
      <c r="G4" s="138"/>
      <c r="H4" s="138"/>
      <c r="I4" s="139"/>
      <c r="J4" s="133"/>
    </row>
    <row r="5" spans="3:12" x14ac:dyDescent="0.25">
      <c r="C5" s="133"/>
      <c r="D5" s="137"/>
      <c r="E5" s="138"/>
      <c r="F5" s="138"/>
      <c r="G5" s="138"/>
      <c r="H5" s="138"/>
      <c r="I5" s="139"/>
      <c r="J5" s="133"/>
    </row>
    <row r="6" spans="3:12" ht="15.75" thickBot="1" x14ac:dyDescent="0.3">
      <c r="C6" s="133"/>
      <c r="D6" s="140"/>
      <c r="E6" s="141"/>
      <c r="F6" s="141"/>
      <c r="G6" s="141"/>
      <c r="H6" s="141"/>
      <c r="I6" s="142"/>
      <c r="J6" s="133"/>
    </row>
    <row r="7" spans="3:12" ht="15.75" thickBot="1" x14ac:dyDescent="0.3">
      <c r="C7" s="133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33"/>
      <c r="L7" s="47">
        <v>2019</v>
      </c>
    </row>
    <row r="8" spans="3:12" ht="20.100000000000001" customHeight="1" x14ac:dyDescent="0.25">
      <c r="C8" s="133"/>
      <c r="D8" s="54" t="s">
        <v>153</v>
      </c>
      <c r="E8" s="55"/>
      <c r="F8" s="56">
        <v>667575</v>
      </c>
      <c r="G8" s="56">
        <f>F8/1.19</f>
        <v>560987.39495798317</v>
      </c>
      <c r="H8" s="117">
        <v>672.27</v>
      </c>
      <c r="I8" s="116">
        <v>0</v>
      </c>
      <c r="J8" s="133"/>
      <c r="L8" s="47">
        <v>1995</v>
      </c>
    </row>
    <row r="9" spans="3:12" ht="20.100000000000001" customHeight="1" x14ac:dyDescent="0.25">
      <c r="C9" s="133"/>
      <c r="D9" s="58" t="s">
        <v>154</v>
      </c>
      <c r="E9" s="59"/>
      <c r="F9" s="56">
        <v>30000</v>
      </c>
      <c r="G9" s="56">
        <f>F9</f>
        <v>30000</v>
      </c>
      <c r="H9" s="117">
        <v>13214.29</v>
      </c>
      <c r="I9" s="116"/>
      <c r="J9" s="133"/>
      <c r="L9" s="47">
        <f>L7-L8</f>
        <v>24</v>
      </c>
    </row>
    <row r="10" spans="3:12" ht="20.100000000000001" customHeight="1" x14ac:dyDescent="0.25">
      <c r="C10" s="133"/>
      <c r="D10" s="58" t="s">
        <v>155</v>
      </c>
      <c r="E10" s="55"/>
      <c r="F10" s="56">
        <v>12000</v>
      </c>
      <c r="G10" s="56">
        <f>F10</f>
        <v>12000</v>
      </c>
      <c r="H10" s="117"/>
      <c r="I10" s="116"/>
      <c r="J10" s="133"/>
    </row>
    <row r="11" spans="3:12" ht="20.100000000000001" customHeight="1" x14ac:dyDescent="0.25">
      <c r="C11" s="133"/>
      <c r="D11" s="60" t="s">
        <v>156</v>
      </c>
      <c r="E11" s="61"/>
      <c r="F11" s="62">
        <f>31519+1000</f>
        <v>32519</v>
      </c>
      <c r="G11" s="62">
        <f>F11/1.19</f>
        <v>27326.89075630252</v>
      </c>
      <c r="H11" s="117"/>
      <c r="I11" s="116"/>
      <c r="J11" s="133"/>
    </row>
    <row r="12" spans="3:12" ht="20.100000000000001" customHeight="1" x14ac:dyDescent="0.25">
      <c r="C12" s="133"/>
      <c r="D12" s="60" t="s">
        <v>157</v>
      </c>
      <c r="E12" s="61"/>
      <c r="F12" s="62">
        <v>0</v>
      </c>
      <c r="G12" s="62">
        <f>F12/1.19</f>
        <v>0</v>
      </c>
      <c r="H12" s="117"/>
      <c r="I12" s="116"/>
      <c r="J12" s="133"/>
    </row>
    <row r="13" spans="3:12" ht="22.5" customHeight="1" x14ac:dyDescent="0.25">
      <c r="C13" s="133"/>
      <c r="D13" s="63" t="s">
        <v>158</v>
      </c>
      <c r="E13" s="64">
        <v>0.15</v>
      </c>
      <c r="F13" s="65">
        <f>(F8-(F12+F11))*E13</f>
        <v>95258.4</v>
      </c>
      <c r="G13" s="65">
        <f>F13/1.19</f>
        <v>80049.075630252104</v>
      </c>
      <c r="H13" s="117"/>
      <c r="I13" s="116"/>
      <c r="J13" s="133"/>
    </row>
    <row r="14" spans="3:12" ht="23.25" customHeight="1" x14ac:dyDescent="0.25">
      <c r="C14" s="133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33"/>
    </row>
    <row r="15" spans="3:12" ht="19.5" customHeight="1" x14ac:dyDescent="0.25">
      <c r="C15" s="133"/>
      <c r="D15" s="101" t="s">
        <v>177</v>
      </c>
      <c r="E15" s="102"/>
      <c r="F15" s="66">
        <v>0</v>
      </c>
      <c r="G15" s="67"/>
      <c r="H15" s="117"/>
      <c r="I15" s="116"/>
      <c r="J15" s="133"/>
    </row>
    <row r="16" spans="3:12" customFormat="1" ht="20.100000000000001" customHeight="1" x14ac:dyDescent="0.25">
      <c r="C16" s="133"/>
      <c r="D16" s="92" t="s">
        <v>175</v>
      </c>
      <c r="E16" s="148">
        <f>(F16*100/F17)-100</f>
        <v>-60</v>
      </c>
      <c r="F16" s="127">
        <v>1200000</v>
      </c>
      <c r="G16" s="127">
        <f>F16/1.19</f>
        <v>1008403.3613445378</v>
      </c>
      <c r="H16" s="124"/>
      <c r="I16" s="118"/>
      <c r="J16" s="133"/>
    </row>
    <row r="17" spans="3:20" customFormat="1" ht="21" customHeight="1" x14ac:dyDescent="0.25">
      <c r="C17" s="133"/>
      <c r="D17" s="92" t="s">
        <v>176</v>
      </c>
      <c r="E17" s="149"/>
      <c r="F17" s="127">
        <v>3000000</v>
      </c>
      <c r="G17" s="127">
        <f>F17/1.19</f>
        <v>2521008.4033613447</v>
      </c>
      <c r="H17" s="124"/>
      <c r="I17" s="118"/>
      <c r="J17" s="133"/>
    </row>
    <row r="18" spans="3:20" ht="18.75" x14ac:dyDescent="0.25">
      <c r="C18" s="133"/>
      <c r="D18" s="143" t="s">
        <v>160</v>
      </c>
      <c r="E18" s="144"/>
      <c r="F18" s="68">
        <f>(F8+F9+F10)-(F13+F14-F15)</f>
        <v>614316.6</v>
      </c>
      <c r="G18" s="68">
        <f>(G8+G9+G10)-(G13+G14)</f>
        <v>522938.31932773103</v>
      </c>
      <c r="H18" s="117"/>
      <c r="I18" s="116"/>
      <c r="J18" s="133"/>
    </row>
    <row r="19" spans="3:20" ht="20.25" customHeight="1" x14ac:dyDescent="0.25">
      <c r="C19" s="133"/>
      <c r="D19" s="69" t="s">
        <v>161</v>
      </c>
      <c r="E19" s="70"/>
      <c r="F19" s="71">
        <v>1526</v>
      </c>
      <c r="G19" s="71">
        <f>F19</f>
        <v>1526</v>
      </c>
      <c r="H19" s="117"/>
      <c r="I19" s="116"/>
      <c r="J19" s="133"/>
    </row>
    <row r="20" spans="3:20" ht="20.25" customHeight="1" x14ac:dyDescent="0.25">
      <c r="C20" s="133"/>
      <c r="D20" s="69" t="s">
        <v>178</v>
      </c>
      <c r="E20" s="70"/>
      <c r="F20" s="71">
        <f>(F19*E21)+F19</f>
        <v>1754.9</v>
      </c>
      <c r="G20" s="71">
        <f>F20</f>
        <v>1754.9</v>
      </c>
      <c r="H20" s="117"/>
      <c r="I20" s="116"/>
      <c r="J20" s="133"/>
    </row>
    <row r="21" spans="3:20" ht="20.25" customHeight="1" x14ac:dyDescent="0.25">
      <c r="C21" s="133"/>
      <c r="D21" s="115" t="s">
        <v>162</v>
      </c>
      <c r="E21" s="64">
        <f>IFERROR(VLOOKUP($D$21,$M$21:$N$22,2,0),"")</f>
        <v>0.15</v>
      </c>
      <c r="F21" s="73">
        <f>VLOOKUP($D$21,$M$21:$P$23,3,0)</f>
        <v>534188.34782608692</v>
      </c>
      <c r="G21" s="73">
        <f>VLOOKUP($D$21,$M$21:$P$23,4,0)</f>
        <v>917.34877993397015</v>
      </c>
      <c r="H21" s="117"/>
      <c r="I21" s="116"/>
      <c r="J21" s="133"/>
      <c r="M21" s="72" t="s">
        <v>162</v>
      </c>
      <c r="N21" s="64">
        <v>0.15</v>
      </c>
      <c r="O21" s="73">
        <f>IFERROR((F18*F19)/((ROUND(F20,2))),"")</f>
        <v>534188.34782608692</v>
      </c>
      <c r="P21" s="73">
        <f>IFERROR((G24-G22)*G18/(G19+(ROUND(G19*F21,2))),"")</f>
        <v>917.34877993397015</v>
      </c>
    </row>
    <row r="22" spans="3:20" ht="20.25" customHeight="1" x14ac:dyDescent="0.25">
      <c r="C22" s="133"/>
      <c r="D22" s="74" t="s">
        <v>140</v>
      </c>
      <c r="E22" s="64">
        <v>0.15</v>
      </c>
      <c r="F22" s="67">
        <v>55054.042500000003</v>
      </c>
      <c r="G22" s="67">
        <v>50674.559999999998</v>
      </c>
      <c r="H22" s="117"/>
      <c r="I22" s="116"/>
      <c r="J22" s="133"/>
      <c r="M22" s="72" t="s">
        <v>163</v>
      </c>
      <c r="N22" s="64">
        <v>0.25</v>
      </c>
      <c r="O22" s="73">
        <f>IFERROR((F18)*F19/(ROUND(F20,2)),"")</f>
        <v>534188.34782608692</v>
      </c>
      <c r="P22" s="73" t="str">
        <f>IFERROR((G23-G18)*G19/(G19+ROUND(G19*#REF!,2)),"")</f>
        <v/>
      </c>
    </row>
    <row r="23" spans="3:20" ht="23.25" customHeight="1" x14ac:dyDescent="0.25">
      <c r="C23" s="133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33"/>
      <c r="M23" s="86" t="s">
        <v>172</v>
      </c>
      <c r="N23" s="87"/>
      <c r="O23" s="88">
        <f>(F18)*F16/F17</f>
        <v>245726.64</v>
      </c>
      <c r="P23" s="88">
        <f>(G18)*G16/G17</f>
        <v>209175.3277310924</v>
      </c>
      <c r="S23" s="47" t="s">
        <v>164</v>
      </c>
    </row>
    <row r="24" spans="3:20" ht="21.75" customHeight="1" thickBot="1" x14ac:dyDescent="0.3">
      <c r="C24" s="133"/>
      <c r="D24" s="114" t="str">
        <f>INDEX($M$21:$M$28,MATCH($D$21,$M$21:$M$28,0)+3)</f>
        <v>Montant Rpr Âge</v>
      </c>
      <c r="E24" s="120"/>
      <c r="F24" s="77">
        <f>VLOOKUP($D24,$M$24:$P$26,3,0)</f>
        <v>1759262.5575000001</v>
      </c>
      <c r="G24" s="77">
        <f>VLOOKUP($D24,$M$24:$P$26,4,0)</f>
        <v>1480667.1206722688</v>
      </c>
      <c r="H24" s="125">
        <f>SUM(H8:H23)</f>
        <v>13886.560000000001</v>
      </c>
      <c r="I24" s="119">
        <f>SUM(I8:I23)</f>
        <v>0</v>
      </c>
      <c r="J24" s="133"/>
      <c r="M24" s="75" t="s">
        <v>166</v>
      </c>
      <c r="N24" s="55"/>
      <c r="O24" s="89">
        <f>(F16-F22)+F18</f>
        <v>1759262.5575000001</v>
      </c>
      <c r="P24" s="89">
        <f>(G16-G22)+G18</f>
        <v>1480667.1206722688</v>
      </c>
      <c r="S24" s="76">
        <f>F18*E22</f>
        <v>92147.489999999991</v>
      </c>
      <c r="T24" s="76">
        <f>G18*F22</f>
        <v>28789868457.147476</v>
      </c>
    </row>
    <row r="25" spans="3:20" ht="21" customHeight="1" x14ac:dyDescent="0.25">
      <c r="C25" s="133"/>
      <c r="D25" s="114" t="str">
        <f>INDEX($M$21:$M$29,MATCH($D$21,$M$21:$M$28,0)+6)</f>
        <v>Total à payer Rpr Âge</v>
      </c>
      <c r="E25" s="120"/>
      <c r="F25" s="77">
        <f>VLOOKUP($D25,$M$27:$P$29,3,0)</f>
        <v>134982.29467391307</v>
      </c>
      <c r="G25" s="77">
        <f>VLOOKUP($D25,$M$27:$P$29,4,0)</f>
        <v>572495.53054779698</v>
      </c>
      <c r="H25" s="145"/>
      <c r="I25" s="145"/>
      <c r="J25" s="133"/>
      <c r="M25" s="75" t="s">
        <v>167</v>
      </c>
      <c r="N25" s="55"/>
      <c r="O25" s="77">
        <f>(F18-F22)+F19</f>
        <v>560788.5575</v>
      </c>
      <c r="P25" s="77">
        <f>(G18-G22)+G19</f>
        <v>473789.75932773104</v>
      </c>
      <c r="S25" s="105">
        <v>2500</v>
      </c>
    </row>
    <row r="26" spans="3:20" ht="21.75" customHeight="1" thickBot="1" x14ac:dyDescent="0.3">
      <c r="C26" s="133"/>
      <c r="D26" s="83" t="s">
        <v>170</v>
      </c>
      <c r="E26" s="84"/>
      <c r="F26" s="128">
        <f>F18-F22+F23</f>
        <v>559462.5575</v>
      </c>
      <c r="G26" s="128">
        <f>G18-G22+G23</f>
        <v>472463.75932773104</v>
      </c>
      <c r="H26" s="146"/>
      <c r="I26" s="146"/>
      <c r="J26" s="133"/>
      <c r="M26" s="90" t="s">
        <v>173</v>
      </c>
      <c r="N26" s="55"/>
      <c r="O26" s="89">
        <f>IFERROR(F18-F21,"")</f>
        <v>80128.252173913061</v>
      </c>
      <c r="P26" s="89">
        <f>IFERROR(G18-G21,"")</f>
        <v>522020.97054779704</v>
      </c>
      <c r="S26" s="105">
        <v>3000</v>
      </c>
    </row>
    <row r="27" spans="3:20" ht="18.75" x14ac:dyDescent="0.25">
      <c r="C27" s="133"/>
      <c r="D27" s="95" t="s">
        <v>171</v>
      </c>
      <c r="E27" s="96"/>
      <c r="F27" s="126"/>
      <c r="G27" s="126"/>
      <c r="H27" s="147"/>
      <c r="I27" s="146"/>
      <c r="J27" s="133"/>
      <c r="M27" s="80" t="s">
        <v>168</v>
      </c>
      <c r="N27" s="81"/>
      <c r="O27" s="82">
        <f>F18-F21+F22-F23</f>
        <v>134982.29467391307</v>
      </c>
      <c r="P27" s="82">
        <f>G18-G21+G22-G23</f>
        <v>572495.53054779698</v>
      </c>
      <c r="S27" s="105">
        <v>10000</v>
      </c>
    </row>
    <row r="28" spans="3:20" ht="19.5" thickBot="1" x14ac:dyDescent="0.3">
      <c r="C28" s="133"/>
      <c r="D28" s="97"/>
      <c r="E28" s="98"/>
      <c r="F28" s="98"/>
      <c r="G28" s="98"/>
      <c r="H28" s="147"/>
      <c r="I28" s="146"/>
      <c r="J28" s="133"/>
      <c r="M28" s="80" t="s">
        <v>169</v>
      </c>
      <c r="N28" s="81"/>
      <c r="O28" s="100">
        <f>F16-F22+F23-F25</f>
        <v>1010163.662826087</v>
      </c>
      <c r="P28" s="100">
        <f>G16-G22+G23-G25</f>
        <v>385433.27079674089</v>
      </c>
      <c r="S28" s="105">
        <v>50000</v>
      </c>
    </row>
    <row r="29" spans="3:20" ht="18.75" x14ac:dyDescent="0.25">
      <c r="M29" s="91" t="s">
        <v>174</v>
      </c>
      <c r="O29" s="99">
        <f>F16-F22+F23-F26</f>
        <v>585683.4</v>
      </c>
      <c r="P29" s="99">
        <f>G16-G22+G23-G26</f>
        <v>485465.04201680684</v>
      </c>
    </row>
    <row r="32" spans="3:20" ht="15.75" thickBot="1" x14ac:dyDescent="0.3"/>
    <row r="33" spans="3:19" x14ac:dyDescent="0.25">
      <c r="C33" s="150"/>
      <c r="D33" s="152"/>
      <c r="E33" s="153"/>
      <c r="F33" s="153"/>
      <c r="G33" s="153"/>
      <c r="H33" s="153"/>
      <c r="I33" s="154"/>
      <c r="J33" s="150" t="s">
        <v>147</v>
      </c>
    </row>
    <row r="34" spans="3:19" x14ac:dyDescent="0.25">
      <c r="C34" s="151"/>
      <c r="D34" s="155"/>
      <c r="E34" s="156"/>
      <c r="F34" s="156"/>
      <c r="G34" s="156"/>
      <c r="H34" s="156"/>
      <c r="I34" s="157"/>
      <c r="J34" s="151"/>
    </row>
    <row r="35" spans="3:19" x14ac:dyDescent="0.25">
      <c r="C35" s="151"/>
      <c r="D35" s="155"/>
      <c r="E35" s="156"/>
      <c r="F35" s="156"/>
      <c r="G35" s="156"/>
      <c r="H35" s="156"/>
      <c r="I35" s="157"/>
      <c r="J35" s="151"/>
    </row>
    <row r="36" spans="3:19" ht="15.75" thickBot="1" x14ac:dyDescent="0.3">
      <c r="C36" s="151"/>
      <c r="D36" s="158"/>
      <c r="E36" s="159"/>
      <c r="F36" s="159"/>
      <c r="G36" s="159"/>
      <c r="H36" s="159"/>
      <c r="I36" s="160"/>
      <c r="J36" s="151"/>
    </row>
    <row r="37" spans="3:19" ht="15.75" thickBot="1" x14ac:dyDescent="0.3">
      <c r="C37" s="151"/>
      <c r="D37" s="49"/>
      <c r="E37" s="50" t="s">
        <v>148</v>
      </c>
      <c r="F37" s="51" t="s">
        <v>149</v>
      </c>
      <c r="G37" s="51" t="s">
        <v>150</v>
      </c>
      <c r="H37" s="52" t="s">
        <v>151</v>
      </c>
      <c r="I37" s="53" t="s">
        <v>152</v>
      </c>
      <c r="J37" s="151"/>
    </row>
    <row r="38" spans="3:19" ht="15.75" x14ac:dyDescent="0.25">
      <c r="C38" s="151"/>
      <c r="D38" s="92" t="s">
        <v>175</v>
      </c>
      <c r="E38" s="148">
        <f>F38*100/F39-100</f>
        <v>0</v>
      </c>
      <c r="F38" s="93">
        <v>2690395.25</v>
      </c>
      <c r="G38" s="94">
        <f>F38/1.19</f>
        <v>2260836.3445378151</v>
      </c>
      <c r="H38" s="56"/>
      <c r="I38" s="57"/>
      <c r="J38" s="151"/>
    </row>
    <row r="39" spans="3:19" ht="15.75" x14ac:dyDescent="0.25">
      <c r="C39" s="151"/>
      <c r="D39" s="92" t="s">
        <v>176</v>
      </c>
      <c r="E39" s="149"/>
      <c r="F39" s="93">
        <v>2690395.25</v>
      </c>
      <c r="G39" s="94">
        <f>F39/1.19</f>
        <v>2260836.3445378151</v>
      </c>
      <c r="H39" s="56"/>
      <c r="I39" s="57"/>
      <c r="J39" s="151"/>
    </row>
    <row r="40" spans="3:19" ht="15.75" x14ac:dyDescent="0.25">
      <c r="C40" s="151"/>
      <c r="D40" s="121" t="s">
        <v>179</v>
      </c>
      <c r="E40" s="122"/>
      <c r="F40" s="93">
        <v>269039.53000000003</v>
      </c>
      <c r="G40" s="123">
        <f>F40</f>
        <v>269039.53000000003</v>
      </c>
      <c r="H40" s="104"/>
      <c r="I40" s="57"/>
      <c r="J40" s="151"/>
    </row>
    <row r="41" spans="3:19" ht="15.75" x14ac:dyDescent="0.25">
      <c r="C41" s="151"/>
      <c r="D41" s="101" t="s">
        <v>177</v>
      </c>
      <c r="E41" s="102"/>
      <c r="F41" s="103">
        <v>726406.65</v>
      </c>
      <c r="G41" s="107">
        <f>F41</f>
        <v>726406.65</v>
      </c>
      <c r="H41" s="104"/>
      <c r="I41" s="57"/>
      <c r="J41" s="151"/>
    </row>
    <row r="42" spans="3:19" ht="18.75" x14ac:dyDescent="0.25">
      <c r="C42" s="151"/>
      <c r="D42" s="143" t="s">
        <v>160</v>
      </c>
      <c r="E42" s="144"/>
      <c r="F42" s="68">
        <f>F38-(F41+F40)</f>
        <v>1694949.0699999998</v>
      </c>
      <c r="G42" s="68">
        <f>G38-(G40+G41)</f>
        <v>1265390.1645378149</v>
      </c>
      <c r="H42" s="56"/>
      <c r="I42" s="57"/>
      <c r="J42" s="151"/>
      <c r="M42" s="72" t="s">
        <v>162</v>
      </c>
      <c r="N42" s="64">
        <v>0.15</v>
      </c>
      <c r="O42" s="73">
        <f>IFERROR((F38*F39)/((ROUND(F41,2))),"")</f>
        <v>9964427.7777778637</v>
      </c>
      <c r="P42" s="73">
        <f>IFERROR((G45-G43)*G38/(G39+(ROUND(G39*F42,2))),"")</f>
        <v>5.4122466270287834E-4</v>
      </c>
    </row>
    <row r="43" spans="3:19" ht="15.75" x14ac:dyDescent="0.25">
      <c r="C43" s="151"/>
      <c r="D43" s="69" t="s">
        <v>161</v>
      </c>
      <c r="E43" s="70"/>
      <c r="F43" s="71">
        <v>0</v>
      </c>
      <c r="G43" s="71">
        <f>F43</f>
        <v>0</v>
      </c>
      <c r="H43" s="56"/>
      <c r="I43" s="57"/>
      <c r="J43" s="151"/>
      <c r="M43" s="72" t="s">
        <v>163</v>
      </c>
      <c r="N43" s="64">
        <v>0.25</v>
      </c>
      <c r="O43" s="73">
        <f>IFERROR((F38)*F39/(ROUND(F41,2)),"")</f>
        <v>9964427.7777778637</v>
      </c>
      <c r="P43" s="73" t="str">
        <f>IFERROR((G44-G38)*G39/(G39+ROUND(G39*#REF!,2)),"")</f>
        <v/>
      </c>
    </row>
    <row r="44" spans="3:19" ht="15.75" x14ac:dyDescent="0.25">
      <c r="C44" s="151"/>
      <c r="D44" s="69" t="s">
        <v>178</v>
      </c>
      <c r="E44" s="70"/>
      <c r="F44" s="71">
        <f>(F43*E45)+F43</f>
        <v>0</v>
      </c>
      <c r="G44" s="71">
        <f>F44</f>
        <v>0</v>
      </c>
      <c r="H44" s="56"/>
      <c r="I44" s="57"/>
      <c r="J44" s="151"/>
      <c r="M44" s="86" t="s">
        <v>172</v>
      </c>
      <c r="N44" s="87"/>
      <c r="O44" s="88" t="e">
        <f>(F38)*F36/F37</f>
        <v>#VALUE!</v>
      </c>
      <c r="P44" s="88" t="e">
        <f>(G38)*G36/G37</f>
        <v>#VALUE!</v>
      </c>
    </row>
    <row r="45" spans="3:19" ht="15.75" x14ac:dyDescent="0.25">
      <c r="C45" s="151"/>
      <c r="D45" s="106" t="s">
        <v>162</v>
      </c>
      <c r="E45" s="64">
        <f>IFERROR(VLOOKUP($D$21,$M$21:$N$22,2,0),"")</f>
        <v>0.15</v>
      </c>
      <c r="F45" s="73">
        <f>VLOOKUP($D$21,$M$21:$P$23,3,0)</f>
        <v>534188.34782608692</v>
      </c>
      <c r="G45" s="73">
        <f>VLOOKUP($D$21,$M$21:$P$23,4,0)</f>
        <v>917.34877993397015</v>
      </c>
      <c r="H45" s="56"/>
      <c r="I45" s="57"/>
      <c r="J45" s="151"/>
      <c r="M45" s="75" t="s">
        <v>166</v>
      </c>
      <c r="N45" s="55"/>
      <c r="O45" s="89">
        <f>(F36-F43)+F38</f>
        <v>2690395.25</v>
      </c>
      <c r="P45" s="89">
        <f>(G36-G43)+G38</f>
        <v>2260836.3445378151</v>
      </c>
      <c r="S45" s="47" t="s">
        <v>164</v>
      </c>
    </row>
    <row r="46" spans="3:19" ht="15.75" x14ac:dyDescent="0.25">
      <c r="C46" s="151"/>
      <c r="D46" s="74" t="s">
        <v>140</v>
      </c>
      <c r="E46" s="64">
        <v>0.05</v>
      </c>
      <c r="F46" s="67">
        <v>10000</v>
      </c>
      <c r="G46" s="67">
        <f>F46</f>
        <v>10000</v>
      </c>
      <c r="H46" s="56"/>
      <c r="I46" s="57"/>
      <c r="J46" s="151"/>
      <c r="M46" s="75" t="s">
        <v>167</v>
      </c>
      <c r="N46" s="55"/>
      <c r="O46" s="77">
        <f>(F38-F43)+F39</f>
        <v>5380790.5</v>
      </c>
      <c r="P46" s="77">
        <f>(G38-G43)+G39</f>
        <v>4521672.6890756302</v>
      </c>
      <c r="S46" s="76">
        <f>F42*E46</f>
        <v>84747.453500000003</v>
      </c>
    </row>
    <row r="47" spans="3:19" ht="15.75" x14ac:dyDescent="0.25">
      <c r="C47" s="151"/>
      <c r="D47" s="75" t="str">
        <f>INDEX($M$21:$M$28,MATCH($D$21,$M$21:$M$28,0)+3)</f>
        <v>Montant Rpr Âge</v>
      </c>
      <c r="E47" s="55"/>
      <c r="F47" s="77">
        <f>VLOOKUP($D47,$M$24:$P$26,3,0)</f>
        <v>1759262.5575000001</v>
      </c>
      <c r="G47" s="77">
        <f>VLOOKUP($D47,$M$24:$P$26,4,0)</f>
        <v>1480667.1206722688</v>
      </c>
      <c r="H47" s="78">
        <f>SUM(H38:H46)</f>
        <v>0</v>
      </c>
      <c r="I47" s="79">
        <f>SUM(I38:I46)</f>
        <v>0</v>
      </c>
      <c r="J47" s="151"/>
      <c r="M47" s="90" t="s">
        <v>173</v>
      </c>
      <c r="N47" s="55"/>
      <c r="O47" s="89">
        <f>IFERROR(F38-F42,"")</f>
        <v>995446.18000000017</v>
      </c>
      <c r="P47" s="89">
        <f>IFERROR(G38-G42,"")</f>
        <v>995446.18000000017</v>
      </c>
      <c r="S47" s="105">
        <v>2500</v>
      </c>
    </row>
    <row r="48" spans="3:19" ht="19.5" thickBot="1" x14ac:dyDescent="0.3">
      <c r="C48" s="151"/>
      <c r="D48" s="83" t="s">
        <v>170</v>
      </c>
      <c r="E48" s="84"/>
      <c r="F48" s="85">
        <f>(F42-F46)</f>
        <v>1684949.0699999998</v>
      </c>
      <c r="G48" s="85">
        <f>G42-G46</f>
        <v>1255390.1645378149</v>
      </c>
      <c r="H48" s="147"/>
      <c r="I48" s="146"/>
      <c r="J48" s="151"/>
      <c r="M48" s="80" t="s">
        <v>169</v>
      </c>
      <c r="N48" s="81"/>
      <c r="O48" s="100">
        <f>F36-F43+F44-F46</f>
        <v>-10000</v>
      </c>
      <c r="P48" s="100">
        <f>G36-G43+G44-G46</f>
        <v>-10000</v>
      </c>
      <c r="S48" s="105">
        <v>10000</v>
      </c>
    </row>
    <row r="49" spans="3:19" ht="18.75" x14ac:dyDescent="0.25">
      <c r="C49" s="151"/>
      <c r="D49" s="95"/>
      <c r="E49" s="96"/>
      <c r="F49" s="96"/>
      <c r="G49" s="96"/>
      <c r="H49" s="147"/>
      <c r="I49" s="146"/>
      <c r="J49" s="151"/>
      <c r="M49" s="91" t="s">
        <v>174</v>
      </c>
      <c r="O49" s="99">
        <f>F36-F43+F44-F47</f>
        <v>-1759262.5575000001</v>
      </c>
      <c r="P49" s="99">
        <f>G36-G43+G44-G47</f>
        <v>-1480667.1206722688</v>
      </c>
      <c r="S49" s="105">
        <v>50000</v>
      </c>
    </row>
    <row r="50" spans="3:19" ht="15.75" thickBot="1" x14ac:dyDescent="0.3">
      <c r="C50" s="151"/>
      <c r="D50" s="97"/>
      <c r="E50" s="98"/>
      <c r="F50" s="98"/>
      <c r="G50" s="98"/>
      <c r="H50" s="147"/>
      <c r="I50" s="146"/>
      <c r="J50" s="151"/>
    </row>
  </sheetData>
  <mergeCells count="12">
    <mergeCell ref="C33:C50"/>
    <mergeCell ref="D33:I36"/>
    <mergeCell ref="J33:J50"/>
    <mergeCell ref="D42:E42"/>
    <mergeCell ref="H48:I50"/>
    <mergeCell ref="E38:E39"/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conditionalFormatting sqref="N34:N36">
    <cfRule type="dataBar" priority="13">
      <dataBar>
        <cfvo type="min"/>
        <cfvo type="max"/>
        <color rgb="FF63C384"/>
      </dataBar>
    </cfRule>
  </conditionalFormatting>
  <conditionalFormatting sqref="N34:N35">
    <cfRule type="colorScale" priority="11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2">
      <dataBar>
        <cfvo type="min"/>
        <cfvo type="max"/>
        <color rgb="FF638EC6"/>
      </dataBar>
    </cfRule>
  </conditionalFormatting>
  <conditionalFormatting sqref="N34:N35">
    <cfRule type="dataBar" priority="10">
      <dataBar>
        <cfvo type="min"/>
        <cfvo type="max"/>
        <color rgb="FF63C384"/>
      </dataBar>
    </cfRule>
  </conditionalFormatting>
  <conditionalFormatting sqref="E38">
    <cfRule type="dataBar" priority="9">
      <dataBar>
        <cfvo type="min"/>
        <cfvo type="max"/>
        <color rgb="FF638EC6"/>
      </dataBar>
    </cfRule>
  </conditionalFormatting>
  <conditionalFormatting sqref="E39:E41">
    <cfRule type="dataBar" priority="8">
      <dataBar>
        <cfvo type="min"/>
        <cfvo type="max"/>
        <color rgb="FF638EC6"/>
      </dataBar>
    </cfRule>
  </conditionalFormatting>
  <conditionalFormatting sqref="E38:E41">
    <cfRule type="dataBar" priority="7">
      <dataBar>
        <cfvo type="min"/>
        <cfvo type="max"/>
        <color rgb="FFFFB628"/>
      </dataBar>
    </cfRule>
  </conditionalFormatting>
  <conditionalFormatting sqref="E46">
    <cfRule type="dataBar" priority="6">
      <dataBar>
        <cfvo type="min"/>
        <cfvo type="max"/>
        <color rgb="FFFF555A"/>
      </dataBar>
    </cfRule>
  </conditionalFormatting>
  <conditionalFormatting sqref="E45">
    <cfRule type="dataBar" priority="4">
      <dataBar>
        <cfvo type="min"/>
        <cfvo type="max"/>
        <color rgb="FF63C384"/>
      </dataBar>
    </cfRule>
  </conditionalFormatting>
  <conditionalFormatting sqref="E38:E40">
    <cfRule type="dataBar" priority="3">
      <dataBar>
        <cfvo type="min"/>
        <cfvo type="max"/>
        <color rgb="FFFF555A"/>
      </dataBar>
    </cfRule>
  </conditionalFormatting>
  <conditionalFormatting sqref="N42:N43">
    <cfRule type="dataBar" priority="2">
      <dataBar>
        <cfvo type="min"/>
        <cfvo type="max"/>
        <color rgb="FF63C384"/>
      </dataBar>
    </cfRule>
  </conditionalFormatting>
  <conditionalFormatting sqref="N44">
    <cfRule type="dataBar" priority="1">
      <dataBar>
        <cfvo type="min"/>
        <cfvo type="max"/>
        <color rgb="FF63C384"/>
      </dataBar>
    </cfRule>
  </conditionalFormatting>
  <dataValidations disablePrompts="1" count="2">
    <dataValidation type="list" allowBlank="1" showInputMessage="1" showErrorMessage="1" sqref="F46 F22:G22">
      <formula1>$S$24:$S$28</formula1>
    </dataValidation>
    <dataValidation type="list" allowBlank="1" showInputMessage="1" showErrorMessage="1" sqref="D45 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53"/>
  <sheetViews>
    <sheetView topLeftCell="A42" zoomScale="85" zoomScaleNormal="85" workbookViewId="0">
      <selection activeCell="A54" sqref="A54:H106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212"/>
      <c r="C1" s="212"/>
      <c r="F1" s="110" t="s">
        <v>9</v>
      </c>
      <c r="G1" s="111">
        <f ca="1">TODAY()</f>
        <v>43768</v>
      </c>
    </row>
    <row r="2" spans="2:30" x14ac:dyDescent="0.25">
      <c r="B2" s="212"/>
      <c r="C2" s="212"/>
      <c r="D2" s="213" t="s">
        <v>11</v>
      </c>
      <c r="E2" s="213"/>
    </row>
    <row r="3" spans="2:30" x14ac:dyDescent="0.25">
      <c r="B3" s="212"/>
      <c r="C3" s="212"/>
      <c r="D3" s="213" t="s">
        <v>12</v>
      </c>
      <c r="E3" s="213"/>
      <c r="I3" t="s">
        <v>180</v>
      </c>
      <c r="AD3" t="s">
        <v>32</v>
      </c>
    </row>
    <row r="4" spans="2:30" ht="24" thickBot="1" x14ac:dyDescent="0.4">
      <c r="B4" s="212"/>
      <c r="C4" s="212"/>
      <c r="D4" s="214" t="s">
        <v>29</v>
      </c>
      <c r="E4" s="214"/>
      <c r="F4" s="214"/>
      <c r="AD4" s="42" t="s">
        <v>33</v>
      </c>
    </row>
    <row r="5" spans="2:30" ht="18.75" x14ac:dyDescent="0.3">
      <c r="B5" s="215" t="s">
        <v>13</v>
      </c>
      <c r="C5" s="216"/>
      <c r="D5" s="216"/>
      <c r="E5" s="216"/>
      <c r="F5" s="216"/>
      <c r="G5" s="217"/>
      <c r="AD5" s="42" t="s">
        <v>34</v>
      </c>
    </row>
    <row r="6" spans="2:30" ht="19.5" thickBot="1" x14ac:dyDescent="0.35">
      <c r="B6" s="207" t="s">
        <v>20</v>
      </c>
      <c r="C6" s="208"/>
      <c r="D6" s="208"/>
      <c r="E6" s="208"/>
      <c r="F6" s="208"/>
      <c r="G6" s="209"/>
      <c r="AD6" s="42" t="s">
        <v>35</v>
      </c>
    </row>
    <row r="8" spans="2:30" ht="15.75" x14ac:dyDescent="0.25">
      <c r="B8" s="19" t="s">
        <v>14</v>
      </c>
      <c r="C8" s="210">
        <v>250</v>
      </c>
      <c r="D8" s="210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211"/>
      <c r="D9" s="211"/>
      <c r="E9" s="20" t="s">
        <v>19</v>
      </c>
      <c r="F9" s="21"/>
      <c r="G9" s="22"/>
    </row>
    <row r="10" spans="2:30" ht="15.75" x14ac:dyDescent="0.25">
      <c r="B10" s="19" t="s">
        <v>16</v>
      </c>
      <c r="C10" s="211"/>
      <c r="D10" s="211"/>
      <c r="E10" s="20"/>
      <c r="F10" s="20"/>
      <c r="G10" s="22"/>
    </row>
    <row r="11" spans="2:30" ht="15.75" x14ac:dyDescent="0.25">
      <c r="B11" s="19" t="s">
        <v>17</v>
      </c>
      <c r="C11" s="211"/>
      <c r="D11" s="211"/>
      <c r="E11" s="20"/>
      <c r="F11" s="44"/>
      <c r="G11" s="22"/>
    </row>
    <row r="12" spans="2:30" ht="15.75" thickBot="1" x14ac:dyDescent="0.3"/>
    <row r="13" spans="2:30" ht="15" customHeight="1" x14ac:dyDescent="0.25">
      <c r="B13" s="195" t="s">
        <v>142</v>
      </c>
      <c r="C13" s="196"/>
      <c r="D13" s="196"/>
      <c r="E13" s="196"/>
      <c r="F13" s="197">
        <f>E33</f>
        <v>18321.25</v>
      </c>
      <c r="G13" s="198"/>
    </row>
    <row r="14" spans="2:30" ht="15" customHeight="1" x14ac:dyDescent="0.25">
      <c r="B14" s="199" t="str">
        <f>'.'!C5</f>
        <v>Dix-huit mille trois cent vingt et un Dinars et vingt cinq  cents</v>
      </c>
      <c r="C14" s="200"/>
      <c r="D14" s="200"/>
      <c r="E14" s="200"/>
      <c r="F14" s="200"/>
      <c r="G14" s="201"/>
    </row>
    <row r="15" spans="2:30" ht="15" customHeight="1" x14ac:dyDescent="0.25">
      <c r="B15" s="199"/>
      <c r="C15" s="200"/>
      <c r="D15" s="200"/>
      <c r="E15" s="200"/>
      <c r="F15" s="200"/>
      <c r="G15" s="201"/>
    </row>
    <row r="16" spans="2:30" ht="15.75" customHeight="1" x14ac:dyDescent="0.25">
      <c r="B16" s="202" t="s">
        <v>30</v>
      </c>
      <c r="C16" s="203"/>
      <c r="D16" s="203"/>
      <c r="E16" s="203"/>
      <c r="F16" s="203"/>
      <c r="G16" s="204"/>
    </row>
    <row r="17" spans="2:7" ht="20.25" customHeight="1" thickBot="1" x14ac:dyDescent="0.3">
      <c r="B17" s="108" t="s">
        <v>31</v>
      </c>
      <c r="C17" s="109" t="s">
        <v>35</v>
      </c>
      <c r="D17" s="205" t="s">
        <v>36</v>
      </c>
      <c r="E17" s="205"/>
      <c r="F17" s="205"/>
      <c r="G17" s="206"/>
    </row>
    <row r="18" spans="2:7" ht="16.5" thickBot="1" x14ac:dyDescent="0.3">
      <c r="B18" s="23"/>
      <c r="C18" s="182" t="s">
        <v>8</v>
      </c>
      <c r="D18" s="183"/>
      <c r="E18" s="185">
        <v>5000</v>
      </c>
      <c r="F18" s="186"/>
      <c r="G18" s="24"/>
    </row>
    <row r="19" spans="2:7" ht="16.5" thickBot="1" x14ac:dyDescent="0.3">
      <c r="B19" s="23"/>
      <c r="C19" s="182" t="s">
        <v>0</v>
      </c>
      <c r="D19" s="183"/>
      <c r="E19" s="185">
        <v>5000</v>
      </c>
      <c r="F19" s="186"/>
      <c r="G19" s="24"/>
    </row>
    <row r="20" spans="2:7" ht="16.5" thickBot="1" x14ac:dyDescent="0.3">
      <c r="B20" s="23"/>
      <c r="C20" s="182" t="s">
        <v>3</v>
      </c>
      <c r="D20" s="183"/>
      <c r="E20" s="185">
        <v>10000</v>
      </c>
      <c r="F20" s="186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82" t="s">
        <v>4</v>
      </c>
      <c r="D22" s="183"/>
      <c r="E22" s="185">
        <f>E18+E19+E20</f>
        <v>20000</v>
      </c>
      <c r="F22" s="186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82" t="s">
        <v>5</v>
      </c>
      <c r="D24" s="183"/>
      <c r="E24" s="185">
        <v>1500</v>
      </c>
      <c r="F24" s="186"/>
      <c r="G24" s="24"/>
    </row>
    <row r="25" spans="2:7" ht="16.5" thickBot="1" x14ac:dyDescent="0.3">
      <c r="B25" s="23"/>
      <c r="C25" s="191" t="s">
        <v>6</v>
      </c>
      <c r="D25" s="192"/>
      <c r="E25" s="193">
        <v>25</v>
      </c>
      <c r="F25" s="194"/>
      <c r="G25" s="24"/>
    </row>
    <row r="26" spans="2:7" ht="16.5" thickBot="1" x14ac:dyDescent="0.3">
      <c r="B26" s="23"/>
      <c r="C26" s="182" t="s">
        <v>37</v>
      </c>
      <c r="D26" s="183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82" t="s">
        <v>4</v>
      </c>
      <c r="D28" s="184"/>
      <c r="E28" s="185">
        <v>0</v>
      </c>
      <c r="F28" s="186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85">
        <v>2500</v>
      </c>
      <c r="F30" s="186"/>
      <c r="G30" s="24"/>
    </row>
    <row r="31" spans="2:7" ht="16.5" thickBot="1" x14ac:dyDescent="0.3">
      <c r="B31" s="23"/>
      <c r="C31" s="187" t="s">
        <v>141</v>
      </c>
      <c r="D31" s="188"/>
      <c r="E31" s="189">
        <v>200</v>
      </c>
      <c r="F31" s="190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8" ht="16.5" thickBot="1" x14ac:dyDescent="0.3">
      <c r="A34" s="1"/>
      <c r="B34" s="23"/>
      <c r="C34" s="33"/>
      <c r="D34" s="34"/>
      <c r="E34" s="178"/>
      <c r="F34" s="179"/>
      <c r="G34" s="24"/>
      <c r="H34" s="1"/>
    </row>
    <row r="35" spans="1:8" ht="15.75" x14ac:dyDescent="0.25">
      <c r="A35" s="1"/>
      <c r="B35" s="23"/>
      <c r="C35" s="25"/>
      <c r="D35" s="172"/>
      <c r="E35" s="172"/>
      <c r="F35" s="172"/>
      <c r="G35" s="166"/>
      <c r="H35" s="1"/>
    </row>
    <row r="36" spans="1:8" ht="15.75" x14ac:dyDescent="0.25">
      <c r="A36" s="1"/>
      <c r="B36" s="180" t="s">
        <v>10</v>
      </c>
      <c r="C36" s="181"/>
      <c r="D36" s="172"/>
      <c r="E36" s="172"/>
      <c r="F36" s="172"/>
      <c r="G36" s="166"/>
      <c r="H36" s="1"/>
    </row>
    <row r="37" spans="1:8" ht="15.75" x14ac:dyDescent="0.25">
      <c r="A37" s="1"/>
      <c r="B37" s="23"/>
      <c r="C37" s="25"/>
      <c r="D37" s="172"/>
      <c r="E37" s="172"/>
      <c r="F37" s="172"/>
      <c r="G37" s="166"/>
      <c r="H37" s="1"/>
    </row>
    <row r="38" spans="1:8" ht="15.75" x14ac:dyDescent="0.25">
      <c r="A38" s="1"/>
      <c r="B38" s="23"/>
      <c r="C38" s="25"/>
      <c r="D38" s="172"/>
      <c r="E38" s="172"/>
      <c r="F38" s="172"/>
      <c r="G38" s="166"/>
      <c r="H38" s="1"/>
    </row>
    <row r="39" spans="1:8" ht="16.5" thickBot="1" x14ac:dyDescent="0.3">
      <c r="A39" s="1"/>
      <c r="B39" s="41"/>
      <c r="C39" s="35"/>
      <c r="D39" s="173"/>
      <c r="E39" s="173"/>
      <c r="F39" s="173"/>
      <c r="G39" s="168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174" t="s">
        <v>21</v>
      </c>
      <c r="C41" s="175"/>
      <c r="D41" s="112" t="s">
        <v>22</v>
      </c>
      <c r="E41" s="112" t="s">
        <v>23</v>
      </c>
      <c r="F41" s="174" t="s">
        <v>24</v>
      </c>
      <c r="G41" s="175"/>
    </row>
    <row r="42" spans="1:8" x14ac:dyDescent="0.25">
      <c r="B42" s="163"/>
      <c r="C42" s="164"/>
      <c r="D42" s="169"/>
      <c r="E42" s="169"/>
      <c r="F42" s="163"/>
      <c r="G42" s="164"/>
    </row>
    <row r="43" spans="1:8" x14ac:dyDescent="0.25">
      <c r="B43" s="165"/>
      <c r="C43" s="166"/>
      <c r="D43" s="170"/>
      <c r="E43" s="170"/>
      <c r="F43" s="165"/>
      <c r="G43" s="166"/>
    </row>
    <row r="44" spans="1:8" x14ac:dyDescent="0.25">
      <c r="B44" s="165"/>
      <c r="C44" s="166"/>
      <c r="D44" s="170"/>
      <c r="E44" s="170"/>
      <c r="F44" s="165"/>
      <c r="G44" s="166"/>
    </row>
    <row r="45" spans="1:8" x14ac:dyDescent="0.25">
      <c r="B45" s="165"/>
      <c r="C45" s="166"/>
      <c r="D45" s="170"/>
      <c r="E45" s="170"/>
      <c r="F45" s="165"/>
      <c r="G45" s="166"/>
    </row>
    <row r="46" spans="1:8" ht="15.75" thickBot="1" x14ac:dyDescent="0.3">
      <c r="B46" s="167"/>
      <c r="C46" s="168"/>
      <c r="D46" s="171"/>
      <c r="E46" s="171"/>
      <c r="F46" s="167"/>
      <c r="G46" s="168"/>
    </row>
    <row r="47" spans="1:8" ht="16.5" thickBot="1" x14ac:dyDescent="0.3">
      <c r="B47" s="161" t="s">
        <v>28</v>
      </c>
      <c r="C47" s="162"/>
      <c r="D47" s="113" t="s">
        <v>25</v>
      </c>
      <c r="E47" s="37" t="s">
        <v>26</v>
      </c>
      <c r="F47" s="161" t="s">
        <v>27</v>
      </c>
      <c r="G47" s="162"/>
    </row>
    <row r="48" spans="1:8" x14ac:dyDescent="0.25">
      <c r="B48" s="163"/>
      <c r="C48" s="164"/>
      <c r="D48" s="169"/>
      <c r="E48" s="169"/>
      <c r="F48" s="163"/>
      <c r="G48" s="164"/>
    </row>
    <row r="49" spans="1:7" x14ac:dyDescent="0.25">
      <c r="B49" s="165"/>
      <c r="C49" s="166"/>
      <c r="D49" s="170"/>
      <c r="E49" s="170"/>
      <c r="F49" s="165"/>
      <c r="G49" s="166"/>
    </row>
    <row r="50" spans="1:7" x14ac:dyDescent="0.25">
      <c r="B50" s="165"/>
      <c r="C50" s="166"/>
      <c r="D50" s="170"/>
      <c r="E50" s="170"/>
      <c r="F50" s="165"/>
      <c r="G50" s="166"/>
    </row>
    <row r="51" spans="1:7" x14ac:dyDescent="0.25">
      <c r="B51" s="165"/>
      <c r="C51" s="166"/>
      <c r="D51" s="170"/>
      <c r="E51" s="170"/>
      <c r="F51" s="165"/>
      <c r="G51" s="166"/>
    </row>
    <row r="52" spans="1:7" x14ac:dyDescent="0.25">
      <c r="B52" s="165"/>
      <c r="C52" s="166"/>
      <c r="D52" s="170"/>
      <c r="E52" s="170"/>
      <c r="F52" s="165"/>
      <c r="G52" s="166"/>
    </row>
    <row r="53" spans="1:7" s="3" customFormat="1" ht="15.75" thickBot="1" x14ac:dyDescent="0.3">
      <c r="A53" s="17">
        <v>11</v>
      </c>
      <c r="B53" s="167"/>
      <c r="C53" s="168"/>
      <c r="D53" s="171"/>
      <c r="E53" s="171"/>
      <c r="F53" s="167"/>
      <c r="G53" s="168"/>
    </row>
  </sheetData>
  <mergeCells count="52"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</mergeCells>
  <conditionalFormatting sqref="F8">
    <cfRule type="expression" dxfId="1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errorTitle="Choisir dans la liste" sqref="AD3">
      <formula1>$B$4:$B$6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>
      <selection sqref="A1:H53"/>
    </sheetView>
  </sheetViews>
  <sheetFormatPr baseColWidth="10" defaultRowHeight="15" x14ac:dyDescent="0.25"/>
  <sheetData>
    <row r="1" spans="2:8" x14ac:dyDescent="0.25">
      <c r="B1" s="212"/>
      <c r="C1" s="212"/>
      <c r="D1" s="18"/>
      <c r="E1" s="18"/>
      <c r="F1" s="110" t="s">
        <v>9</v>
      </c>
      <c r="G1" s="111">
        <f ca="1">TODAY()</f>
        <v>43768</v>
      </c>
    </row>
    <row r="2" spans="2:8" x14ac:dyDescent="0.25">
      <c r="B2" s="212"/>
      <c r="C2" s="212"/>
      <c r="D2" s="213" t="s">
        <v>11</v>
      </c>
      <c r="E2" s="213"/>
      <c r="F2" s="18"/>
    </row>
    <row r="3" spans="2:8" x14ac:dyDescent="0.25">
      <c r="B3" s="212"/>
      <c r="C3" s="212"/>
      <c r="D3" s="213" t="s">
        <v>12</v>
      </c>
      <c r="E3" s="213"/>
      <c r="F3" s="18"/>
      <c r="H3" t="s">
        <v>181</v>
      </c>
    </row>
    <row r="4" spans="2:8" ht="24" thickBot="1" x14ac:dyDescent="0.4">
      <c r="B4" s="212"/>
      <c r="C4" s="212"/>
      <c r="D4" s="214" t="s">
        <v>29</v>
      </c>
      <c r="E4" s="214"/>
      <c r="F4" s="214"/>
    </row>
    <row r="5" spans="2:8" ht="18.75" x14ac:dyDescent="0.3">
      <c r="B5" s="215" t="s">
        <v>13</v>
      </c>
      <c r="C5" s="216"/>
      <c r="D5" s="216"/>
      <c r="E5" s="216"/>
      <c r="F5" s="216"/>
      <c r="G5" s="217"/>
    </row>
    <row r="6" spans="2:8" ht="19.5" thickBot="1" x14ac:dyDescent="0.35">
      <c r="B6" s="207" t="s">
        <v>20</v>
      </c>
      <c r="C6" s="208"/>
      <c r="D6" s="208"/>
      <c r="E6" s="208"/>
      <c r="F6" s="208"/>
      <c r="G6" s="209"/>
    </row>
    <row r="7" spans="2:8" x14ac:dyDescent="0.25">
      <c r="C7" s="18"/>
      <c r="D7" s="18"/>
      <c r="E7" s="18"/>
      <c r="F7" s="18"/>
    </row>
    <row r="8" spans="2:8" ht="15.75" x14ac:dyDescent="0.25">
      <c r="B8" s="19" t="s">
        <v>14</v>
      </c>
      <c r="C8" s="210">
        <v>250</v>
      </c>
      <c r="D8" s="210"/>
      <c r="E8" s="131" t="s">
        <v>18</v>
      </c>
      <c r="F8" s="21" t="s">
        <v>91</v>
      </c>
      <c r="G8" s="22"/>
    </row>
    <row r="9" spans="2:8" ht="15.75" x14ac:dyDescent="0.25">
      <c r="B9" s="19" t="s">
        <v>15</v>
      </c>
      <c r="C9" s="211"/>
      <c r="D9" s="211"/>
      <c r="E9" s="131" t="s">
        <v>19</v>
      </c>
      <c r="F9" s="21"/>
      <c r="G9" s="22"/>
    </row>
    <row r="10" spans="2:8" ht="15.75" x14ac:dyDescent="0.25">
      <c r="B10" s="19" t="s">
        <v>16</v>
      </c>
      <c r="C10" s="211"/>
      <c r="D10" s="211"/>
      <c r="E10" s="131"/>
      <c r="F10" s="131"/>
      <c r="G10" s="22"/>
    </row>
    <row r="11" spans="2:8" ht="15.75" x14ac:dyDescent="0.25">
      <c r="B11" s="19" t="s">
        <v>17</v>
      </c>
      <c r="C11" s="211"/>
      <c r="D11" s="211"/>
      <c r="E11" s="131"/>
      <c r="F11" s="131"/>
      <c r="G11" s="22"/>
    </row>
    <row r="12" spans="2:8" ht="15.75" thickBot="1" x14ac:dyDescent="0.3">
      <c r="C12" s="18"/>
      <c r="D12" s="18"/>
      <c r="E12" s="18"/>
      <c r="F12" s="18"/>
    </row>
    <row r="13" spans="2:8" ht="18" x14ac:dyDescent="0.25">
      <c r="B13" s="195" t="s">
        <v>142</v>
      </c>
      <c r="C13" s="196"/>
      <c r="D13" s="196"/>
      <c r="E13" s="196"/>
      <c r="F13" s="197">
        <f>E33</f>
        <v>18321.25</v>
      </c>
      <c r="G13" s="198"/>
    </row>
    <row r="14" spans="2:8" x14ac:dyDescent="0.25">
      <c r="B14" s="199">
        <f>'.'!C58</f>
        <v>0</v>
      </c>
      <c r="C14" s="200"/>
      <c r="D14" s="200"/>
      <c r="E14" s="200"/>
      <c r="F14" s="200"/>
      <c r="G14" s="201"/>
    </row>
    <row r="15" spans="2:8" x14ac:dyDescent="0.25">
      <c r="B15" s="199"/>
      <c r="C15" s="200"/>
      <c r="D15" s="200"/>
      <c r="E15" s="200"/>
      <c r="F15" s="200"/>
      <c r="G15" s="201"/>
    </row>
    <row r="16" spans="2:8" ht="18.75" x14ac:dyDescent="0.25">
      <c r="B16" s="202" t="s">
        <v>30</v>
      </c>
      <c r="C16" s="203"/>
      <c r="D16" s="203"/>
      <c r="E16" s="203"/>
      <c r="F16" s="203"/>
      <c r="G16" s="204"/>
    </row>
    <row r="17" spans="2:7" ht="38.25" thickBot="1" x14ac:dyDescent="0.3">
      <c r="B17" s="108" t="s">
        <v>31</v>
      </c>
      <c r="C17" s="109" t="s">
        <v>35</v>
      </c>
      <c r="D17" s="205" t="s">
        <v>36</v>
      </c>
      <c r="E17" s="205"/>
      <c r="F17" s="205"/>
      <c r="G17" s="206"/>
    </row>
    <row r="18" spans="2:7" ht="16.5" thickBot="1" x14ac:dyDescent="0.3">
      <c r="B18" s="23"/>
      <c r="C18" s="182" t="s">
        <v>8</v>
      </c>
      <c r="D18" s="183"/>
      <c r="E18" s="185">
        <v>5000</v>
      </c>
      <c r="F18" s="186"/>
      <c r="G18" s="24"/>
    </row>
    <row r="19" spans="2:7" ht="16.5" thickBot="1" x14ac:dyDescent="0.3">
      <c r="B19" s="23"/>
      <c r="C19" s="182" t="s">
        <v>0</v>
      </c>
      <c r="D19" s="183"/>
      <c r="E19" s="185">
        <v>5000</v>
      </c>
      <c r="F19" s="186"/>
      <c r="G19" s="24"/>
    </row>
    <row r="20" spans="2:7" ht="16.5" thickBot="1" x14ac:dyDescent="0.3">
      <c r="B20" s="23"/>
      <c r="C20" s="182" t="s">
        <v>3</v>
      </c>
      <c r="D20" s="183"/>
      <c r="E20" s="185">
        <v>10000</v>
      </c>
      <c r="F20" s="186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82" t="s">
        <v>4</v>
      </c>
      <c r="D22" s="183"/>
      <c r="E22" s="185">
        <f>E18+E19+E20</f>
        <v>20000</v>
      </c>
      <c r="F22" s="186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82" t="s">
        <v>5</v>
      </c>
      <c r="D24" s="183"/>
      <c r="E24" s="185">
        <v>1500</v>
      </c>
      <c r="F24" s="186"/>
      <c r="G24" s="24"/>
    </row>
    <row r="25" spans="2:7" ht="16.5" thickBot="1" x14ac:dyDescent="0.3">
      <c r="B25" s="23"/>
      <c r="C25" s="191" t="s">
        <v>6</v>
      </c>
      <c r="D25" s="192"/>
      <c r="E25" s="193">
        <v>25</v>
      </c>
      <c r="F25" s="194"/>
      <c r="G25" s="24"/>
    </row>
    <row r="26" spans="2:7" ht="16.5" thickBot="1" x14ac:dyDescent="0.3">
      <c r="B26" s="23"/>
      <c r="C26" s="182" t="s">
        <v>37</v>
      </c>
      <c r="D26" s="183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182" t="s">
        <v>4</v>
      </c>
      <c r="D28" s="184"/>
      <c r="E28" s="185">
        <v>0</v>
      </c>
      <c r="F28" s="186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185">
        <v>2500</v>
      </c>
      <c r="F30" s="186"/>
      <c r="G30" s="24"/>
    </row>
    <row r="31" spans="2:7" ht="16.5" thickBot="1" x14ac:dyDescent="0.3">
      <c r="B31" s="23"/>
      <c r="C31" s="187" t="s">
        <v>141</v>
      </c>
      <c r="D31" s="188"/>
      <c r="E31" s="189">
        <v>200</v>
      </c>
      <c r="F31" s="190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8" ht="16.5" thickBot="1" x14ac:dyDescent="0.3">
      <c r="A34" s="1"/>
      <c r="B34" s="23"/>
      <c r="C34" s="33"/>
      <c r="D34" s="34"/>
      <c r="E34" s="178"/>
      <c r="F34" s="179"/>
      <c r="G34" s="24"/>
      <c r="H34" s="1"/>
    </row>
    <row r="35" spans="1:8" ht="15.75" x14ac:dyDescent="0.25">
      <c r="A35" s="1"/>
      <c r="B35" s="23"/>
      <c r="C35" s="25"/>
      <c r="D35" s="172"/>
      <c r="E35" s="172"/>
      <c r="F35" s="172"/>
      <c r="G35" s="166"/>
      <c r="H35" s="1"/>
    </row>
    <row r="36" spans="1:8" ht="15.75" x14ac:dyDescent="0.25">
      <c r="A36" s="1"/>
      <c r="B36" s="180" t="s">
        <v>10</v>
      </c>
      <c r="C36" s="181"/>
      <c r="D36" s="172"/>
      <c r="E36" s="172"/>
      <c r="F36" s="172"/>
      <c r="G36" s="166"/>
      <c r="H36" s="1"/>
    </row>
    <row r="37" spans="1:8" ht="15.75" x14ac:dyDescent="0.25">
      <c r="A37" s="1"/>
      <c r="B37" s="23"/>
      <c r="C37" s="25"/>
      <c r="D37" s="172"/>
      <c r="E37" s="172"/>
      <c r="F37" s="172"/>
      <c r="G37" s="166"/>
      <c r="H37" s="1"/>
    </row>
    <row r="38" spans="1:8" ht="15.75" x14ac:dyDescent="0.25">
      <c r="A38" s="1"/>
      <c r="B38" s="23"/>
      <c r="C38" s="25"/>
      <c r="D38" s="172"/>
      <c r="E38" s="172"/>
      <c r="F38" s="172"/>
      <c r="G38" s="166"/>
      <c r="H38" s="1"/>
    </row>
    <row r="39" spans="1:8" ht="16.5" thickBot="1" x14ac:dyDescent="0.3">
      <c r="A39" s="1"/>
      <c r="B39" s="41"/>
      <c r="C39" s="35"/>
      <c r="D39" s="173"/>
      <c r="E39" s="173"/>
      <c r="F39" s="173"/>
      <c r="G39" s="168"/>
      <c r="H39" s="1"/>
    </row>
    <row r="40" spans="1:8" ht="16.5" thickBot="1" x14ac:dyDescent="0.3">
      <c r="B40" s="22"/>
      <c r="C40" s="131"/>
      <c r="D40" s="35"/>
      <c r="E40" s="35"/>
      <c r="F40" s="35"/>
      <c r="G40" s="36"/>
      <c r="H40" s="1"/>
    </row>
    <row r="41" spans="1:8" ht="16.5" thickBot="1" x14ac:dyDescent="0.3">
      <c r="B41" s="174" t="s">
        <v>21</v>
      </c>
      <c r="C41" s="175"/>
      <c r="D41" s="112" t="s">
        <v>22</v>
      </c>
      <c r="E41" s="112" t="s">
        <v>23</v>
      </c>
      <c r="F41" s="174" t="s">
        <v>24</v>
      </c>
      <c r="G41" s="175"/>
    </row>
    <row r="42" spans="1:8" x14ac:dyDescent="0.25">
      <c r="B42" s="163"/>
      <c r="C42" s="164"/>
      <c r="D42" s="169"/>
      <c r="E42" s="169"/>
      <c r="F42" s="163"/>
      <c r="G42" s="164"/>
    </row>
    <row r="43" spans="1:8" x14ac:dyDescent="0.25">
      <c r="B43" s="165"/>
      <c r="C43" s="166"/>
      <c r="D43" s="170"/>
      <c r="E43" s="170"/>
      <c r="F43" s="165"/>
      <c r="G43" s="166"/>
    </row>
    <row r="44" spans="1:8" x14ac:dyDescent="0.25">
      <c r="B44" s="165"/>
      <c r="C44" s="166"/>
      <c r="D44" s="170"/>
      <c r="E44" s="170"/>
      <c r="F44" s="165"/>
      <c r="G44" s="166"/>
    </row>
    <row r="45" spans="1:8" x14ac:dyDescent="0.25">
      <c r="B45" s="165"/>
      <c r="C45" s="166"/>
      <c r="D45" s="170"/>
      <c r="E45" s="170"/>
      <c r="F45" s="165"/>
      <c r="G45" s="166"/>
    </row>
    <row r="46" spans="1:8" ht="15.75" thickBot="1" x14ac:dyDescent="0.3">
      <c r="B46" s="167"/>
      <c r="C46" s="168"/>
      <c r="D46" s="171"/>
      <c r="E46" s="171"/>
      <c r="F46" s="167"/>
      <c r="G46" s="168"/>
    </row>
    <row r="47" spans="1:8" ht="16.5" thickBot="1" x14ac:dyDescent="0.3">
      <c r="B47" s="161" t="s">
        <v>28</v>
      </c>
      <c r="C47" s="162"/>
      <c r="D47" s="113" t="s">
        <v>25</v>
      </c>
      <c r="E47" s="37" t="s">
        <v>26</v>
      </c>
      <c r="F47" s="161" t="s">
        <v>27</v>
      </c>
      <c r="G47" s="162"/>
    </row>
    <row r="48" spans="1:8" x14ac:dyDescent="0.25">
      <c r="B48" s="163"/>
      <c r="C48" s="164"/>
      <c r="D48" s="169"/>
      <c r="E48" s="169"/>
      <c r="F48" s="163"/>
      <c r="G48" s="164"/>
    </row>
    <row r="49" spans="1:8" x14ac:dyDescent="0.25">
      <c r="B49" s="165"/>
      <c r="C49" s="166"/>
      <c r="D49" s="170"/>
      <c r="E49" s="170"/>
      <c r="F49" s="165"/>
      <c r="G49" s="166"/>
    </row>
    <row r="50" spans="1:8" x14ac:dyDescent="0.25">
      <c r="B50" s="165"/>
      <c r="C50" s="166"/>
      <c r="D50" s="170"/>
      <c r="E50" s="170"/>
      <c r="F50" s="165"/>
      <c r="G50" s="166"/>
    </row>
    <row r="51" spans="1:8" x14ac:dyDescent="0.25">
      <c r="B51" s="165"/>
      <c r="C51" s="166"/>
      <c r="D51" s="170"/>
      <c r="E51" s="170"/>
      <c r="F51" s="165"/>
      <c r="G51" s="166"/>
    </row>
    <row r="52" spans="1:8" x14ac:dyDescent="0.25">
      <c r="B52" s="165"/>
      <c r="C52" s="166"/>
      <c r="D52" s="170"/>
      <c r="E52" s="170"/>
      <c r="F52" s="165"/>
      <c r="G52" s="166"/>
    </row>
    <row r="53" spans="1:8" ht="15.75" thickBot="1" x14ac:dyDescent="0.3">
      <c r="A53" s="17">
        <v>11</v>
      </c>
      <c r="B53" s="167"/>
      <c r="C53" s="168"/>
      <c r="D53" s="171"/>
      <c r="E53" s="171"/>
      <c r="F53" s="167"/>
      <c r="G53" s="168"/>
      <c r="H53" s="3"/>
    </row>
  </sheetData>
  <mergeCells count="52">
    <mergeCell ref="F41:G41"/>
    <mergeCell ref="B42:C46"/>
    <mergeCell ref="D42:D46"/>
    <mergeCell ref="E42:E46"/>
    <mergeCell ref="F42:G46"/>
    <mergeCell ref="E31:F31"/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E33:F34"/>
    <mergeCell ref="D35:G35"/>
    <mergeCell ref="B36:C36"/>
    <mergeCell ref="D36:G36"/>
    <mergeCell ref="D37:G37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C22:D22"/>
    <mergeCell ref="E22:F22"/>
    <mergeCell ref="C24:D24"/>
    <mergeCell ref="E24:F24"/>
    <mergeCell ref="C25:D25"/>
    <mergeCell ref="E25:F25"/>
    <mergeCell ref="B14:G15"/>
    <mergeCell ref="B16:G16"/>
    <mergeCell ref="D17:G17"/>
    <mergeCell ref="B6:G6"/>
    <mergeCell ref="C8:D8"/>
    <mergeCell ref="C9:D9"/>
    <mergeCell ref="C10:D10"/>
    <mergeCell ref="C11:D11"/>
    <mergeCell ref="B1:C4"/>
    <mergeCell ref="D2:E2"/>
    <mergeCell ref="D3:E3"/>
    <mergeCell ref="D4:F4"/>
    <mergeCell ref="B5:G5"/>
    <mergeCell ref="B13:E13"/>
    <mergeCell ref="F13:G13"/>
  </mergeCells>
  <conditionalFormatting sqref="F8">
    <cfRule type="expression" dxfId="0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' perte par'!$F$9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' perte par'!$F$8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.</vt:lpstr>
      <vt:lpstr>Base</vt:lpstr>
      <vt:lpstr> perte par</vt:lpstr>
      <vt:lpstr>perte total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' perte par'!Zone_d_impression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2019-10-06T12:51:57Z</cp:lastPrinted>
  <dcterms:created xsi:type="dcterms:W3CDTF">2018-11-07T08:15:07Z</dcterms:created>
  <dcterms:modified xsi:type="dcterms:W3CDTF">2019-10-30T18:15:56Z</dcterms:modified>
</cp:coreProperties>
</file>