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460" windowHeight="6990" activeTab="2"/>
  </bookViews>
  <sheets>
    <sheet name="." sheetId="5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Base!$M$14:$M$20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Modèle!$B$1:$G$53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3" i="1"/>
  <c r="E72"/>
  <c r="E71"/>
  <c r="B67"/>
  <c r="F66"/>
  <c r="G54"/>
  <c r="E75" l="1"/>
  <c r="F13"/>
  <c r="B5" i="5" s="1"/>
  <c r="F18" i="2"/>
  <c r="F25" s="1"/>
  <c r="G22" l="1"/>
  <c r="D24"/>
  <c r="G21" l="1"/>
  <c r="F14"/>
  <c r="G17" l="1"/>
  <c r="G16"/>
  <c r="E16"/>
  <c r="D23" l="1"/>
  <c r="E20" l="1"/>
  <c r="G9" l="1"/>
  <c r="E22" i="1" l="1"/>
  <c r="G19" i="2" l="1"/>
  <c r="I23"/>
  <c r="H23"/>
  <c r="G14"/>
  <c r="F13"/>
  <c r="G13" s="1"/>
  <c r="G12"/>
  <c r="G11"/>
  <c r="G10"/>
  <c r="G8"/>
  <c r="A3" i="8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"/>
  <c r="O23" i="2" l="1"/>
  <c r="G18"/>
  <c r="P23" s="1"/>
  <c r="C3" i="6"/>
  <c r="F5" s="1" a="1"/>
  <c r="F5" s="1"/>
  <c r="C2"/>
  <c r="E2" s="1"/>
  <c r="P24" i="2" l="1"/>
  <c r="P21"/>
  <c r="O24"/>
  <c r="O21"/>
  <c r="P22"/>
  <c r="O22"/>
  <c r="S23"/>
  <c r="F259" i="6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G25" i="2" l="1"/>
  <c r="P28" s="1"/>
  <c r="G1" i="1"/>
  <c r="D5" i="5" l="1"/>
  <c r="E5" s="1"/>
  <c r="F5" l="1"/>
  <c r="G5" s="1"/>
  <c r="P5"/>
  <c r="J5" s="1"/>
  <c r="AG5"/>
  <c r="M5"/>
  <c r="H5" s="1"/>
  <c r="AB5"/>
  <c r="Q5" l="1"/>
  <c r="R5" s="1"/>
  <c r="V5"/>
  <c r="L5"/>
  <c r="AM5"/>
  <c r="S5"/>
  <c r="AQ5"/>
  <c r="AP5"/>
  <c r="X5"/>
  <c r="Y5"/>
  <c r="AR5"/>
  <c r="AV5"/>
  <c r="AD5" s="1"/>
  <c r="AU5"/>
  <c r="AC5" s="1"/>
  <c r="N5"/>
  <c r="O5" s="1"/>
  <c r="AY5" l="1"/>
  <c r="AH5" s="1"/>
  <c r="CE5"/>
  <c r="BX5" s="1"/>
  <c r="BP5" s="1"/>
  <c r="BH5" s="1"/>
  <c r="AX5" s="1"/>
  <c r="AF5" s="1"/>
  <c r="CQ5"/>
  <c r="CM5" s="1"/>
  <c r="CI5" s="1"/>
  <c r="CD5" s="1"/>
  <c r="CS5"/>
  <c r="CO5" s="1"/>
  <c r="CK5" s="1"/>
  <c r="CG5" s="1"/>
  <c r="CA5" s="1"/>
  <c r="BS5" s="1"/>
  <c r="BK5" s="1"/>
  <c r="BC5" s="1"/>
  <c r="K5"/>
  <c r="AZ5" s="1"/>
  <c r="AI5" s="1"/>
  <c r="T5"/>
  <c r="W5"/>
  <c r="CB5" s="1"/>
  <c r="BN5"/>
  <c r="BF5" s="1"/>
  <c r="AT5" s="1"/>
  <c r="AA5" s="1"/>
  <c r="BV5"/>
  <c r="CP5"/>
  <c r="CL5" s="1"/>
  <c r="CH5" s="1"/>
  <c r="CC5" s="1"/>
  <c r="BU5" s="1"/>
  <c r="BM5" s="1"/>
  <c r="BE5" s="1"/>
  <c r="AS5" s="1"/>
  <c r="E21" i="8"/>
  <c r="G3"/>
  <c r="I32"/>
  <c r="D30"/>
  <c r="H37"/>
  <c r="C36"/>
  <c r="D5"/>
  <c r="C11"/>
  <c r="D10"/>
  <c r="B23"/>
  <c r="C9"/>
  <c r="F9"/>
  <c r="C35"/>
  <c r="B21"/>
  <c r="F22"/>
  <c r="C6"/>
  <c r="G18"/>
  <c r="C37"/>
  <c r="I28"/>
  <c r="E2"/>
  <c r="E32"/>
  <c r="E11"/>
  <c r="H23"/>
  <c r="D28"/>
  <c r="G10"/>
  <c r="E35"/>
  <c r="H12"/>
  <c r="E4"/>
  <c r="E27"/>
  <c r="G16"/>
  <c r="I27"/>
  <c r="E24"/>
  <c r="C25"/>
  <c r="B16"/>
  <c r="G7"/>
  <c r="F21"/>
  <c r="I11"/>
  <c r="I7"/>
  <c r="C15"/>
  <c r="H19"/>
  <c r="I24"/>
  <c r="F14"/>
  <c r="H11"/>
  <c r="F6"/>
  <c r="I14"/>
  <c r="B2"/>
  <c r="D8"/>
  <c r="C33"/>
  <c r="I29"/>
  <c r="F26"/>
  <c r="D9"/>
  <c r="H30"/>
  <c r="G21"/>
  <c r="D32"/>
  <c r="C26"/>
  <c r="H31"/>
  <c r="G9"/>
  <c r="F7"/>
  <c r="C8"/>
  <c r="C27"/>
  <c r="E9"/>
  <c r="I15"/>
  <c r="F24"/>
  <c r="E8"/>
  <c r="G19"/>
  <c r="F3"/>
  <c r="F34"/>
  <c r="F32"/>
  <c r="B4"/>
  <c r="C19"/>
  <c r="F20"/>
  <c r="I3"/>
  <c r="I12"/>
  <c r="C21"/>
  <c r="H36"/>
  <c r="E19"/>
  <c r="H13"/>
  <c r="B37"/>
  <c r="E17"/>
  <c r="B24"/>
  <c r="E22"/>
  <c r="E10"/>
  <c r="G33"/>
  <c r="E31"/>
  <c r="E37"/>
  <c r="D36"/>
  <c r="I17"/>
  <c r="H16"/>
  <c r="B6"/>
  <c r="F36"/>
  <c r="G6"/>
  <c r="B20"/>
  <c r="D14"/>
  <c r="G20"/>
  <c r="D29"/>
  <c r="B34"/>
  <c r="H6"/>
  <c r="H15"/>
  <c r="G28"/>
  <c r="F5"/>
  <c r="H25"/>
  <c r="F29"/>
  <c r="E15"/>
  <c r="F2"/>
  <c r="I18"/>
  <c r="C5"/>
  <c r="H2"/>
  <c r="C20"/>
  <c r="I4"/>
  <c r="D6"/>
  <c r="G30"/>
  <c r="B19"/>
  <c r="I31"/>
  <c r="C18"/>
  <c r="D22"/>
  <c r="H7"/>
  <c r="D27"/>
  <c r="C24"/>
  <c r="F19"/>
  <c r="H8"/>
  <c r="B14"/>
  <c r="E18"/>
  <c r="G14"/>
  <c r="C34"/>
  <c r="G31"/>
  <c r="C32"/>
  <c r="I13"/>
  <c r="B17"/>
  <c r="H32"/>
  <c r="F33"/>
  <c r="H9"/>
  <c r="G26"/>
  <c r="D7"/>
  <c r="F23"/>
  <c r="C4"/>
  <c r="G36"/>
  <c r="H18"/>
  <c r="E6"/>
  <c r="I30"/>
  <c r="F8"/>
  <c r="E7"/>
  <c r="C7"/>
  <c r="I9"/>
  <c r="I5"/>
  <c r="G34"/>
  <c r="G25"/>
  <c r="I6"/>
  <c r="B33"/>
  <c r="D35"/>
  <c r="G23"/>
  <c r="G8"/>
  <c r="B27"/>
  <c r="F17"/>
  <c r="G13"/>
  <c r="I22"/>
  <c r="E34"/>
  <c r="E36"/>
  <c r="I19"/>
  <c r="I10"/>
  <c r="H4"/>
  <c r="B8"/>
  <c r="I26"/>
  <c r="I8"/>
  <c r="F27"/>
  <c r="B10"/>
  <c r="F11"/>
  <c r="G32"/>
  <c r="E12"/>
  <c r="B30"/>
  <c r="G4"/>
  <c r="C3"/>
  <c r="D11"/>
  <c r="D33"/>
  <c r="F15"/>
  <c r="H33"/>
  <c r="D26"/>
  <c r="C10"/>
  <c r="B15"/>
  <c r="H5"/>
  <c r="B11"/>
  <c r="C12"/>
  <c r="C29"/>
  <c r="I36"/>
  <c r="E5"/>
  <c r="B3"/>
  <c r="F37"/>
  <c r="E20"/>
  <c r="C2"/>
  <c r="H34"/>
  <c r="I33"/>
  <c r="I16"/>
  <c r="F18"/>
  <c r="C31"/>
  <c r="G22"/>
  <c r="B36"/>
  <c r="D37"/>
  <c r="H10"/>
  <c r="D2"/>
  <c r="D16"/>
  <c r="G15"/>
  <c r="D15"/>
  <c r="H27"/>
  <c r="C13"/>
  <c r="D25"/>
  <c r="B32"/>
  <c r="H35"/>
  <c r="B5"/>
  <c r="F30"/>
  <c r="E16"/>
  <c r="H26"/>
  <c r="E33"/>
  <c r="D23"/>
  <c r="C17"/>
  <c r="F10"/>
  <c r="F35"/>
  <c r="F16"/>
  <c r="G37"/>
  <c r="B18"/>
  <c r="I25"/>
  <c r="D17"/>
  <c r="B22"/>
  <c r="B26"/>
  <c r="G12"/>
  <c r="B7"/>
  <c r="H21"/>
  <c r="F28"/>
  <c r="H20"/>
  <c r="G27"/>
  <c r="E30"/>
  <c r="H14"/>
  <c r="D19"/>
  <c r="I34"/>
  <c r="C16"/>
  <c r="E28"/>
  <c r="G35"/>
  <c r="F25"/>
  <c r="G29"/>
  <c r="H22"/>
  <c r="E13"/>
  <c r="F31"/>
  <c r="D13"/>
  <c r="C22"/>
  <c r="G17"/>
  <c r="F13"/>
  <c r="E26"/>
  <c r="I35"/>
  <c r="H29"/>
  <c r="B28"/>
  <c r="D3"/>
  <c r="B35"/>
  <c r="D31"/>
  <c r="B25"/>
  <c r="I23"/>
  <c r="G2"/>
  <c r="B13"/>
  <c r="D24"/>
  <c r="E23"/>
  <c r="D34"/>
  <c r="B9"/>
  <c r="H17"/>
  <c r="B31"/>
  <c r="D12"/>
  <c r="F12"/>
  <c r="G5"/>
  <c r="C28"/>
  <c r="D20"/>
  <c r="G24"/>
  <c r="D4"/>
  <c r="H28"/>
  <c r="H24"/>
  <c r="D21"/>
  <c r="D18"/>
  <c r="C14"/>
  <c r="E25"/>
  <c r="I20"/>
  <c r="C30"/>
  <c r="I2"/>
  <c r="E3"/>
  <c r="I37"/>
  <c r="B29"/>
  <c r="E14"/>
  <c r="G11"/>
  <c r="B12"/>
  <c r="I21"/>
  <c r="E29"/>
  <c r="H3"/>
  <c r="C23"/>
  <c r="F4"/>
  <c r="BW5" i="5" l="1"/>
  <c r="BO5" s="1"/>
  <c r="BG5" s="1"/>
  <c r="AW5" s="1"/>
  <c r="Z5"/>
  <c r="AN5"/>
  <c r="CR5"/>
  <c r="CN5" s="1"/>
  <c r="U5"/>
  <c r="BZ5" s="1"/>
  <c r="BT5"/>
  <c r="BL5" s="1"/>
  <c r="BD5" s="1"/>
  <c r="AO5" s="1"/>
  <c r="AE5" l="1"/>
  <c r="CJ5"/>
  <c r="CF5" s="1"/>
  <c r="BY5" s="1"/>
  <c r="BQ5" s="1"/>
  <c r="BI5" s="1"/>
  <c r="BA5" s="1"/>
  <c r="AJ5" s="1"/>
  <c r="BR5"/>
  <c r="BJ5" s="1"/>
  <c r="BB5" s="1"/>
  <c r="AK5" s="1"/>
  <c r="CU5" l="1"/>
  <c r="C5" s="1"/>
  <c r="B14" i="1" l="1"/>
  <c r="F20" i="2" l="1"/>
  <c r="O26" s="1"/>
  <c r="O25" l="1"/>
  <c r="F23" s="1"/>
  <c r="O20" s="1"/>
  <c r="G20" l="1"/>
  <c r="P25" s="1"/>
  <c r="G23" s="1"/>
  <c r="P20" s="1"/>
  <c r="P26" l="1"/>
  <c r="G24"/>
  <c r="P27" s="1"/>
  <c r="O28"/>
  <c r="F24" s="1"/>
  <c r="O27" s="1"/>
</calcChain>
</file>

<file path=xl/sharedStrings.xml><?xml version="1.0" encoding="utf-8"?>
<sst xmlns="http://schemas.openxmlformats.org/spreadsheetml/2006/main" count="555" uniqueCount="178">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</sst>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206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43" fontId="10" fillId="11" borderId="1" xfId="0" applyNumberFormat="1" applyFont="1" applyFill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  <protection locked="0"/>
    </xf>
    <xf numFmtId="43" fontId="23" fillId="12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43" fontId="24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5" fillId="13" borderId="1" xfId="0" applyNumberFormat="1" applyFont="1" applyFill="1" applyBorder="1" applyAlignment="1" applyProtection="1">
      <alignment horizontal="center" vertical="center"/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5" fillId="12" borderId="18" xfId="0" applyNumberFormat="1" applyFont="1" applyFill="1" applyBorder="1" applyAlignment="1" applyProtection="1">
      <alignment horizontal="center" vertical="center"/>
      <protection locked="0"/>
    </xf>
    <xf numFmtId="43" fontId="25" fillId="12" borderId="28" xfId="0" applyNumberFormat="1" applyFont="1" applyFill="1" applyBorder="1" applyAlignment="1" applyProtection="1">
      <alignment horizontal="center" vertical="center"/>
      <protection locked="0"/>
    </xf>
    <xf numFmtId="0" fontId="22" fillId="3" borderId="29" xfId="0" applyFont="1" applyFill="1" applyBorder="1" applyAlignment="1">
      <alignment vertical="center"/>
    </xf>
    <xf numFmtId="9" fontId="19" fillId="14" borderId="1" xfId="3" applyFont="1" applyFill="1" applyBorder="1" applyAlignment="1">
      <alignment horizontal="center" vertical="center"/>
    </xf>
    <xf numFmtId="43" fontId="24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3" fillId="0" borderId="29" xfId="0" applyFont="1" applyBorder="1" applyAlignment="1">
      <alignment vertical="center"/>
    </xf>
    <xf numFmtId="0" fontId="13" fillId="9" borderId="29" xfId="0" applyFont="1" applyFill="1" applyBorder="1" applyAlignment="1">
      <alignment vertical="center"/>
    </xf>
    <xf numFmtId="0" fontId="13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43" fontId="3" fillId="0" borderId="29" xfId="0" applyNumberFormat="1" applyFont="1" applyBorder="1" applyAlignment="1">
      <alignment horizontal="center" vertical="center"/>
    </xf>
    <xf numFmtId="43" fontId="3" fillId="0" borderId="30" xfId="0" applyNumberFormat="1" applyFont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5" fillId="13" borderId="18" xfId="0" applyNumberFormat="1" applyFont="1" applyFill="1" applyBorder="1" applyAlignment="1">
      <alignment horizontal="center" vertical="center"/>
    </xf>
    <xf numFmtId="43" fontId="25" fillId="13" borderId="1" xfId="0" applyNumberFormat="1" applyFont="1" applyFill="1" applyBorder="1" applyAlignment="1">
      <alignment horizontal="center" vertical="center"/>
    </xf>
    <xf numFmtId="0" fontId="20" fillId="0" borderId="21" xfId="0" applyFont="1" applyBorder="1" applyProtection="1">
      <protection locked="0"/>
    </xf>
    <xf numFmtId="9" fontId="19" fillId="0" borderId="18" xfId="3" applyFont="1" applyBorder="1" applyAlignment="1" applyProtection="1">
      <alignment horizontal="center" vertical="center"/>
      <protection locked="0"/>
    </xf>
    <xf numFmtId="43" fontId="10" fillId="11" borderId="17" xfId="0" applyNumberFormat="1" applyFont="1" applyFill="1" applyBorder="1" applyAlignment="1" applyProtection="1">
      <alignment horizontal="center" vertical="center"/>
      <protection locked="0"/>
    </xf>
    <xf numFmtId="43" fontId="21" fillId="11" borderId="2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9" fillId="0" borderId="0" xfId="0" applyFont="1" applyAlignment="1"/>
    <xf numFmtId="0" fontId="13" fillId="0" borderId="5" xfId="0" applyFont="1" applyBorder="1" applyAlignment="1"/>
    <xf numFmtId="0" fontId="13" fillId="0" borderId="7" xfId="0" applyFont="1" applyBorder="1" applyAlignment="1"/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43" fontId="19" fillId="0" borderId="18" xfId="1" applyFont="1" applyFill="1" applyBorder="1" applyAlignment="1">
      <alignment horizontal="center" vertical="center"/>
    </xf>
    <xf numFmtId="43" fontId="19" fillId="0" borderId="27" xfId="1" applyFont="1" applyFill="1" applyBorder="1" applyAlignment="1">
      <alignment horizontal="center" vertical="center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0" fontId="13" fillId="0" borderId="5" xfId="0" applyFont="1" applyBorder="1" applyAlignment="1"/>
    <xf numFmtId="0" fontId="13" fillId="0" borderId="7" xfId="0" applyFont="1" applyBorder="1" applyAlignment="1"/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4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font>
        <color rgb="FF00B0F0"/>
      </font>
    </dxf>
    <dxf>
      <font>
        <color rgb="FF00B0F0"/>
      </font>
    </dxf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PropertyBag">
  <ax:ocxPr ax:name="BackColor" ax:value="255"/>
  <ax:ocxPr ax:name="ForeColor" ax:value="0"/>
  <ax:ocxPr ax:name="DisplayStyle" ax:value="6"/>
  <ax:ocxPr ax:name="Size" ax:value="2223;1111"/>
  <ax:ocxPr ax:name="Value" ax:value="0"/>
  <ax:ocxPr ax:name="Caption" ax:value="HT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38015"/>
  <ax:ocxPr ax:name="Caption" ax:value="Impression"/>
  <ax:ocxPr ax:name="Size" ax:value="6535;873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47626</xdr:colOff>
      <xdr:row>53</xdr:row>
      <xdr:rowOff>0</xdr:rowOff>
    </xdr:from>
    <xdr:to>
      <xdr:col>2</xdr:col>
      <xdr:colOff>473076</xdr:colOff>
      <xdr:row>56</xdr:row>
      <xdr:rowOff>190500</xdr:rowOff>
    </xdr:to>
    <xdr:pic>
      <xdr:nvPicPr>
        <xdr:cNvPr id="7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4" dataDxfId="3">
  <autoFilter ref="F1:F69"/>
  <tableColumns count="1">
    <tableColumn id="1" name="agence" dataDxfId="2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workbookViewId="0">
      <selection activeCell="C5" sqref="C5"/>
    </sheetView>
  </sheetViews>
  <sheetFormatPr baseColWidth="10" defaultRowHeight="12.75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>
      <c r="A5" s="6"/>
      <c r="B5" s="7">
        <f>Modèle!F13</f>
        <v>16073.981092436978</v>
      </c>
      <c r="C5" s="8" t="str">
        <f>UPPER(MID(CU5,1,1))&amp;MID(CU5,2,168)</f>
        <v>Seize mille soixante-treize Dinars et quatre-vingt-dix-huit  cents</v>
      </c>
      <c r="D5" s="8">
        <f>INT(B5/1000000)</f>
        <v>0</v>
      </c>
      <c r="E5" s="8">
        <f>INT((B5-D5*1000000)/1000)</f>
        <v>16</v>
      </c>
      <c r="F5" s="8">
        <f>INT(B5-D5*1000000-E5*1000)</f>
        <v>73</v>
      </c>
      <c r="G5" s="8">
        <f>ROUND(B5-D5*1000000-E5*1000-F5,2)*100</f>
        <v>98</v>
      </c>
      <c r="H5" s="8">
        <f>D5-M5*100</f>
        <v>0</v>
      </c>
      <c r="J5" s="8">
        <f>E5-P5*100</f>
        <v>16</v>
      </c>
      <c r="K5" s="8">
        <f>ROUND(F5-S5*100,0)</f>
        <v>73</v>
      </c>
      <c r="L5" s="8">
        <f>G5</f>
        <v>98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6</v>
      </c>
      <c r="S5" s="8">
        <f>INT(F5/100)</f>
        <v>0</v>
      </c>
      <c r="T5" s="8">
        <f>INT((F5-S5*100)/10)</f>
        <v>7</v>
      </c>
      <c r="U5" s="8">
        <f>F5-S5*100-T5*10</f>
        <v>3</v>
      </c>
      <c r="V5" s="8">
        <f>INT(G5/10)</f>
        <v>9</v>
      </c>
      <c r="W5" s="8">
        <f>ROUND(G5-V5*10,0)</f>
        <v>8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seize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/>
      </c>
      <c r="AI5" s="8" t="str">
        <f>IF(S5=0,"",IF(S5&lt;2,"cent ",AZ5))</f>
        <v/>
      </c>
      <c r="AJ5" s="8" t="str">
        <f>IF(T5=1,BA5,IF(T5=7,BQ5,IF(T5=9,CF5,CN5)))</f>
        <v xml:space="preserve">soixante-treize </v>
      </c>
      <c r="AK5" s="8" t="str">
        <f>IF(K5=11,"",IF(K5=12,"",IF(K5=13,"",IF(K5=14,"",IF(K5=15,"",IF(K5=16,"",BB5))))))</f>
        <v/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 xml:space="preserve">quatre-vingt-dix-huit </v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seize </v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soixante-treize </v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 xml:space="preserve">quatre-vingt-dix-huit </v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 xml:space="preserve">seize </v>
      </c>
      <c r="BH5" s="8" t="str">
        <f>IF(J5=17,"",IF(J5=18,"",IF(J5=19,"",BP5)))</f>
        <v xml:space="preserve">six </v>
      </c>
      <c r="BI5" s="8" t="str">
        <f>IF(K5=16,"seize ",IF(K5=17,"dix-sept ",IF(K5=18,"dix-huit ",IF(K5=19,"dix-neuf ",BQ5))))</f>
        <v xml:space="preserve">soixante-treize </v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 xml:space="preserve">quatre-vingt-dix-huit </v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six </v>
      </c>
      <c r="BQ5" s="8" t="str">
        <f>IF(K5=70,"soixante-dix ",IF(K5=71,"soixante et onze ",IF(K5=72,"soixante-douze ",IF(K5=73,"soixante-treize ",IF(K5=74,"soixante-quatorze ",IF(K5=75,"soixante-quinze ",BY5))))))</f>
        <v xml:space="preserve">soixante-treize </v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 xml:space="preserve">quatre-vingt-dix-huit </v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six </v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 xml:space="preserve">quatre-vingt-dix-huit </v>
      </c>
      <c r="CB5" s="8" t="str">
        <f>IF(V5=9,"",IF(W5=6,"six ",IF(W5=7,"sept ",IF(W5=8,"huit ",IF(W5=9,"neuf ",)))))</f>
        <v/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six 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 xml:space="preserve">quatre-vingt-dix-huit 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 xml:space="preserve">quatre-vingt-dix-huit 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>seize mille soixante-treize Dinars et quatre-vingt-dix-huit  cents</v>
      </c>
    </row>
    <row r="6" spans="1:99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C2:S28"/>
  <sheetViews>
    <sheetView topLeftCell="A5" workbookViewId="0">
      <selection activeCell="D15" sqref="D15"/>
    </sheetView>
  </sheetViews>
  <sheetFormatPr baseColWidth="10" defaultRowHeight="15"/>
  <cols>
    <col min="1" max="2" width="11.42578125" style="50"/>
    <col min="3" max="3" width="16" style="51" customWidth="1"/>
    <col min="4" max="4" width="27.28515625" style="50" bestFit="1" customWidth="1"/>
    <col min="5" max="5" width="10.71093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2" width="11.42578125" style="50"/>
    <col min="13" max="13" width="26.85546875" style="50" bestFit="1" customWidth="1"/>
    <col min="14" max="14" width="11.42578125" style="50"/>
    <col min="15" max="15" width="22.140625" style="50" customWidth="1"/>
    <col min="16" max="16" width="19" style="50" customWidth="1"/>
    <col min="17" max="18" width="11.42578125" style="50"/>
    <col min="19" max="19" width="11.85546875" style="50" bestFit="1" customWidth="1"/>
    <col min="20" max="16384" width="11.42578125" style="50"/>
  </cols>
  <sheetData>
    <row r="2" spans="3:10" ht="15.75" thickBot="1"/>
    <row r="3" spans="3:10">
      <c r="C3" s="130"/>
      <c r="D3" s="132"/>
      <c r="E3" s="133"/>
      <c r="F3" s="133"/>
      <c r="G3" s="133"/>
      <c r="H3" s="133"/>
      <c r="I3" s="134"/>
      <c r="J3" s="130" t="s">
        <v>147</v>
      </c>
    </row>
    <row r="4" spans="3:10">
      <c r="C4" s="131"/>
      <c r="D4" s="135"/>
      <c r="E4" s="136"/>
      <c r="F4" s="136"/>
      <c r="G4" s="136"/>
      <c r="H4" s="136"/>
      <c r="I4" s="137"/>
      <c r="J4" s="131"/>
    </row>
    <row r="5" spans="3:10">
      <c r="C5" s="131"/>
      <c r="D5" s="135"/>
      <c r="E5" s="136"/>
      <c r="F5" s="136"/>
      <c r="G5" s="136"/>
      <c r="H5" s="136"/>
      <c r="I5" s="137"/>
      <c r="J5" s="131"/>
    </row>
    <row r="6" spans="3:10" ht="15.75" thickBot="1">
      <c r="C6" s="131"/>
      <c r="D6" s="138"/>
      <c r="E6" s="139"/>
      <c r="F6" s="139"/>
      <c r="G6" s="139"/>
      <c r="H6" s="139"/>
      <c r="I6" s="140"/>
      <c r="J6" s="131"/>
    </row>
    <row r="7" spans="3:10" ht="15.75" thickBot="1">
      <c r="C7" s="131"/>
      <c r="D7" s="52"/>
      <c r="E7" s="53" t="s">
        <v>148</v>
      </c>
      <c r="F7" s="54" t="s">
        <v>149</v>
      </c>
      <c r="G7" s="54" t="s">
        <v>150</v>
      </c>
      <c r="H7" s="55" t="s">
        <v>151</v>
      </c>
      <c r="I7" s="56" t="s">
        <v>152</v>
      </c>
      <c r="J7" s="131"/>
    </row>
    <row r="8" spans="3:10" ht="15.75">
      <c r="C8" s="131"/>
      <c r="D8" s="57" t="s">
        <v>153</v>
      </c>
      <c r="E8" s="58"/>
      <c r="F8" s="59">
        <v>10000</v>
      </c>
      <c r="G8" s="59">
        <f>F8/1.19</f>
        <v>8403.361344537816</v>
      </c>
      <c r="H8" s="59"/>
      <c r="I8" s="60"/>
      <c r="J8" s="131"/>
    </row>
    <row r="9" spans="3:10" ht="15.75">
      <c r="C9" s="131"/>
      <c r="D9" s="61" t="s">
        <v>154</v>
      </c>
      <c r="E9" s="62">
        <v>84</v>
      </c>
      <c r="F9" s="59">
        <v>5000</v>
      </c>
      <c r="G9" s="59">
        <f>F9/1.19</f>
        <v>4201.680672268908</v>
      </c>
      <c r="H9" s="59"/>
      <c r="I9" s="60"/>
      <c r="J9" s="131"/>
    </row>
    <row r="10" spans="3:10" ht="15.75">
      <c r="C10" s="131"/>
      <c r="D10" s="61" t="s">
        <v>155</v>
      </c>
      <c r="E10" s="58"/>
      <c r="F10" s="59">
        <v>5000</v>
      </c>
      <c r="G10" s="59">
        <f>F10</f>
        <v>5000</v>
      </c>
      <c r="H10" s="59"/>
      <c r="I10" s="60"/>
      <c r="J10" s="131"/>
    </row>
    <row r="11" spans="3:10" ht="15.75">
      <c r="C11" s="131"/>
      <c r="D11" s="63" t="s">
        <v>156</v>
      </c>
      <c r="E11" s="64"/>
      <c r="F11" s="65">
        <v>500</v>
      </c>
      <c r="G11" s="65">
        <f>F11/1.19</f>
        <v>420.1680672268908</v>
      </c>
      <c r="H11" s="59"/>
      <c r="I11" s="60"/>
      <c r="J11" s="131"/>
    </row>
    <row r="12" spans="3:10" ht="15.75">
      <c r="C12" s="131"/>
      <c r="D12" s="63" t="s">
        <v>157</v>
      </c>
      <c r="E12" s="64"/>
      <c r="F12" s="65">
        <v>100</v>
      </c>
      <c r="G12" s="65">
        <f>F12/1.19</f>
        <v>84.033613445378151</v>
      </c>
      <c r="H12" s="59"/>
      <c r="I12" s="60"/>
      <c r="J12" s="131"/>
    </row>
    <row r="13" spans="3:10" ht="15.75">
      <c r="C13" s="131"/>
      <c r="D13" s="66" t="s">
        <v>158</v>
      </c>
      <c r="E13" s="67">
        <v>0.15</v>
      </c>
      <c r="F13" s="68">
        <f>F8*E13</f>
        <v>1500</v>
      </c>
      <c r="G13" s="68">
        <f>F13/1.19</f>
        <v>1260.5042016806724</v>
      </c>
      <c r="H13" s="59"/>
      <c r="I13" s="60"/>
      <c r="J13" s="131"/>
    </row>
    <row r="14" spans="3:10" ht="15.75">
      <c r="C14" s="131"/>
      <c r="D14" s="66" t="s">
        <v>159</v>
      </c>
      <c r="E14" s="67">
        <v>0.25</v>
      </c>
      <c r="F14" s="69">
        <f>F12*E14</f>
        <v>25</v>
      </c>
      <c r="G14" s="70">
        <f>F14/1.19</f>
        <v>21.008403361344538</v>
      </c>
      <c r="H14" s="59"/>
      <c r="I14" s="60"/>
      <c r="J14" s="131"/>
    </row>
    <row r="15" spans="3:10" ht="15.75">
      <c r="C15" s="131"/>
      <c r="D15" s="107" t="s">
        <v>177</v>
      </c>
      <c r="E15" s="108"/>
      <c r="F15" s="109">
        <v>0</v>
      </c>
      <c r="G15" s="110"/>
      <c r="H15" s="111"/>
      <c r="I15" s="60"/>
      <c r="J15" s="131"/>
    </row>
    <row r="16" spans="3:10" customFormat="1" ht="15.75">
      <c r="C16" s="131"/>
      <c r="D16" s="96" t="s">
        <v>175</v>
      </c>
      <c r="E16" s="147">
        <f>(F16*100/F17)-100</f>
        <v>-50</v>
      </c>
      <c r="F16" s="97">
        <v>10000</v>
      </c>
      <c r="G16" s="98">
        <f t="shared" ref="G16:G17" si="0">F16/1.19</f>
        <v>8403.361344537816</v>
      </c>
      <c r="H16" s="99"/>
      <c r="I16" s="100"/>
      <c r="J16" s="131"/>
    </row>
    <row r="17" spans="3:19" customFormat="1" ht="15.75">
      <c r="C17" s="131"/>
      <c r="D17" s="96" t="s">
        <v>176</v>
      </c>
      <c r="E17" s="148"/>
      <c r="F17" s="97">
        <v>20000</v>
      </c>
      <c r="G17" s="98">
        <f t="shared" si="0"/>
        <v>16806.722689075632</v>
      </c>
      <c r="H17" s="99"/>
      <c r="I17" s="100"/>
      <c r="J17" s="131"/>
    </row>
    <row r="18" spans="3:19" ht="18.75">
      <c r="C18" s="131"/>
      <c r="D18" s="141" t="s">
        <v>160</v>
      </c>
      <c r="E18" s="142"/>
      <c r="F18" s="71">
        <f>(F8+F9+F10+F12+F11)-(F13+F14-F15)</f>
        <v>19075</v>
      </c>
      <c r="G18" s="71">
        <f>(G8+G9+G10+G12+G11)-(G13+G14)</f>
        <v>16827.731092436978</v>
      </c>
      <c r="H18" s="59"/>
      <c r="I18" s="60"/>
      <c r="J18" s="131"/>
    </row>
    <row r="19" spans="3:19" ht="15.75">
      <c r="C19" s="131"/>
      <c r="D19" s="72" t="s">
        <v>161</v>
      </c>
      <c r="E19" s="73"/>
      <c r="F19" s="74">
        <v>2500</v>
      </c>
      <c r="G19" s="74">
        <f>F19</f>
        <v>2500</v>
      </c>
      <c r="H19" s="59"/>
      <c r="I19" s="60"/>
      <c r="J19" s="131"/>
    </row>
    <row r="20" spans="3:19" ht="15.75">
      <c r="C20" s="131"/>
      <c r="D20" s="75" t="s">
        <v>172</v>
      </c>
      <c r="E20" s="67" t="str">
        <f>IFERROR(VLOOKUP($D$20,$M$20:$N$21,2,0),"")</f>
        <v/>
      </c>
      <c r="F20" s="76">
        <f>VLOOKUP($D$20,$M$20:$P$22,3,0)</f>
        <v>9537.5</v>
      </c>
      <c r="G20" s="76">
        <f>VLOOKUP($D$20,$M$20:$P$22,4,0)</f>
        <v>8413.8655462184888</v>
      </c>
      <c r="H20" s="59"/>
      <c r="I20" s="60"/>
      <c r="J20" s="131"/>
      <c r="M20" s="75" t="s">
        <v>162</v>
      </c>
      <c r="N20" s="67">
        <v>0.15</v>
      </c>
      <c r="O20" s="76" t="str">
        <f>IFERROR((F23-F21)*F18/(F19+(ROUND(F19*E20,2))),"")</f>
        <v/>
      </c>
      <c r="P20" s="76">
        <f>IFERROR((G23-G21)*G18/(G19+(ROUND(G19*F20,2))),"")</f>
        <v>5.2644259927776202</v>
      </c>
    </row>
    <row r="21" spans="3:19" ht="15.75">
      <c r="C21" s="131"/>
      <c r="D21" s="77" t="s">
        <v>140</v>
      </c>
      <c r="E21" s="67">
        <v>0.05</v>
      </c>
      <c r="F21" s="70">
        <v>953.75</v>
      </c>
      <c r="G21" s="70">
        <f>F21</f>
        <v>953.75</v>
      </c>
      <c r="H21" s="59"/>
      <c r="I21" s="60"/>
      <c r="J21" s="131"/>
      <c r="M21" s="75" t="s">
        <v>163</v>
      </c>
      <c r="N21" s="67">
        <v>0.25</v>
      </c>
      <c r="O21" s="76" t="str">
        <f>IFERROR((F22-F18)*F19/(F19+ROUND(F19*#REF!,2)),"")</f>
        <v/>
      </c>
      <c r="P21" s="76" t="str">
        <f>IFERROR((G22-G18)*G19/(G19+ROUND(G19*#REF!,2)),"")</f>
        <v/>
      </c>
    </row>
    <row r="22" spans="3:19" ht="15.75">
      <c r="C22" s="131"/>
      <c r="D22" s="78" t="s">
        <v>165</v>
      </c>
      <c r="E22" s="58"/>
      <c r="F22" s="59">
        <v>200</v>
      </c>
      <c r="G22" s="59">
        <f>F22</f>
        <v>200</v>
      </c>
      <c r="H22" s="59"/>
      <c r="I22" s="60"/>
      <c r="J22" s="131"/>
      <c r="M22" s="90" t="s">
        <v>172</v>
      </c>
      <c r="N22" s="91"/>
      <c r="O22" s="92">
        <f>(F18)*F16/F17</f>
        <v>9537.5</v>
      </c>
      <c r="P22" s="92">
        <f>(G18)*G16/G17</f>
        <v>8413.8655462184888</v>
      </c>
      <c r="S22" s="50" t="s">
        <v>164</v>
      </c>
    </row>
    <row r="23" spans="3:19" ht="16.5" thickBot="1">
      <c r="C23" s="131"/>
      <c r="D23" s="78" t="str">
        <f>INDEX($M$20:$M$27,MATCH($D$20,$M$20:$M$27,0)+3)</f>
        <v>Montant Rpr Capitaux</v>
      </c>
      <c r="E23" s="58"/>
      <c r="F23" s="80">
        <f>VLOOKUP($D23,$M$23:$P$25,3,0)</f>
        <v>9537.5</v>
      </c>
      <c r="G23" s="80">
        <f>VLOOKUP($D23,$M$23:$P$25,4,0)</f>
        <v>8413.8655462184888</v>
      </c>
      <c r="H23" s="81">
        <f>SUM(H8:H22)</f>
        <v>0</v>
      </c>
      <c r="I23" s="82">
        <f>SUM(I8:I22)</f>
        <v>0</v>
      </c>
      <c r="J23" s="131"/>
      <c r="M23" s="78" t="s">
        <v>166</v>
      </c>
      <c r="N23" s="58"/>
      <c r="O23" s="93">
        <f>(F16-F21)+F18</f>
        <v>28121.25</v>
      </c>
      <c r="P23" s="93">
        <f>(G16-G21)+G18</f>
        <v>24277.342436974795</v>
      </c>
      <c r="S23" s="79">
        <f>F18*E21</f>
        <v>953.75</v>
      </c>
    </row>
    <row r="24" spans="3:19" ht="15.75">
      <c r="C24" s="131"/>
      <c r="D24" s="78" t="str">
        <f>INDEX($M$20:$M$28,MATCH($D$20,$M$20:$M$27,0)+6)</f>
        <v>Total à payer Rpr Capitaux</v>
      </c>
      <c r="E24" s="58"/>
      <c r="F24" s="80">
        <f>VLOOKUP($D24,$M$26:$P$28,3,0)</f>
        <v>-9075</v>
      </c>
      <c r="G24" s="80">
        <f>VLOOKUP($D24,$M$26:$P$28,4,0)</f>
        <v>-8424.3697478991617</v>
      </c>
      <c r="H24" s="143"/>
      <c r="I24" s="144"/>
      <c r="J24" s="131"/>
      <c r="M24" s="78" t="s">
        <v>167</v>
      </c>
      <c r="N24" s="58"/>
      <c r="O24" s="80">
        <f>(F18-F21)+F19</f>
        <v>20621.25</v>
      </c>
      <c r="P24" s="80">
        <f>(G18-G21)+G19</f>
        <v>18373.981092436978</v>
      </c>
      <c r="S24" s="112">
        <v>2500</v>
      </c>
    </row>
    <row r="25" spans="3:19" ht="19.5" thickBot="1">
      <c r="C25" s="131"/>
      <c r="D25" s="86" t="s">
        <v>170</v>
      </c>
      <c r="E25" s="87"/>
      <c r="F25" s="88">
        <f>F18-F21+F22</f>
        <v>18321.25</v>
      </c>
      <c r="G25" s="89">
        <f>G18-G21+G22</f>
        <v>16073.981092436978</v>
      </c>
      <c r="H25" s="145"/>
      <c r="I25" s="146"/>
      <c r="J25" s="131"/>
      <c r="M25" s="94" t="s">
        <v>173</v>
      </c>
      <c r="N25" s="58"/>
      <c r="O25" s="93">
        <f>IFERROR(F18-F20,"")</f>
        <v>9537.5</v>
      </c>
      <c r="P25" s="93">
        <f>IFERROR(G18-G20,"")</f>
        <v>8413.8655462184888</v>
      </c>
      <c r="S25" s="112">
        <v>3000</v>
      </c>
    </row>
    <row r="26" spans="3:19" ht="18.75">
      <c r="C26" s="131"/>
      <c r="D26" s="101" t="s">
        <v>171</v>
      </c>
      <c r="E26" s="102"/>
      <c r="F26" s="102"/>
      <c r="G26" s="102"/>
      <c r="H26" s="145"/>
      <c r="I26" s="146"/>
      <c r="J26" s="131"/>
      <c r="M26" s="83" t="s">
        <v>168</v>
      </c>
      <c r="N26" s="84"/>
      <c r="O26" s="85">
        <f>F18-F20+F21-F22</f>
        <v>10291.25</v>
      </c>
      <c r="P26" s="85">
        <f>G18-G20+G21-G22</f>
        <v>9167.6155462184888</v>
      </c>
      <c r="S26" s="112">
        <v>10000</v>
      </c>
    </row>
    <row r="27" spans="3:19" ht="19.5" thickBot="1">
      <c r="C27" s="131"/>
      <c r="D27" s="103"/>
      <c r="E27" s="104"/>
      <c r="F27" s="104"/>
      <c r="G27" s="104"/>
      <c r="H27" s="145"/>
      <c r="I27" s="146"/>
      <c r="J27" s="131"/>
      <c r="M27" s="83" t="s">
        <v>169</v>
      </c>
      <c r="N27" s="84"/>
      <c r="O27" s="106">
        <f>F16-F21+F22-F24</f>
        <v>18321.25</v>
      </c>
      <c r="P27" s="106">
        <f>G16-G21+G22-G24</f>
        <v>16073.981092436978</v>
      </c>
      <c r="S27" s="112">
        <v>50000</v>
      </c>
    </row>
    <row r="28" spans="3:19" ht="18.75">
      <c r="M28" s="95" t="s">
        <v>174</v>
      </c>
      <c r="O28" s="105">
        <f>F16-F21+F22-F25</f>
        <v>-9075</v>
      </c>
      <c r="P28" s="105">
        <f>G16-G21+G22-G25</f>
        <v>-8424.3697478991617</v>
      </c>
    </row>
  </sheetData>
  <mergeCells count="6">
    <mergeCell ref="C3:C27"/>
    <mergeCell ref="D3:I6"/>
    <mergeCell ref="J3:J27"/>
    <mergeCell ref="D18:E18"/>
    <mergeCell ref="H24:I27"/>
    <mergeCell ref="E16:E17"/>
  </mergeCells>
  <conditionalFormatting sqref="E13">
    <cfRule type="dataBar" priority="8">
      <dataBar>
        <cfvo type="min" val="0"/>
        <cfvo type="max" val="0"/>
        <color rgb="FF638EC6"/>
      </dataBar>
    </cfRule>
  </conditionalFormatting>
  <conditionalFormatting sqref="E14:E15">
    <cfRule type="dataBar" priority="7">
      <dataBar>
        <cfvo type="min" val="0"/>
        <cfvo type="max" val="0"/>
        <color rgb="FF638EC6"/>
      </dataBar>
    </cfRule>
  </conditionalFormatting>
  <conditionalFormatting sqref="E13:E15">
    <cfRule type="dataBar" priority="5">
      <dataBar>
        <cfvo type="min" val="0"/>
        <cfvo type="max" val="0"/>
        <color rgb="FFFFB628"/>
      </dataBar>
    </cfRule>
  </conditionalFormatting>
  <conditionalFormatting sqref="E21">
    <cfRule type="dataBar" priority="4">
      <dataBar>
        <cfvo type="min" val="0"/>
        <cfvo type="max" val="0"/>
        <color rgb="FFFF555A"/>
      </dataBar>
    </cfRule>
  </conditionalFormatting>
  <conditionalFormatting sqref="N20:N21">
    <cfRule type="dataBar" priority="3">
      <dataBar>
        <cfvo type="min" val="0"/>
        <cfvo type="max" val="0"/>
        <color rgb="FF63C384"/>
      </dataBar>
    </cfRule>
  </conditionalFormatting>
  <conditionalFormatting sqref="N22">
    <cfRule type="dataBar" priority="2">
      <dataBar>
        <cfvo type="min" val="0"/>
        <cfvo type="max" val="0"/>
        <color rgb="FF63C384"/>
      </dataBar>
    </cfRule>
  </conditionalFormatting>
  <conditionalFormatting sqref="E16:E17">
    <cfRule type="dataBar" priority="1">
      <dataBar>
        <cfvo type="min" val="0"/>
        <cfvo type="max" val="0"/>
        <color rgb="FFFF555A"/>
      </dataBar>
    </cfRule>
  </conditionalFormatting>
  <conditionalFormatting sqref="E20">
    <cfRule type="dataBar" priority="9">
      <dataBar>
        <cfvo type="min" val="0"/>
        <cfvo type="max" val="0"/>
        <color rgb="FF63C384"/>
      </dataBar>
    </cfRule>
  </conditionalFormatting>
  <dataValidations disablePrompts="1" count="2">
    <dataValidation type="list" allowBlank="1" showInputMessage="1" showErrorMessage="1" sqref="F21">
      <formula1>$S$23:$S$27</formula1>
    </dataValidation>
    <dataValidation type="list" allowBlank="1" showInputMessage="1" showErrorMessage="1" sqref="D20">
      <formula1>$M$20:$M$22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106"/>
  <sheetViews>
    <sheetView tabSelected="1" topLeftCell="A64" workbookViewId="0">
      <selection activeCell="E83" sqref="E83:F84"/>
    </sheetView>
  </sheetViews>
  <sheetFormatPr baseColWidth="10" defaultRowHeight="1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>
      <c r="B1" s="174"/>
      <c r="C1" s="174"/>
      <c r="F1" s="18" t="s">
        <v>9</v>
      </c>
      <c r="G1" s="9">
        <f ca="1">TODAY()</f>
        <v>43744</v>
      </c>
    </row>
    <row r="2" spans="2:30">
      <c r="B2" s="174"/>
      <c r="C2" s="174"/>
      <c r="D2" s="177" t="s">
        <v>11</v>
      </c>
      <c r="E2" s="177"/>
    </row>
    <row r="3" spans="2:30">
      <c r="B3" s="174"/>
      <c r="C3" s="174"/>
      <c r="D3" s="177" t="s">
        <v>12</v>
      </c>
      <c r="E3" s="177"/>
      <c r="AD3" t="s">
        <v>32</v>
      </c>
    </row>
    <row r="4" spans="2:30" ht="24" thickBot="1">
      <c r="B4" s="174"/>
      <c r="C4" s="174"/>
      <c r="D4" s="178" t="s">
        <v>29</v>
      </c>
      <c r="E4" s="178"/>
      <c r="F4" s="178"/>
      <c r="AD4" s="45" t="s">
        <v>33</v>
      </c>
    </row>
    <row r="5" spans="2:30" ht="18.75">
      <c r="B5" s="179" t="s">
        <v>13</v>
      </c>
      <c r="C5" s="180"/>
      <c r="D5" s="180"/>
      <c r="E5" s="180"/>
      <c r="F5" s="180"/>
      <c r="G5" s="181"/>
      <c r="AD5" s="45" t="s">
        <v>34</v>
      </c>
    </row>
    <row r="6" spans="2:30" ht="19.5" thickBot="1">
      <c r="B6" s="182" t="s">
        <v>20</v>
      </c>
      <c r="C6" s="183"/>
      <c r="D6" s="183"/>
      <c r="E6" s="183"/>
      <c r="F6" s="183"/>
      <c r="G6" s="184"/>
      <c r="AD6" s="45" t="s">
        <v>35</v>
      </c>
    </row>
    <row r="8" spans="2:30" ht="15.75">
      <c r="B8" s="19" t="s">
        <v>14</v>
      </c>
      <c r="C8" s="185">
        <v>250</v>
      </c>
      <c r="D8" s="185"/>
      <c r="E8" s="20" t="s">
        <v>18</v>
      </c>
      <c r="F8" s="21" t="s">
        <v>91</v>
      </c>
      <c r="G8" s="22"/>
    </row>
    <row r="9" spans="2:30" ht="15.75">
      <c r="B9" s="19" t="s">
        <v>15</v>
      </c>
      <c r="C9" s="186"/>
      <c r="D9" s="186"/>
      <c r="E9" s="20" t="s">
        <v>19</v>
      </c>
      <c r="F9" s="21"/>
      <c r="G9" s="22"/>
    </row>
    <row r="10" spans="2:30" ht="15.75">
      <c r="B10" s="19" t="s">
        <v>16</v>
      </c>
      <c r="C10" s="186"/>
      <c r="D10" s="186"/>
      <c r="E10" s="20"/>
      <c r="F10" s="20"/>
      <c r="G10" s="22"/>
    </row>
    <row r="11" spans="2:30" ht="15.75">
      <c r="B11" s="19" t="s">
        <v>17</v>
      </c>
      <c r="C11" s="186"/>
      <c r="D11" s="186"/>
      <c r="E11" s="20"/>
      <c r="F11" s="47"/>
      <c r="G11" s="22"/>
    </row>
    <row r="12" spans="2:30" ht="15.75" thickBot="1"/>
    <row r="13" spans="2:30" ht="15" customHeight="1">
      <c r="B13" s="191" t="s">
        <v>142</v>
      </c>
      <c r="C13" s="192"/>
      <c r="D13" s="192"/>
      <c r="E13" s="192"/>
      <c r="F13" s="193">
        <f>E33</f>
        <v>16073.981092436978</v>
      </c>
      <c r="G13" s="194"/>
    </row>
    <row r="14" spans="2:30" ht="15" customHeight="1">
      <c r="B14" s="195" t="str">
        <f>'.'!C5</f>
        <v>Seize mille soixante-treize Dinars et quatre-vingt-dix-huit  cents</v>
      </c>
      <c r="C14" s="196"/>
      <c r="D14" s="196"/>
      <c r="E14" s="196"/>
      <c r="F14" s="196"/>
      <c r="G14" s="197"/>
    </row>
    <row r="15" spans="2:30" ht="15" customHeight="1">
      <c r="B15" s="195"/>
      <c r="C15" s="196"/>
      <c r="D15" s="196"/>
      <c r="E15" s="196"/>
      <c r="F15" s="196"/>
      <c r="G15" s="197"/>
    </row>
    <row r="16" spans="2:30" ht="15.75" customHeight="1">
      <c r="B16" s="151" t="s">
        <v>30</v>
      </c>
      <c r="C16" s="152"/>
      <c r="D16" s="152"/>
      <c r="E16" s="152"/>
      <c r="F16" s="152"/>
      <c r="G16" s="153"/>
    </row>
    <row r="17" spans="2:7" ht="20.25" customHeight="1" thickBot="1">
      <c r="B17" s="43" t="s">
        <v>31</v>
      </c>
      <c r="C17" s="44" t="s">
        <v>35</v>
      </c>
      <c r="D17" s="154" t="s">
        <v>36</v>
      </c>
      <c r="E17" s="154"/>
      <c r="F17" s="154"/>
      <c r="G17" s="155"/>
    </row>
    <row r="18" spans="2:7" ht="16.5" thickBot="1">
      <c r="B18" s="23"/>
      <c r="C18" s="156" t="s">
        <v>8</v>
      </c>
      <c r="D18" s="157"/>
      <c r="E18" s="158">
        <v>4201.680672268908</v>
      </c>
      <c r="F18" s="159"/>
      <c r="G18" s="24"/>
    </row>
    <row r="19" spans="2:7" ht="16.5" thickBot="1">
      <c r="B19" s="23"/>
      <c r="C19" s="156" t="s">
        <v>0</v>
      </c>
      <c r="D19" s="157"/>
      <c r="E19" s="158">
        <v>5000</v>
      </c>
      <c r="F19" s="159"/>
      <c r="G19" s="24"/>
    </row>
    <row r="20" spans="2:7" ht="16.5" thickBot="1">
      <c r="B20" s="23"/>
      <c r="C20" s="156" t="s">
        <v>3</v>
      </c>
      <c r="D20" s="157"/>
      <c r="E20" s="158">
        <v>8403.361344537816</v>
      </c>
      <c r="F20" s="159"/>
      <c r="G20" s="24"/>
    </row>
    <row r="21" spans="2:7" ht="16.5" thickBot="1">
      <c r="B21" s="23"/>
      <c r="C21" s="25"/>
      <c r="D21" s="25"/>
      <c r="E21" s="26"/>
      <c r="F21" s="27"/>
      <c r="G21" s="24"/>
    </row>
    <row r="22" spans="2:7" ht="16.5" thickBot="1">
      <c r="B22" s="23"/>
      <c r="C22" s="156" t="s">
        <v>4</v>
      </c>
      <c r="D22" s="157"/>
      <c r="E22" s="158">
        <f>E18+E19+E20</f>
        <v>17605.042016806721</v>
      </c>
      <c r="F22" s="159"/>
      <c r="G22" s="24"/>
    </row>
    <row r="23" spans="2:7" ht="16.5" thickBot="1">
      <c r="B23" s="23"/>
      <c r="C23" s="25"/>
      <c r="D23" s="25"/>
      <c r="E23" s="26"/>
      <c r="F23" s="27"/>
      <c r="G23" s="24"/>
    </row>
    <row r="24" spans="2:7" ht="16.5" thickBot="1">
      <c r="B24" s="23"/>
      <c r="C24" s="156" t="s">
        <v>5</v>
      </c>
      <c r="D24" s="157"/>
      <c r="E24" s="158">
        <v>1260.5042016806724</v>
      </c>
      <c r="F24" s="159"/>
      <c r="G24" s="24"/>
    </row>
    <row r="25" spans="2:7" ht="16.5" thickBot="1">
      <c r="B25" s="23"/>
      <c r="C25" s="198" t="s">
        <v>6</v>
      </c>
      <c r="D25" s="199"/>
      <c r="E25" s="160">
        <v>21.008403361344538</v>
      </c>
      <c r="F25" s="161"/>
      <c r="G25" s="24"/>
    </row>
    <row r="26" spans="2:7" ht="16.5" thickBot="1">
      <c r="B26" s="23"/>
      <c r="C26" s="156" t="s">
        <v>37</v>
      </c>
      <c r="D26" s="157"/>
      <c r="E26" s="48"/>
      <c r="F26" s="49"/>
      <c r="G26" s="24"/>
    </row>
    <row r="27" spans="2:7" ht="16.5" thickBot="1">
      <c r="B27" s="23"/>
      <c r="C27" s="20"/>
      <c r="D27" s="20"/>
      <c r="E27" s="28"/>
      <c r="F27" s="28"/>
      <c r="G27" s="24"/>
    </row>
    <row r="28" spans="2:7" ht="16.5" thickBot="1">
      <c r="B28" s="23"/>
      <c r="C28" s="156" t="s">
        <v>4</v>
      </c>
      <c r="D28" s="187"/>
      <c r="E28" s="158"/>
      <c r="F28" s="159"/>
      <c r="G28" s="24"/>
    </row>
    <row r="29" spans="2:7" ht="16.5" thickBot="1">
      <c r="B29" s="23"/>
      <c r="C29" s="25"/>
      <c r="D29" s="25"/>
      <c r="E29" s="26"/>
      <c r="F29" s="27"/>
      <c r="G29" s="24"/>
    </row>
    <row r="30" spans="2:7" ht="16.5" thickBot="1">
      <c r="B30" s="23"/>
      <c r="C30" s="29" t="s">
        <v>1</v>
      </c>
      <c r="D30" s="30"/>
      <c r="E30" s="158">
        <v>2500</v>
      </c>
      <c r="F30" s="159"/>
      <c r="G30" s="24"/>
    </row>
    <row r="31" spans="2:7" ht="16.5" thickBot="1">
      <c r="B31" s="23"/>
      <c r="C31" s="188" t="s">
        <v>141</v>
      </c>
      <c r="D31" s="189"/>
      <c r="E31" s="200">
        <v>200</v>
      </c>
      <c r="F31" s="201"/>
      <c r="G31" s="24"/>
    </row>
    <row r="32" spans="2:7" ht="16.5" thickBot="1">
      <c r="B32" s="23"/>
      <c r="C32" s="39"/>
      <c r="D32" s="39"/>
      <c r="E32" s="40"/>
      <c r="F32" s="41"/>
      <c r="G32" s="24"/>
    </row>
    <row r="33" spans="1:8" ht="15.75">
      <c r="A33" s="1"/>
      <c r="B33" s="23"/>
      <c r="C33" s="31" t="s">
        <v>7</v>
      </c>
      <c r="D33" s="32"/>
      <c r="E33" s="202">
        <v>16073.981092436978</v>
      </c>
      <c r="F33" s="203"/>
      <c r="G33" s="24"/>
    </row>
    <row r="34" spans="1:8" ht="16.5" thickBot="1">
      <c r="A34" s="1"/>
      <c r="B34" s="23"/>
      <c r="C34" s="33"/>
      <c r="D34" s="34"/>
      <c r="E34" s="204"/>
      <c r="F34" s="205"/>
      <c r="G34" s="24"/>
      <c r="H34" s="1"/>
    </row>
    <row r="35" spans="1:8" ht="15.75">
      <c r="A35" s="1"/>
      <c r="B35" s="23"/>
      <c r="C35" s="25"/>
      <c r="D35" s="162"/>
      <c r="E35" s="162"/>
      <c r="F35" s="162"/>
      <c r="G35" s="163"/>
      <c r="H35" s="1"/>
    </row>
    <row r="36" spans="1:8" ht="15.75">
      <c r="A36" s="1"/>
      <c r="B36" s="175" t="s">
        <v>10</v>
      </c>
      <c r="C36" s="176"/>
      <c r="D36" s="162"/>
      <c r="E36" s="162"/>
      <c r="F36" s="162"/>
      <c r="G36" s="163"/>
      <c r="H36" s="1"/>
    </row>
    <row r="37" spans="1:8" ht="15.75">
      <c r="A37" s="1"/>
      <c r="B37" s="23"/>
      <c r="C37" s="25"/>
      <c r="D37" s="162"/>
      <c r="E37" s="162"/>
      <c r="F37" s="162"/>
      <c r="G37" s="163"/>
      <c r="H37" s="1"/>
    </row>
    <row r="38" spans="1:8" ht="15.75">
      <c r="A38" s="1"/>
      <c r="B38" s="23"/>
      <c r="C38" s="25"/>
      <c r="D38" s="162"/>
      <c r="E38" s="162"/>
      <c r="F38" s="162"/>
      <c r="G38" s="163"/>
      <c r="H38" s="1"/>
    </row>
    <row r="39" spans="1:8" ht="16.5" thickBot="1">
      <c r="A39" s="1"/>
      <c r="B39" s="42"/>
      <c r="C39" s="35"/>
      <c r="D39" s="190"/>
      <c r="E39" s="190"/>
      <c r="F39" s="190"/>
      <c r="G39" s="168"/>
      <c r="H39" s="1"/>
    </row>
    <row r="40" spans="1:8" ht="16.5" thickBot="1">
      <c r="B40" s="22"/>
      <c r="C40" s="20"/>
      <c r="D40" s="35"/>
      <c r="E40" s="35"/>
      <c r="F40" s="35"/>
      <c r="G40" s="36"/>
      <c r="H40" s="1"/>
    </row>
    <row r="41" spans="1:8" ht="16.5" thickBot="1">
      <c r="B41" s="149" t="s">
        <v>21</v>
      </c>
      <c r="C41" s="150"/>
      <c r="D41" s="37" t="s">
        <v>22</v>
      </c>
      <c r="E41" s="37" t="s">
        <v>23</v>
      </c>
      <c r="F41" s="149" t="s">
        <v>24</v>
      </c>
      <c r="G41" s="150"/>
    </row>
    <row r="42" spans="1:8">
      <c r="B42" s="164"/>
      <c r="C42" s="165"/>
      <c r="D42" s="169"/>
      <c r="E42" s="169"/>
      <c r="F42" s="164"/>
      <c r="G42" s="165"/>
    </row>
    <row r="43" spans="1:8">
      <c r="B43" s="166"/>
      <c r="C43" s="163"/>
      <c r="D43" s="170"/>
      <c r="E43" s="170"/>
      <c r="F43" s="166"/>
      <c r="G43" s="163"/>
    </row>
    <row r="44" spans="1:8">
      <c r="B44" s="166"/>
      <c r="C44" s="163"/>
      <c r="D44" s="170"/>
      <c r="E44" s="170"/>
      <c r="F44" s="166"/>
      <c r="G44" s="163"/>
    </row>
    <row r="45" spans="1:8">
      <c r="B45" s="166"/>
      <c r="C45" s="163"/>
      <c r="D45" s="170"/>
      <c r="E45" s="170"/>
      <c r="F45" s="166"/>
      <c r="G45" s="163"/>
    </row>
    <row r="46" spans="1:8" ht="15.75" thickBot="1">
      <c r="B46" s="167"/>
      <c r="C46" s="168"/>
      <c r="D46" s="171"/>
      <c r="E46" s="171"/>
      <c r="F46" s="167"/>
      <c r="G46" s="168"/>
    </row>
    <row r="47" spans="1:8" ht="16.5" thickBot="1">
      <c r="B47" s="172" t="s">
        <v>28</v>
      </c>
      <c r="C47" s="173"/>
      <c r="D47" s="38" t="s">
        <v>25</v>
      </c>
      <c r="E47" s="38" t="s">
        <v>26</v>
      </c>
      <c r="F47" s="172" t="s">
        <v>27</v>
      </c>
      <c r="G47" s="173"/>
    </row>
    <row r="48" spans="1:8">
      <c r="B48" s="164"/>
      <c r="C48" s="165"/>
      <c r="D48" s="169"/>
      <c r="E48" s="169"/>
      <c r="F48" s="164"/>
      <c r="G48" s="165"/>
    </row>
    <row r="49" spans="1:7">
      <c r="B49" s="166"/>
      <c r="C49" s="163"/>
      <c r="D49" s="170"/>
      <c r="E49" s="170"/>
      <c r="F49" s="166"/>
      <c r="G49" s="163"/>
    </row>
    <row r="50" spans="1:7">
      <c r="B50" s="166"/>
      <c r="C50" s="163"/>
      <c r="D50" s="170"/>
      <c r="E50" s="170"/>
      <c r="F50" s="166"/>
      <c r="G50" s="163"/>
    </row>
    <row r="51" spans="1:7">
      <c r="B51" s="166"/>
      <c r="C51" s="163"/>
      <c r="D51" s="170"/>
      <c r="E51" s="170"/>
      <c r="F51" s="166"/>
      <c r="G51" s="163"/>
    </row>
    <row r="52" spans="1:7">
      <c r="B52" s="166"/>
      <c r="C52" s="163"/>
      <c r="D52" s="170"/>
      <c r="E52" s="170"/>
      <c r="F52" s="166"/>
      <c r="G52" s="163"/>
    </row>
    <row r="53" spans="1:7" s="3" customFormat="1" ht="15.75" thickBot="1">
      <c r="A53" s="17">
        <v>11</v>
      </c>
      <c r="B53" s="167"/>
      <c r="C53" s="168"/>
      <c r="D53" s="171"/>
      <c r="E53" s="171"/>
      <c r="F53" s="167"/>
      <c r="G53" s="168"/>
    </row>
    <row r="54" spans="1:7">
      <c r="A54" s="1"/>
      <c r="B54" s="174"/>
      <c r="C54" s="174"/>
      <c r="F54" s="18" t="s">
        <v>9</v>
      </c>
      <c r="G54" s="9">
        <f ca="1">TODAY()</f>
        <v>43744</v>
      </c>
    </row>
    <row r="55" spans="1:7">
      <c r="B55" s="174"/>
      <c r="C55" s="174"/>
      <c r="D55" s="177" t="s">
        <v>11</v>
      </c>
      <c r="E55" s="177"/>
    </row>
    <row r="56" spans="1:7">
      <c r="B56" s="174"/>
      <c r="C56" s="174"/>
      <c r="D56" s="177" t="s">
        <v>12</v>
      </c>
      <c r="E56" s="177"/>
    </row>
    <row r="57" spans="1:7" ht="24" thickBot="1">
      <c r="B57" s="174"/>
      <c r="C57" s="174"/>
      <c r="D57" s="178" t="s">
        <v>29</v>
      </c>
      <c r="E57" s="178"/>
      <c r="F57" s="178"/>
    </row>
    <row r="58" spans="1:7" ht="18.75">
      <c r="B58" s="179" t="s">
        <v>13</v>
      </c>
      <c r="C58" s="180"/>
      <c r="D58" s="180"/>
      <c r="E58" s="180"/>
      <c r="F58" s="180"/>
      <c r="G58" s="181"/>
    </row>
    <row r="59" spans="1:7" ht="19.5" thickBot="1">
      <c r="B59" s="182" t="s">
        <v>20</v>
      </c>
      <c r="C59" s="183"/>
      <c r="D59" s="183"/>
      <c r="E59" s="183"/>
      <c r="F59" s="183"/>
      <c r="G59" s="184"/>
    </row>
    <row r="61" spans="1:7" ht="15.75">
      <c r="B61" s="19" t="s">
        <v>14</v>
      </c>
      <c r="C61" s="185">
        <v>250</v>
      </c>
      <c r="D61" s="185"/>
      <c r="E61" s="119" t="s">
        <v>18</v>
      </c>
      <c r="F61" s="21" t="s">
        <v>91</v>
      </c>
      <c r="G61" s="22"/>
    </row>
    <row r="62" spans="1:7" ht="15.75">
      <c r="B62" s="19" t="s">
        <v>15</v>
      </c>
      <c r="C62" s="186"/>
      <c r="D62" s="186"/>
      <c r="E62" s="119" t="s">
        <v>19</v>
      </c>
      <c r="F62" s="21"/>
      <c r="G62" s="22"/>
    </row>
    <row r="63" spans="1:7" ht="15.75">
      <c r="B63" s="19" t="s">
        <v>16</v>
      </c>
      <c r="C63" s="186"/>
      <c r="D63" s="186"/>
      <c r="E63" s="119"/>
      <c r="F63" s="119"/>
      <c r="G63" s="22"/>
    </row>
    <row r="64" spans="1:7" ht="15.75">
      <c r="B64" s="19" t="s">
        <v>17</v>
      </c>
      <c r="C64" s="186"/>
      <c r="D64" s="186"/>
      <c r="E64" s="119"/>
      <c r="F64" s="119"/>
      <c r="G64" s="22"/>
    </row>
    <row r="65" spans="2:7" ht="15.75" thickBot="1"/>
    <row r="66" spans="2:7" ht="18">
      <c r="B66" s="191" t="s">
        <v>142</v>
      </c>
      <c r="C66" s="192"/>
      <c r="D66" s="192"/>
      <c r="E66" s="192"/>
      <c r="F66" s="193">
        <f>E83</f>
        <v>16073.981092436978</v>
      </c>
      <c r="G66" s="194"/>
    </row>
    <row r="67" spans="2:7">
      <c r="B67" s="195">
        <f>'.'!C58</f>
        <v>0</v>
      </c>
      <c r="C67" s="196"/>
      <c r="D67" s="196"/>
      <c r="E67" s="196"/>
      <c r="F67" s="196"/>
      <c r="G67" s="197"/>
    </row>
    <row r="68" spans="2:7">
      <c r="B68" s="195"/>
      <c r="C68" s="196"/>
      <c r="D68" s="196"/>
      <c r="E68" s="196"/>
      <c r="F68" s="196"/>
      <c r="G68" s="197"/>
    </row>
    <row r="69" spans="2:7" ht="18">
      <c r="B69" s="151" t="s">
        <v>30</v>
      </c>
      <c r="C69" s="152"/>
      <c r="D69" s="152"/>
      <c r="E69" s="152"/>
      <c r="F69" s="152"/>
      <c r="G69" s="153"/>
    </row>
    <row r="70" spans="2:7" ht="18.75" thickBot="1">
      <c r="B70" s="43" t="s">
        <v>31</v>
      </c>
      <c r="C70" s="44" t="s">
        <v>35</v>
      </c>
      <c r="D70" s="154" t="s">
        <v>36</v>
      </c>
      <c r="E70" s="154"/>
      <c r="F70" s="154"/>
      <c r="G70" s="155"/>
    </row>
    <row r="71" spans="2:7" ht="16.5" thickBot="1">
      <c r="B71" s="23"/>
      <c r="C71" s="156" t="s">
        <v>175</v>
      </c>
      <c r="D71" s="157"/>
      <c r="E71" s="158">
        <f>Base!F16</f>
        <v>10000</v>
      </c>
      <c r="F71" s="159"/>
      <c r="G71" s="24"/>
    </row>
    <row r="72" spans="2:7" ht="16.5" thickBot="1">
      <c r="B72" s="23"/>
      <c r="C72" s="156" t="s">
        <v>153</v>
      </c>
      <c r="D72" s="157"/>
      <c r="E72" s="158">
        <f>Base!F8</f>
        <v>10000</v>
      </c>
      <c r="F72" s="159"/>
      <c r="G72" s="24"/>
    </row>
    <row r="73" spans="2:7" ht="16.5" thickBot="1">
      <c r="B73" s="23"/>
      <c r="C73" s="156" t="s">
        <v>177</v>
      </c>
      <c r="D73" s="157"/>
      <c r="E73" s="158">
        <f>Base!F15</f>
        <v>0</v>
      </c>
      <c r="F73" s="159"/>
      <c r="G73" s="24"/>
    </row>
    <row r="74" spans="2:7" ht="16.5" thickBot="1">
      <c r="B74" s="23"/>
      <c r="C74" s="25"/>
      <c r="D74" s="25"/>
      <c r="E74" s="26"/>
      <c r="F74" s="27"/>
      <c r="G74" s="24"/>
    </row>
    <row r="75" spans="2:7" ht="16.5" thickBot="1">
      <c r="B75" s="23"/>
      <c r="C75" s="156" t="s">
        <v>4</v>
      </c>
      <c r="D75" s="157"/>
      <c r="E75" s="158">
        <f>E71+E72+E73</f>
        <v>20000</v>
      </c>
      <c r="F75" s="159"/>
      <c r="G75" s="24"/>
    </row>
    <row r="76" spans="2:7" ht="15.75">
      <c r="B76" s="23"/>
      <c r="C76" s="25"/>
      <c r="D76" s="25"/>
      <c r="E76" s="26"/>
      <c r="F76" s="27"/>
      <c r="G76" s="24"/>
    </row>
    <row r="77" spans="2:7" ht="16.5" thickBot="1">
      <c r="B77" s="23"/>
      <c r="C77" s="119"/>
      <c r="D77" s="119"/>
      <c r="E77" s="28"/>
      <c r="F77" s="28"/>
      <c r="G77" s="24"/>
    </row>
    <row r="78" spans="2:7" ht="16.5" thickBot="1">
      <c r="B78" s="23"/>
      <c r="C78" s="156" t="s">
        <v>4</v>
      </c>
      <c r="D78" s="187"/>
      <c r="E78" s="158"/>
      <c r="F78" s="159"/>
      <c r="G78" s="24"/>
    </row>
    <row r="79" spans="2:7" ht="16.5" thickBot="1">
      <c r="B79" s="23"/>
      <c r="C79" s="25"/>
      <c r="D79" s="25"/>
      <c r="E79" s="26"/>
      <c r="F79" s="27"/>
      <c r="G79" s="24"/>
    </row>
    <row r="80" spans="2:7" ht="16.5" thickBot="1">
      <c r="B80" s="23"/>
      <c r="C80" s="120" t="s">
        <v>1</v>
      </c>
      <c r="D80" s="121"/>
      <c r="E80" s="158">
        <v>2500</v>
      </c>
      <c r="F80" s="159"/>
      <c r="G80" s="24"/>
    </row>
    <row r="81" spans="2:7" ht="16.5" thickBot="1">
      <c r="B81" s="23"/>
      <c r="C81" s="188" t="s">
        <v>141</v>
      </c>
      <c r="D81" s="189"/>
      <c r="E81" s="200">
        <v>200</v>
      </c>
      <c r="F81" s="201"/>
      <c r="G81" s="24"/>
    </row>
    <row r="82" spans="2:7" ht="16.5" thickBot="1">
      <c r="B82" s="23"/>
      <c r="C82" s="39"/>
      <c r="D82" s="39"/>
      <c r="E82" s="40"/>
      <c r="F82" s="41"/>
      <c r="G82" s="24"/>
    </row>
    <row r="83" spans="2:7" ht="15.75">
      <c r="B83" s="23"/>
      <c r="C83" s="31" t="s">
        <v>7</v>
      </c>
      <c r="D83" s="32"/>
      <c r="E83" s="202">
        <v>16073.981092436978</v>
      </c>
      <c r="F83" s="203"/>
      <c r="G83" s="24"/>
    </row>
    <row r="84" spans="2:7" ht="16.5" thickBot="1">
      <c r="B84" s="23"/>
      <c r="C84" s="33"/>
      <c r="D84" s="34"/>
      <c r="E84" s="204"/>
      <c r="F84" s="205"/>
      <c r="G84" s="24"/>
    </row>
    <row r="85" spans="2:7" ht="15.75">
      <c r="B85" s="23"/>
      <c r="C85" s="25"/>
      <c r="D85" s="113"/>
      <c r="E85" s="113"/>
      <c r="F85" s="113"/>
      <c r="G85" s="24"/>
    </row>
    <row r="86" spans="2:7" ht="15.75">
      <c r="B86" s="23"/>
      <c r="C86" s="118"/>
      <c r="D86" s="113"/>
      <c r="E86" s="113"/>
      <c r="F86" s="113"/>
      <c r="G86" s="24"/>
    </row>
    <row r="87" spans="2:7" ht="15.75">
      <c r="B87" s="23"/>
      <c r="C87" s="25"/>
      <c r="D87" s="113"/>
      <c r="E87" s="113"/>
      <c r="F87" s="113"/>
      <c r="G87" s="24"/>
    </row>
    <row r="88" spans="2:7" ht="15.75">
      <c r="B88" s="23"/>
      <c r="C88" s="25"/>
      <c r="D88" s="113"/>
      <c r="E88" s="113"/>
      <c r="F88" s="113"/>
      <c r="G88" s="114"/>
    </row>
    <row r="89" spans="2:7" ht="16.5" thickBot="1">
      <c r="B89" s="117" t="s">
        <v>10</v>
      </c>
      <c r="C89" s="35"/>
      <c r="D89" s="115"/>
      <c r="E89" s="115"/>
      <c r="F89" s="115"/>
      <c r="G89" s="114"/>
    </row>
    <row r="90" spans="2:7" ht="16.5" thickBot="1">
      <c r="B90" s="23"/>
      <c r="C90" s="119"/>
      <c r="D90" s="35"/>
      <c r="E90" s="35"/>
      <c r="F90" s="35"/>
      <c r="G90" s="114"/>
    </row>
    <row r="91" spans="2:7" ht="16.5" thickBot="1">
      <c r="B91" s="23"/>
      <c r="C91" s="129"/>
      <c r="D91" s="37" t="s">
        <v>22</v>
      </c>
      <c r="E91" s="37" t="s">
        <v>23</v>
      </c>
      <c r="F91" s="128" t="s">
        <v>24</v>
      </c>
      <c r="G91" s="114"/>
    </row>
    <row r="92" spans="2:7" ht="16.5" thickBot="1">
      <c r="B92" s="42"/>
      <c r="C92" s="123"/>
      <c r="D92" s="169"/>
      <c r="E92" s="169"/>
      <c r="F92" s="122"/>
      <c r="G92" s="116"/>
    </row>
    <row r="93" spans="2:7" ht="16.5" thickBot="1">
      <c r="B93" s="22"/>
      <c r="C93" s="114"/>
      <c r="D93" s="170"/>
      <c r="E93" s="170"/>
      <c r="F93" s="124"/>
      <c r="G93" s="36"/>
    </row>
    <row r="94" spans="2:7" ht="16.5" thickBot="1">
      <c r="B94" s="128" t="s">
        <v>21</v>
      </c>
      <c r="C94" s="114"/>
      <c r="D94" s="170"/>
      <c r="E94" s="170"/>
      <c r="F94" s="124"/>
      <c r="G94" s="129"/>
    </row>
    <row r="95" spans="2:7" ht="15" customHeight="1">
      <c r="B95" s="122"/>
      <c r="C95" s="114"/>
      <c r="D95" s="170"/>
      <c r="E95" s="170"/>
      <c r="F95" s="124"/>
      <c r="G95" s="123"/>
    </row>
    <row r="96" spans="2:7" ht="15" customHeight="1" thickBot="1">
      <c r="B96" s="124"/>
      <c r="C96" s="116"/>
      <c r="D96" s="171"/>
      <c r="E96" s="171"/>
      <c r="F96" s="125"/>
      <c r="G96" s="114"/>
    </row>
    <row r="97" spans="2:7" ht="15" customHeight="1" thickBot="1">
      <c r="B97" s="124"/>
      <c r="C97" s="127"/>
      <c r="D97" s="38" t="s">
        <v>25</v>
      </c>
      <c r="E97" s="38" t="s">
        <v>26</v>
      </c>
      <c r="F97" s="126" t="s">
        <v>27</v>
      </c>
      <c r="G97" s="114"/>
    </row>
    <row r="98" spans="2:7" ht="15" customHeight="1">
      <c r="B98" s="124"/>
      <c r="C98" s="123"/>
      <c r="D98" s="169"/>
      <c r="E98" s="169"/>
      <c r="F98" s="122"/>
      <c r="G98" s="114"/>
    </row>
    <row r="99" spans="2:7" ht="15.75" customHeight="1" thickBot="1">
      <c r="B99" s="125"/>
      <c r="C99" s="114"/>
      <c r="D99" s="170"/>
      <c r="E99" s="170"/>
      <c r="F99" s="124"/>
      <c r="G99" s="116"/>
    </row>
    <row r="100" spans="2:7" ht="16.5" thickBot="1">
      <c r="B100" s="126" t="s">
        <v>28</v>
      </c>
      <c r="C100" s="114"/>
      <c r="D100" s="170"/>
      <c r="E100" s="170"/>
      <c r="F100" s="124"/>
      <c r="G100" s="127"/>
    </row>
    <row r="101" spans="2:7" ht="15" customHeight="1">
      <c r="B101" s="122"/>
      <c r="C101" s="114"/>
      <c r="D101" s="170"/>
      <c r="E101" s="170"/>
      <c r="F101" s="124"/>
      <c r="G101" s="123"/>
    </row>
    <row r="102" spans="2:7" ht="15" customHeight="1">
      <c r="B102" s="124"/>
      <c r="C102" s="114"/>
      <c r="D102" s="170"/>
      <c r="E102" s="170"/>
      <c r="F102" s="124"/>
      <c r="G102" s="114"/>
    </row>
    <row r="103" spans="2:7" ht="15" customHeight="1" thickBot="1">
      <c r="B103" s="124"/>
      <c r="C103" s="116"/>
      <c r="D103" s="171"/>
      <c r="E103" s="171"/>
      <c r="F103" s="125"/>
      <c r="G103" s="114"/>
    </row>
    <row r="104" spans="2:7" ht="15" customHeight="1">
      <c r="B104" s="124"/>
      <c r="G104" s="114"/>
    </row>
    <row r="105" spans="2:7" ht="15" customHeight="1">
      <c r="B105" s="124"/>
      <c r="G105" s="114"/>
    </row>
    <row r="106" spans="2:7" ht="15.75" customHeight="1" thickBot="1">
      <c r="B106" s="125"/>
      <c r="G106" s="116"/>
    </row>
  </sheetData>
  <mergeCells count="85">
    <mergeCell ref="D98:D103"/>
    <mergeCell ref="E98:E103"/>
    <mergeCell ref="D92:D96"/>
    <mergeCell ref="E92:E96"/>
    <mergeCell ref="E83:F84"/>
    <mergeCell ref="C78:D78"/>
    <mergeCell ref="E78:F78"/>
    <mergeCell ref="E80:F80"/>
    <mergeCell ref="C81:D81"/>
    <mergeCell ref="E81:F81"/>
    <mergeCell ref="C75:D75"/>
    <mergeCell ref="E75:F75"/>
    <mergeCell ref="C71:D71"/>
    <mergeCell ref="E71:F71"/>
    <mergeCell ref="C72:D72"/>
    <mergeCell ref="E72:F72"/>
    <mergeCell ref="C73:D73"/>
    <mergeCell ref="E73:F73"/>
    <mergeCell ref="B66:E66"/>
    <mergeCell ref="F66:G66"/>
    <mergeCell ref="B67:G68"/>
    <mergeCell ref="B69:G69"/>
    <mergeCell ref="D70:G70"/>
    <mergeCell ref="B59:G59"/>
    <mergeCell ref="C61:D61"/>
    <mergeCell ref="C62:D62"/>
    <mergeCell ref="C63:D63"/>
    <mergeCell ref="C64:D64"/>
    <mergeCell ref="B54:C57"/>
    <mergeCell ref="D55:E55"/>
    <mergeCell ref="D56:E56"/>
    <mergeCell ref="D57:F57"/>
    <mergeCell ref="B58:G58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 F61">
    <cfRule type="expression" dxfId="0" priority="2">
      <formula>ISNA($F$8)</formula>
    </cfRule>
  </conditionalFormatting>
  <dataValidations count="4">
    <dataValidation type="list" allowBlank="1" showInputMessage="1" showErrorMessage="1" errorTitle="Choisir dans la liste" sqref="C17 C70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 E73:F73">
      <formula1>Fourniture</formula1>
    </dataValidation>
    <dataValidation type="list" allowBlank="1" showInputMessage="1" showErrorMessage="1" sqref="F9 F62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control shapeId="1030" r:id="rId4" name="ToggleButton1"/>
    <control shapeId="1027" r:id="rId5" name="OptionButton1"/>
    <control shapeId="1029" r:id="rId6" name="Option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scale="81" orientation="portrait" r:id="rId1"/>
  <legacyDrawing r:id="rId2"/>
  <controls>
    <control shapeId="2050" r:id="rId3" name="Bt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C32" sqref="C32"/>
    </sheetView>
  </sheetViews>
  <sheetFormatPr baseColWidth="10" defaultRowHeight="1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>
      <c r="A1" s="11" t="s">
        <v>39</v>
      </c>
      <c r="B1" s="12" t="s">
        <v>40</v>
      </c>
      <c r="E1" s="14" t="s">
        <v>132</v>
      </c>
      <c r="F1" s="15" t="s">
        <v>133</v>
      </c>
    </row>
    <row r="2" spans="1:9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>
      <c r="A271" s="11" t="s">
        <v>84</v>
      </c>
    </row>
    <row r="272" spans="1:6">
      <c r="A272" s="11" t="s">
        <v>84</v>
      </c>
    </row>
    <row r="273" spans="1:1">
      <c r="A273" s="11" t="s">
        <v>84</v>
      </c>
    </row>
    <row r="274" spans="1:1">
      <c r="A274" s="11" t="s">
        <v>84</v>
      </c>
    </row>
    <row r="275" spans="1:1">
      <c r="A275" s="11" t="s">
        <v>84</v>
      </c>
    </row>
    <row r="276" spans="1:1">
      <c r="A276" s="11" t="s">
        <v>84</v>
      </c>
    </row>
    <row r="277" spans="1:1">
      <c r="A277" s="11" t="s">
        <v>84</v>
      </c>
    </row>
    <row r="278" spans="1:1">
      <c r="A278" s="11" t="s">
        <v>84</v>
      </c>
    </row>
    <row r="279" spans="1:1">
      <c r="A279" s="11" t="s">
        <v>84</v>
      </c>
    </row>
    <row r="280" spans="1:1">
      <c r="A280" s="11" t="s">
        <v>84</v>
      </c>
    </row>
    <row r="281" spans="1:1">
      <c r="A281" s="11" t="s">
        <v>84</v>
      </c>
    </row>
    <row r="282" spans="1:1">
      <c r="A282" s="11" t="s">
        <v>84</v>
      </c>
    </row>
    <row r="283" spans="1:1">
      <c r="A283" s="11" t="s">
        <v>84</v>
      </c>
    </row>
    <row r="284" spans="1:1">
      <c r="A284" s="11" t="s">
        <v>84</v>
      </c>
    </row>
    <row r="285" spans="1:1">
      <c r="A285" s="11" t="s">
        <v>84</v>
      </c>
    </row>
    <row r="286" spans="1:1">
      <c r="A286" s="11" t="s">
        <v>84</v>
      </c>
    </row>
    <row r="287" spans="1:1">
      <c r="A287" s="11" t="s">
        <v>84</v>
      </c>
    </row>
    <row r="288" spans="1:1">
      <c r="A288" s="11" t="s">
        <v>84</v>
      </c>
    </row>
    <row r="289" spans="1:1">
      <c r="A289" s="11" t="s">
        <v>84</v>
      </c>
    </row>
    <row r="290" spans="1:1">
      <c r="A290" s="11" t="s">
        <v>84</v>
      </c>
    </row>
    <row r="291" spans="1:1">
      <c r="A291" s="11" t="s">
        <v>84</v>
      </c>
    </row>
    <row r="292" spans="1:1">
      <c r="A292" s="11" t="s">
        <v>84</v>
      </c>
    </row>
    <row r="293" spans="1:1">
      <c r="A293" s="11" t="s">
        <v>84</v>
      </c>
    </row>
    <row r="294" spans="1:1">
      <c r="A294" s="11" t="s">
        <v>84</v>
      </c>
    </row>
    <row r="295" spans="1:1">
      <c r="A295" s="11" t="s">
        <v>84</v>
      </c>
    </row>
    <row r="296" spans="1:1">
      <c r="A296" s="11" t="s">
        <v>84</v>
      </c>
    </row>
    <row r="297" spans="1:1">
      <c r="A297" s="11" t="s">
        <v>84</v>
      </c>
    </row>
    <row r="298" spans="1:1">
      <c r="A298" s="11" t="s">
        <v>84</v>
      </c>
    </row>
    <row r="299" spans="1:1">
      <c r="A299" s="11" t="s">
        <v>84</v>
      </c>
    </row>
    <row r="300" spans="1:1">
      <c r="A300" s="11" t="s">
        <v>84</v>
      </c>
    </row>
    <row r="301" spans="1:1">
      <c r="A301" s="11" t="s">
        <v>84</v>
      </c>
    </row>
    <row r="302" spans="1:1">
      <c r="A302" s="11" t="s">
        <v>84</v>
      </c>
    </row>
    <row r="303" spans="1:1">
      <c r="A303" s="11" t="s">
        <v>84</v>
      </c>
    </row>
    <row r="304" spans="1:1">
      <c r="A304" s="11" t="s">
        <v>84</v>
      </c>
    </row>
    <row r="305" spans="1:1">
      <c r="A305" s="11" t="s">
        <v>84</v>
      </c>
    </row>
    <row r="306" spans="1:1">
      <c r="A306" s="11" t="s">
        <v>84</v>
      </c>
    </row>
    <row r="307" spans="1:1">
      <c r="A307" s="11" t="s">
        <v>84</v>
      </c>
    </row>
    <row r="308" spans="1:1">
      <c r="A308" s="11" t="s">
        <v>84</v>
      </c>
    </row>
    <row r="309" spans="1:1">
      <c r="A309" s="11" t="s">
        <v>84</v>
      </c>
    </row>
    <row r="310" spans="1:1">
      <c r="A310" s="11" t="s">
        <v>84</v>
      </c>
    </row>
    <row r="311" spans="1:1">
      <c r="A311" s="11" t="s">
        <v>84</v>
      </c>
    </row>
    <row r="312" spans="1:1">
      <c r="A312" s="11" t="s">
        <v>84</v>
      </c>
    </row>
    <row r="313" spans="1:1">
      <c r="A313" s="11" t="s">
        <v>84</v>
      </c>
    </row>
    <row r="314" spans="1:1">
      <c r="A314" s="11" t="s">
        <v>84</v>
      </c>
    </row>
    <row r="315" spans="1:1">
      <c r="A315" s="11" t="s">
        <v>84</v>
      </c>
    </row>
    <row r="316" spans="1:1">
      <c r="A316" s="11" t="s">
        <v>84</v>
      </c>
    </row>
    <row r="317" spans="1:1">
      <c r="A317" s="11" t="s">
        <v>84</v>
      </c>
    </row>
    <row r="318" spans="1:1">
      <c r="A318" s="11" t="s">
        <v>84</v>
      </c>
    </row>
    <row r="319" spans="1:1">
      <c r="A319" s="11" t="s">
        <v>84</v>
      </c>
    </row>
    <row r="320" spans="1:1">
      <c r="A320" s="11" t="s">
        <v>84</v>
      </c>
    </row>
    <row r="321" spans="1:1">
      <c r="A321" s="11" t="s">
        <v>84</v>
      </c>
    </row>
    <row r="322" spans="1:1">
      <c r="A322" s="11" t="s">
        <v>84</v>
      </c>
    </row>
    <row r="323" spans="1:1">
      <c r="A323" s="11" t="s">
        <v>84</v>
      </c>
    </row>
    <row r="324" spans="1:1">
      <c r="A324" s="11" t="s">
        <v>84</v>
      </c>
    </row>
    <row r="325" spans="1:1">
      <c r="A325" s="11" t="s">
        <v>84</v>
      </c>
    </row>
    <row r="326" spans="1:1">
      <c r="A326" s="11" t="s">
        <v>84</v>
      </c>
    </row>
    <row r="327" spans="1:1">
      <c r="A327" s="11" t="s">
        <v>84</v>
      </c>
    </row>
    <row r="328" spans="1:1">
      <c r="A328" s="11" t="s">
        <v>84</v>
      </c>
    </row>
    <row r="329" spans="1:1">
      <c r="A329" s="11" t="s">
        <v>84</v>
      </c>
    </row>
    <row r="330" spans="1:1">
      <c r="A330" s="11" t="s">
        <v>84</v>
      </c>
    </row>
    <row r="331" spans="1:1">
      <c r="A331" s="11" t="s">
        <v>84</v>
      </c>
    </row>
    <row r="332" spans="1:1">
      <c r="A332" s="11" t="s">
        <v>84</v>
      </c>
    </row>
    <row r="333" spans="1:1">
      <c r="A333" s="11" t="s">
        <v>84</v>
      </c>
    </row>
    <row r="334" spans="1:1">
      <c r="A334" s="11" t="s">
        <v>84</v>
      </c>
    </row>
    <row r="335" spans="1:1">
      <c r="A335" s="11" t="s">
        <v>84</v>
      </c>
    </row>
    <row r="336" spans="1:1">
      <c r="A336" s="11" t="s">
        <v>84</v>
      </c>
    </row>
    <row r="337" spans="1:1">
      <c r="A337" s="11" t="s">
        <v>84</v>
      </c>
    </row>
    <row r="338" spans="1:1">
      <c r="A338" s="11" t="s">
        <v>84</v>
      </c>
    </row>
    <row r="339" spans="1:1">
      <c r="A339" s="11" t="s">
        <v>84</v>
      </c>
    </row>
    <row r="340" spans="1:1">
      <c r="A340" s="11" t="s">
        <v>84</v>
      </c>
    </row>
    <row r="341" spans="1:1">
      <c r="A341" s="11" t="s">
        <v>84</v>
      </c>
    </row>
    <row r="342" spans="1:1">
      <c r="A342" s="11" t="s">
        <v>84</v>
      </c>
    </row>
    <row r="343" spans="1:1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222"/>
  <sheetViews>
    <sheetView showZeros="0" workbookViewId="0">
      <selection activeCell="D2" sqref="D2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9"/>
  </cols>
  <sheetData>
    <row r="1" spans="1:9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Sarah</cp:lastModifiedBy>
  <cp:lastPrinted>2019-10-02T09:58:16Z</cp:lastPrinted>
  <dcterms:created xsi:type="dcterms:W3CDTF">2018-11-07T08:15:07Z</dcterms:created>
  <dcterms:modified xsi:type="dcterms:W3CDTF">2019-10-06T20:15:27Z</dcterms:modified>
</cp:coreProperties>
</file>