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firstSheet="1" activeTab="1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62913"/>
</workbook>
</file>

<file path=xl/calcChain.xml><?xml version="1.0" encoding="utf-8"?>
<calcChain xmlns="http://schemas.openxmlformats.org/spreadsheetml/2006/main">
  <c r="G23" i="2" l="1"/>
  <c r="G17" i="2"/>
  <c r="F17" i="2"/>
  <c r="E17" i="2"/>
  <c r="R22" i="2"/>
  <c r="Q22" i="2"/>
  <c r="R17" i="2"/>
  <c r="R16" i="2"/>
  <c r="R13" i="2"/>
  <c r="R18" i="2" s="1"/>
  <c r="R12" i="2"/>
  <c r="Q13" i="2"/>
  <c r="Q18" i="2" s="1"/>
  <c r="Q12" i="2"/>
  <c r="R14" i="2"/>
  <c r="Q14" i="2"/>
  <c r="D21" i="2" l="1"/>
  <c r="Q17" i="2"/>
  <c r="D23" i="2" l="1"/>
  <c r="G21" i="2"/>
  <c r="F21" i="2"/>
  <c r="Q16" i="2"/>
  <c r="G9" i="2"/>
  <c r="E22" i="1" l="1"/>
  <c r="G16" i="2" l="1"/>
  <c r="I21" i="2"/>
  <c r="H21" i="2"/>
  <c r="F14" i="2"/>
  <c r="G14" i="2" s="1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5" i="2" l="1"/>
  <c r="G15" i="2"/>
  <c r="F13" i="1"/>
  <c r="B5" i="5" s="1"/>
  <c r="C3" i="6"/>
  <c r="F5" i="6" s="1" a="1"/>
  <c r="F5" i="6" s="1"/>
  <c r="C2" i="6"/>
  <c r="E2" i="6" s="1"/>
  <c r="I33" i="8"/>
  <c r="B2" i="8"/>
  <c r="D24" i="8"/>
  <c r="G21" i="8"/>
  <c r="H6" i="8"/>
  <c r="C30" i="8"/>
  <c r="H22" i="8"/>
  <c r="F25" i="8"/>
  <c r="B26" i="8"/>
  <c r="I11" i="8"/>
  <c r="C27" i="8"/>
  <c r="E26" i="8"/>
  <c r="C22" i="8"/>
  <c r="B36" i="8"/>
  <c r="G19" i="8"/>
  <c r="F8" i="8"/>
  <c r="C5" i="8"/>
  <c r="G8" i="8"/>
  <c r="E5" i="8"/>
  <c r="F6" i="8"/>
  <c r="E21" i="8"/>
  <c r="E11" i="8"/>
  <c r="D14" i="8"/>
  <c r="E32" i="8"/>
  <c r="G12" i="8"/>
  <c r="I21" i="8"/>
  <c r="H35" i="8"/>
  <c r="H37" i="8"/>
  <c r="H33" i="8"/>
  <c r="H11" i="8"/>
  <c r="I23" i="8"/>
  <c r="B6" i="8"/>
  <c r="G36" i="8"/>
  <c r="I15" i="8"/>
  <c r="F11" i="8"/>
  <c r="G4" i="8"/>
  <c r="I22" i="8"/>
  <c r="H14" i="8"/>
  <c r="G3" i="8"/>
  <c r="E30" i="8"/>
  <c r="F28" i="8"/>
  <c r="G29" i="8"/>
  <c r="E27" i="8"/>
  <c r="D27" i="8"/>
  <c r="G26" i="8"/>
  <c r="F13" i="8"/>
  <c r="E19" i="8"/>
  <c r="B7" i="8"/>
  <c r="B37" i="8"/>
  <c r="E3" i="8"/>
  <c r="H25" i="8"/>
  <c r="F18" i="8"/>
  <c r="F15" i="8"/>
  <c r="B28" i="8"/>
  <c r="F33" i="8"/>
  <c r="G6" i="8"/>
  <c r="E14" i="8"/>
  <c r="H16" i="8"/>
  <c r="C24" i="8"/>
  <c r="D5" i="8"/>
  <c r="B23" i="8"/>
  <c r="G32" i="8"/>
  <c r="C21" i="8"/>
  <c r="I9" i="8"/>
  <c r="B24" i="8"/>
  <c r="B25" i="8"/>
  <c r="F21" i="8"/>
  <c r="I36" i="8"/>
  <c r="I18" i="8"/>
  <c r="C2" i="8"/>
  <c r="F24" i="8"/>
  <c r="F35" i="8"/>
  <c r="C16" i="8"/>
  <c r="E9" i="8"/>
  <c r="B22" i="8"/>
  <c r="I28" i="8"/>
  <c r="H30" i="8"/>
  <c r="H9" i="8"/>
  <c r="H7" i="8"/>
  <c r="B11" i="8"/>
  <c r="C15" i="8"/>
  <c r="F9" i="8"/>
  <c r="G13" i="8"/>
  <c r="G23" i="8"/>
  <c r="D23" i="8"/>
  <c r="C4" i="8"/>
  <c r="E33" i="8"/>
  <c r="F34" i="8"/>
  <c r="D9" i="8"/>
  <c r="D35" i="8"/>
  <c r="C37" i="8"/>
  <c r="E34" i="8"/>
  <c r="G7" i="8"/>
  <c r="D18" i="8"/>
  <c r="D28" i="8"/>
  <c r="D11" i="8"/>
  <c r="I20" i="8"/>
  <c r="B35" i="8"/>
  <c r="G30" i="8"/>
  <c r="I14" i="8"/>
  <c r="I32" i="8"/>
  <c r="C9" i="8"/>
  <c r="E28" i="8"/>
  <c r="H19" i="8"/>
  <c r="H15" i="8"/>
  <c r="C3" i="8"/>
  <c r="D29" i="8"/>
  <c r="I35" i="8"/>
  <c r="D26" i="8"/>
  <c r="C8" i="8"/>
  <c r="D31" i="8"/>
  <c r="F7" i="8"/>
  <c r="D4" i="8"/>
  <c r="G16" i="8"/>
  <c r="B17" i="8"/>
  <c r="F19" i="8"/>
  <c r="D10" i="8"/>
  <c r="C19" i="8"/>
  <c r="H17" i="8"/>
  <c r="F23" i="8"/>
  <c r="B19" i="8"/>
  <c r="B5" i="8"/>
  <c r="H21" i="8"/>
  <c r="E24" i="8"/>
  <c r="B15" i="8"/>
  <c r="I7" i="8"/>
  <c r="D34" i="8"/>
  <c r="F14" i="8"/>
  <c r="G28" i="8"/>
  <c r="D19" i="8"/>
  <c r="C11" i="8"/>
  <c r="H10" i="8"/>
  <c r="G15" i="8"/>
  <c r="B9" i="8"/>
  <c r="F17" i="8"/>
  <c r="D25" i="8"/>
  <c r="C14" i="8"/>
  <c r="F31" i="8"/>
  <c r="C17" i="8"/>
  <c r="B18" i="8"/>
  <c r="I6" i="8"/>
  <c r="E6" i="8"/>
  <c r="G14" i="8"/>
  <c r="E12" i="8"/>
  <c r="I19" i="8"/>
  <c r="D16" i="8"/>
  <c r="F2" i="8"/>
  <c r="I16" i="8"/>
  <c r="D22" i="8"/>
  <c r="H34" i="8"/>
  <c r="C28" i="8"/>
  <c r="I30" i="8"/>
  <c r="E10" i="8"/>
  <c r="I29" i="8"/>
  <c r="F27" i="8"/>
  <c r="D33" i="8"/>
  <c r="D8" i="8"/>
  <c r="I2" i="8"/>
  <c r="I4" i="8"/>
  <c r="E31" i="8"/>
  <c r="G33" i="8"/>
  <c r="I10" i="8"/>
  <c r="E4" i="8"/>
  <c r="C25" i="8"/>
  <c r="B27" i="8"/>
  <c r="I12" i="8"/>
  <c r="G10" i="8"/>
  <c r="E37" i="8"/>
  <c r="F20" i="8"/>
  <c r="B34" i="8"/>
  <c r="D37" i="8"/>
  <c r="D13" i="8"/>
  <c r="E36" i="8"/>
  <c r="D6" i="8"/>
  <c r="H12" i="8"/>
  <c r="I25" i="8"/>
  <c r="E35" i="8"/>
  <c r="H28" i="8"/>
  <c r="D32" i="8"/>
  <c r="G9" i="8"/>
  <c r="I3" i="8"/>
  <c r="F12" i="8"/>
  <c r="E20" i="8"/>
  <c r="B30" i="8"/>
  <c r="G25" i="8"/>
  <c r="F30" i="8"/>
  <c r="G27" i="8"/>
  <c r="D15" i="8"/>
  <c r="D20" i="8"/>
  <c r="G11" i="8"/>
  <c r="I17" i="8"/>
  <c r="D7" i="8"/>
  <c r="C6" i="8"/>
  <c r="H23" i="8"/>
  <c r="I31" i="8"/>
  <c r="H8" i="8"/>
  <c r="G37" i="8"/>
  <c r="C36" i="8"/>
  <c r="C10" i="8"/>
  <c r="B20" i="8"/>
  <c r="G2" i="8"/>
  <c r="G34" i="8"/>
  <c r="C18" i="8"/>
  <c r="B3" i="8"/>
  <c r="F37" i="8"/>
  <c r="H27" i="8"/>
  <c r="F22" i="8"/>
  <c r="E13" i="8"/>
  <c r="E23" i="8"/>
  <c r="I37" i="8"/>
  <c r="B32" i="8"/>
  <c r="C13" i="8"/>
  <c r="C7" i="8"/>
  <c r="E7" i="8"/>
  <c r="H5" i="8"/>
  <c r="E29" i="8"/>
  <c r="G5" i="8"/>
  <c r="B33" i="8"/>
  <c r="C20" i="8"/>
  <c r="C34" i="8"/>
  <c r="B21" i="8"/>
  <c r="E8" i="8"/>
  <c r="C26" i="8"/>
  <c r="F16" i="8"/>
  <c r="F3" i="8"/>
  <c r="H18" i="8"/>
  <c r="I34" i="8"/>
  <c r="F32" i="8"/>
  <c r="D2" i="8"/>
  <c r="I26" i="8"/>
  <c r="B31" i="8"/>
  <c r="C29" i="8"/>
  <c r="G24" i="8"/>
  <c r="E15" i="8"/>
  <c r="F5" i="8"/>
  <c r="F26" i="8"/>
  <c r="D30" i="8"/>
  <c r="E22" i="8"/>
  <c r="G20" i="8"/>
  <c r="B12" i="8"/>
  <c r="H24" i="8"/>
  <c r="I8" i="8"/>
  <c r="G35" i="8"/>
  <c r="D17" i="8"/>
  <c r="H4" i="8"/>
  <c r="E16" i="8"/>
  <c r="I24" i="8"/>
  <c r="G22" i="8"/>
  <c r="B10" i="8"/>
  <c r="H29" i="8"/>
  <c r="H2" i="8"/>
  <c r="E25" i="8"/>
  <c r="B8" i="8"/>
  <c r="E17" i="8"/>
  <c r="C12" i="8"/>
  <c r="C23" i="8"/>
  <c r="C32" i="8"/>
  <c r="B29" i="8"/>
  <c r="C31" i="8"/>
  <c r="E2" i="8"/>
  <c r="B13" i="8"/>
  <c r="I13" i="8"/>
  <c r="H20" i="8"/>
  <c r="E18" i="8"/>
  <c r="F4" i="8"/>
  <c r="D3" i="8"/>
  <c r="B4" i="8"/>
  <c r="H36" i="8"/>
  <c r="F10" i="8"/>
  <c r="D12" i="8"/>
  <c r="I5" i="8"/>
  <c r="B14" i="8"/>
  <c r="D21" i="8"/>
  <c r="H26" i="8"/>
  <c r="C33" i="8"/>
  <c r="D36" i="8"/>
  <c r="H32" i="8"/>
  <c r="G31" i="8"/>
  <c r="H31" i="8"/>
  <c r="H3" i="8"/>
  <c r="F29" i="8"/>
  <c r="F36" i="8"/>
  <c r="I27" i="8"/>
  <c r="C35" i="8"/>
  <c r="B16" i="8"/>
  <c r="G17" i="8"/>
  <c r="G18" i="8"/>
  <c r="H13" i="8"/>
  <c r="S20" i="2" l="1"/>
  <c r="F25" i="2"/>
  <c r="G19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Q23" i="2" l="1"/>
  <c r="G25" i="2"/>
  <c r="G1" i="1"/>
  <c r="R21" i="2" l="1"/>
  <c r="R23" i="2"/>
  <c r="D5" i="5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F23" i="2"/>
  <c r="Q21" i="2" s="1"/>
</calcChain>
</file>

<file path=xl/sharedStrings.xml><?xml version="1.0" encoding="utf-8"?>
<sst xmlns="http://schemas.openxmlformats.org/spreadsheetml/2006/main" count="517" uniqueCount="175">
  <si>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</si>
  <si>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</si>
  <si>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</si>
  <si>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</si>
  <si>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</si>
  <si>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</si>
  <si>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</si>
  <si>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</si>
  <si>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</si>
  <si>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</si>
  <si>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</si>
  <si>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</si>
  <si>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</si>
  <si>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</si>
  <si>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</si>
  <si>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</si>
  <si>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</si>
  <si>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</si>
  <si>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</si>
  <si>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</si>
  <si>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</si>
  <si>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</si>
  <si>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</si>
  <si>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</si>
  <si>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</si>
  <si>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</si>
  <si>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</si>
  <si>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</si>
  <si>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</si>
  <si>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</si>
  <si>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</si>
  <si>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</si>
  <si>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</si>
  <si>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</si>
  <si>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</si>
  <si>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</si>
  <si>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</si>
  <si>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</si>
  <si>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</si>
  <si>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</si>
  <si>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</si>
  <si>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</si>
  <si>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</si>
  <si>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</si>
  <si>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</si>
  <si>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</si>
  <si>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</si>
  <si>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</si>
  <si>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</si>
  <si>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</si>
  <si>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</si>
  <si>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</si>
  <si>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</si>
  <si>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</si>
  <si>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</si>
  <si>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</si>
  <si>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</si>
  <si>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</si>
  <si>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</si>
  <si>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</si>
  <si>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</si>
  <si>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</si>
  <si>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</si>
  <si>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</si>
  <si>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</si>
  <si>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</si>
  <si>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</si>
  <si>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</si>
  <si>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</si>
  <si>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</si>
  <si>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</si>
  <si>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</si>
  <si>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</si>
  <si>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</si>
  <si>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</si>
  <si>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</si>
  <si>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</si>
  <si>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</si>
  <si>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</si>
  <si>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</si>
  <si>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</si>
  <si>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</si>
  <si>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</si>
  <si>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</si>
  <si>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</si>
  <si>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</si>
  <si>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</si>
  <si>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</si>
  <si>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</si>
  <si>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</si>
  <si>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</si>
  <si>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</si>
  <si>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</si>
  <si>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</si>
  <si>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</si>
  <si>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</si>
  <si>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</si>
  <si>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</si>
  <si>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</si>
  <si>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</si>
  <si>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</si>
  <si>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</si>
  <si>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</si>
  <si>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</si>
  <si>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</si>
  <si>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</si>
  <si>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</si>
  <si>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</si>
  <si>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</si>
  <si>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</si>
  <si>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</si>
  <si>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</si>
  <si>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</si>
  <si>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</si>
  <si>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</si>
  <si>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</si>
  <si>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</si>
  <si>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</si>
  <si>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</si>
  <si>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</si>
  <si>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</si>
  <si>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</si>
  <si>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</si>
  <si>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</si>
  <si>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</si>
  <si>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</si>
  <si>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</si>
  <si>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</si>
  <si>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</si>
  <si>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</si>
  <si>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</si>
  <si>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</si>
  <si>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</si>
  <si>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</si>
  <si>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</si>
  <si>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</si>
  <si>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</si>
  <si>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</si>
  <si>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</si>
  <si>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</si>
  <si>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</si>
  <si>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</si>
  <si>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</si>
  <si>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</si>
  <si>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</si>
  <si>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</si>
  <si>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</si>
  <si>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</si>
  <si>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</si>
  <si>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</si>
  <si>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</si>
  <si>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</si>
  <si>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</si>
  <si>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</si>
  <si>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</si>
  <si>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</si>
  <si>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</si>
  <si>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</si>
  <si>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</si>
  <si>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</si>
  <si>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</si>
  <si>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</si>
  <si>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</si>
  <si>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</si>
  <si>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</si>
  <si>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</si>
  <si>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</si>
  <si>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</si>
  <si>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</si>
  <si>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</si>
  <si>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</si>
  <si>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</si>
  <si>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Sous total REG Prp capitaux</t>
  </si>
  <si>
    <t>Montant Rpr capitaux</t>
  </si>
  <si>
    <t>Total à payer Rpr capitaux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</si>
</sst>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43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43" fontId="25" fillId="13" borderId="2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23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43" fontId="25" fillId="13" borderId="18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font>
        <color rgb="FF00B0F0"/>
      </font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3" dataDxfId="2">
  <autoFilter ref="F1:F69"/>
  <tableColumns count="1">
    <tableColumn id="1" name="agence" dataDxfId="1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7"/>
  <sheetViews>
    <sheetView tabSelected="1" topLeftCell="A3" workbookViewId="0">
      <selection activeCell="F23" sqref="F23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6.1406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4" width="11.42578125" style="50"/>
    <col min="15" max="15" width="28.5703125" style="50" bestFit="1" customWidth="1"/>
    <col min="16" max="16" width="11.42578125" style="50"/>
    <col min="17" max="17" width="16.42578125" style="50" bestFit="1" customWidth="1"/>
    <col min="18" max="18" width="14.85546875" style="50" bestFit="1" customWidth="1"/>
    <col min="19" max="19" width="11.85546875" style="50" bestFit="1" customWidth="1"/>
    <col min="20" max="16384" width="11.42578125" style="50"/>
  </cols>
  <sheetData>
    <row r="2" spans="3:18" ht="15.75" thickBot="1" x14ac:dyDescent="0.3"/>
    <row r="3" spans="3:18" x14ac:dyDescent="0.25">
      <c r="C3" s="92"/>
      <c r="D3" s="95"/>
      <c r="E3" s="96"/>
      <c r="F3" s="96"/>
      <c r="G3" s="96"/>
      <c r="H3" s="96"/>
      <c r="I3" s="97"/>
      <c r="J3" s="92" t="s">
        <v>147</v>
      </c>
    </row>
    <row r="4" spans="3:18" x14ac:dyDescent="0.25">
      <c r="C4" s="93"/>
      <c r="D4" s="98"/>
      <c r="E4" s="99"/>
      <c r="F4" s="99"/>
      <c r="G4" s="99"/>
      <c r="H4" s="99"/>
      <c r="I4" s="100"/>
      <c r="J4" s="93"/>
    </row>
    <row r="5" spans="3:18" x14ac:dyDescent="0.25">
      <c r="C5" s="93"/>
      <c r="D5" s="98"/>
      <c r="E5" s="99"/>
      <c r="F5" s="99"/>
      <c r="G5" s="99"/>
      <c r="H5" s="99"/>
      <c r="I5" s="100"/>
      <c r="J5" s="93"/>
    </row>
    <row r="6" spans="3:18" ht="15.75" thickBot="1" x14ac:dyDescent="0.3">
      <c r="C6" s="93"/>
      <c r="D6" s="101"/>
      <c r="E6" s="102"/>
      <c r="F6" s="102"/>
      <c r="G6" s="102"/>
      <c r="H6" s="102"/>
      <c r="I6" s="103"/>
      <c r="J6" s="93"/>
    </row>
    <row r="7" spans="3:18" ht="15.75" thickBot="1" x14ac:dyDescent="0.3">
      <c r="C7" s="93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93"/>
    </row>
    <row r="8" spans="3:18" ht="15.75" x14ac:dyDescent="0.25">
      <c r="C8" s="93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93"/>
    </row>
    <row r="9" spans="3:18" ht="15.75" x14ac:dyDescent="0.25">
      <c r="C9" s="93"/>
      <c r="D9" s="61" t="s">
        <v>154</v>
      </c>
      <c r="E9" s="62">
        <v>84</v>
      </c>
      <c r="F9" s="59">
        <v>1000</v>
      </c>
      <c r="G9" s="59">
        <f>F9/1.19</f>
        <v>840.3361344537816</v>
      </c>
      <c r="H9" s="59"/>
      <c r="I9" s="60"/>
      <c r="J9" s="93"/>
    </row>
    <row r="10" spans="3:18" ht="15.75" x14ac:dyDescent="0.25">
      <c r="C10" s="93"/>
      <c r="D10" s="61" t="s">
        <v>155</v>
      </c>
      <c r="E10" s="58"/>
      <c r="F10" s="59">
        <v>1000</v>
      </c>
      <c r="G10" s="59">
        <f>F10</f>
        <v>1000</v>
      </c>
      <c r="H10" s="59"/>
      <c r="I10" s="60"/>
      <c r="J10" s="93"/>
    </row>
    <row r="11" spans="3:18" ht="15.75" x14ac:dyDescent="0.25">
      <c r="C11" s="93"/>
      <c r="D11" s="63" t="s">
        <v>156</v>
      </c>
      <c r="E11" s="64"/>
      <c r="F11" s="65">
        <v>100</v>
      </c>
      <c r="G11" s="65">
        <f>F11/1.19</f>
        <v>84.033613445378151</v>
      </c>
      <c r="H11" s="59"/>
      <c r="I11" s="60"/>
      <c r="J11" s="93"/>
    </row>
    <row r="12" spans="3:18" ht="15.75" x14ac:dyDescent="0.25">
      <c r="C12" s="93"/>
      <c r="D12" s="63" t="s">
        <v>157</v>
      </c>
      <c r="E12" s="64"/>
      <c r="F12" s="65">
        <v>50</v>
      </c>
      <c r="G12" s="65">
        <f>F12/1.19</f>
        <v>42.016806722689076</v>
      </c>
      <c r="H12" s="59"/>
      <c r="I12" s="60"/>
      <c r="J12" s="93"/>
      <c r="O12" s="75" t="s">
        <v>162</v>
      </c>
      <c r="P12" s="67">
        <v>0.15</v>
      </c>
      <c r="Q12" s="76">
        <f>IFERROR((F14-F10)*F11/(F11+(ROUND(F11*E12,2))),"")</f>
        <v>-987.5</v>
      </c>
      <c r="R12" s="76">
        <f>IFERROR((G14-G10)*G11/(G11+(ROUND(G11*F12,2))),"")</f>
        <v>-19.401881441850573</v>
      </c>
    </row>
    <row r="13" spans="3:18" ht="15.75" x14ac:dyDescent="0.25">
      <c r="C13" s="93"/>
      <c r="D13" s="66" t="s">
        <v>158</v>
      </c>
      <c r="E13" s="67">
        <v>0.1</v>
      </c>
      <c r="F13" s="68">
        <f>F8*E13</f>
        <v>1000</v>
      </c>
      <c r="G13" s="68">
        <f>F13/1.19</f>
        <v>840.3361344537816</v>
      </c>
      <c r="H13" s="59"/>
      <c r="I13" s="60"/>
      <c r="J13" s="93"/>
      <c r="O13" s="75" t="s">
        <v>163</v>
      </c>
      <c r="P13" s="67">
        <v>0.25</v>
      </c>
      <c r="Q13" s="76">
        <f>IFERROR((F14-F10)*F11/(F11+ROUND(F11*E13,2)),"")</f>
        <v>-897.72727272727275</v>
      </c>
      <c r="R13" s="76">
        <f>IFERROR((G14-G10)*G11/(G11+ROUND(G11*F13,2)),"")</f>
        <v>-0.98850733151661163</v>
      </c>
    </row>
    <row r="14" spans="3:18" ht="15.75" x14ac:dyDescent="0.25">
      <c r="C14" s="93"/>
      <c r="D14" s="66" t="s">
        <v>159</v>
      </c>
      <c r="E14" s="67">
        <v>0.25</v>
      </c>
      <c r="F14" s="69">
        <f>E14*F12</f>
        <v>12.5</v>
      </c>
      <c r="G14" s="70">
        <f>F14/1.19</f>
        <v>10.504201680672269</v>
      </c>
      <c r="H14" s="59"/>
      <c r="I14" s="60"/>
      <c r="J14" s="93"/>
      <c r="O14" s="75" t="s">
        <v>172</v>
      </c>
      <c r="Q14" s="50" t="e">
        <f>(P10)*P6/P7</f>
        <v>#DIV/0!</v>
      </c>
      <c r="R14" s="50" t="e">
        <f>(Q10)*Q6/Q7</f>
        <v>#DIV/0!</v>
      </c>
    </row>
    <row r="15" spans="3:18" ht="18.75" x14ac:dyDescent="0.25">
      <c r="C15" s="93"/>
      <c r="D15" s="104" t="s">
        <v>160</v>
      </c>
      <c r="E15" s="105"/>
      <c r="F15" s="71">
        <f>(F8+F9+F10+F12+F11)-(F13+F14)</f>
        <v>11137.5</v>
      </c>
      <c r="G15" s="71">
        <f>(G8+G9+G10+G12+G11)-(G13+G14)</f>
        <v>9518.9075630252119</v>
      </c>
      <c r="H15" s="59"/>
      <c r="I15" s="60"/>
      <c r="J15" s="93"/>
    </row>
    <row r="16" spans="3:18" ht="15.75" x14ac:dyDescent="0.25">
      <c r="C16" s="93"/>
      <c r="D16" s="72" t="s">
        <v>161</v>
      </c>
      <c r="E16" s="73">
        <v>2300</v>
      </c>
      <c r="F16" s="74"/>
      <c r="G16" s="74">
        <f>F16</f>
        <v>0</v>
      </c>
      <c r="H16" s="59"/>
      <c r="I16" s="60"/>
      <c r="J16" s="93"/>
      <c r="O16" s="78" t="s">
        <v>166</v>
      </c>
      <c r="P16" s="58"/>
      <c r="Q16" s="80">
        <f>IFERROR((Q9-Q13)+Q11,"")</f>
        <v>897.72727272727275</v>
      </c>
      <c r="R16" s="80">
        <f>IFERROR((R9-R13)+R11,"")</f>
        <v>0.98850733151661163</v>
      </c>
    </row>
    <row r="17" spans="3:19" ht="15.75" x14ac:dyDescent="0.25">
      <c r="C17" s="93"/>
      <c r="D17" s="75" t="s">
        <v>163</v>
      </c>
      <c r="E17" s="67">
        <f>VLOOKUP(D17,O12:R14,2,0)</f>
        <v>0.25</v>
      </c>
      <c r="F17" s="67">
        <f>IFERROR(VLOOKUP(D17,O12:R14,3,0),"")</f>
        <v>-897.72727272727275</v>
      </c>
      <c r="G17" s="67">
        <f>IFERROR(VLOOKUP(D17,O12:R14,4,0),"")</f>
        <v>-0.98850733151661163</v>
      </c>
      <c r="H17" s="59"/>
      <c r="I17" s="60"/>
      <c r="J17" s="93"/>
      <c r="O17" s="78" t="s">
        <v>173</v>
      </c>
      <c r="P17" s="58"/>
      <c r="Q17" s="80">
        <f>IFERROR((Q9-Q13)+Q12,"")</f>
        <v>-89.772727272727252</v>
      </c>
      <c r="R17" s="80">
        <f>IFERROR((R9-R13)+R12,"")</f>
        <v>-18.413374110333962</v>
      </c>
    </row>
    <row r="18" spans="3:19" ht="15.75" x14ac:dyDescent="0.25">
      <c r="C18" s="93"/>
      <c r="D18" s="75"/>
      <c r="E18" s="67"/>
      <c r="F18" s="76"/>
      <c r="G18" s="76"/>
      <c r="H18" s="59"/>
      <c r="I18" s="60"/>
      <c r="J18" s="93"/>
      <c r="O18" s="78" t="s">
        <v>167</v>
      </c>
      <c r="Q18" s="50">
        <f>Q9-Q13</f>
        <v>897.72727272727275</v>
      </c>
      <c r="R18" s="50">
        <f>R9-R13</f>
        <v>0.98850733151661163</v>
      </c>
    </row>
    <row r="19" spans="3:19" ht="15.75" x14ac:dyDescent="0.25">
      <c r="C19" s="93"/>
      <c r="D19" s="77" t="s">
        <v>140</v>
      </c>
      <c r="E19" s="67">
        <v>0.1</v>
      </c>
      <c r="F19" s="70">
        <v>1875</v>
      </c>
      <c r="G19" s="70">
        <f>G15*E19</f>
        <v>951.89075630252125</v>
      </c>
      <c r="H19" s="59"/>
      <c r="I19" s="60"/>
      <c r="J19" s="93"/>
      <c r="S19" s="50" t="s">
        <v>164</v>
      </c>
    </row>
    <row r="20" spans="3:19" ht="15.75" x14ac:dyDescent="0.25">
      <c r="C20" s="93"/>
      <c r="D20" s="78" t="s">
        <v>165</v>
      </c>
      <c r="E20" s="58"/>
      <c r="F20" s="59">
        <v>200</v>
      </c>
      <c r="G20" s="59">
        <v>200</v>
      </c>
      <c r="H20" s="59"/>
      <c r="I20" s="60"/>
      <c r="J20" s="93"/>
      <c r="S20" s="79">
        <f>F15*E19</f>
        <v>1113.75</v>
      </c>
    </row>
    <row r="21" spans="3:19" ht="19.5" thickBot="1" x14ac:dyDescent="0.3">
      <c r="C21" s="93"/>
      <c r="D21" s="78" t="str">
        <f>IF(D17=O12,O16,O17)</f>
        <v>Montant Rpr capitaux</v>
      </c>
      <c r="E21" s="58"/>
      <c r="F21" s="80">
        <f>VLOOKUP(D21,O16:R18,3,0)</f>
        <v>-89.772727272727252</v>
      </c>
      <c r="G21" s="80">
        <f>IFERROR(VLOOKUP(D21,O16:R18,3,0),"")</f>
        <v>-89.772727272727252</v>
      </c>
      <c r="H21" s="81">
        <f>SUM(H8:H20)</f>
        <v>0</v>
      </c>
      <c r="I21" s="82">
        <f>SUM(I8:I20)</f>
        <v>0</v>
      </c>
      <c r="J21" s="93"/>
      <c r="O21" s="84" t="s">
        <v>168</v>
      </c>
      <c r="P21" s="85"/>
      <c r="Q21" s="86">
        <f>F17-F22+F23-F24</f>
        <v>89.772727272727252</v>
      </c>
      <c r="R21" s="86">
        <f>G17-G22+G23-G24</f>
        <v>988.50729098781107</v>
      </c>
      <c r="S21" s="50">
        <v>2500</v>
      </c>
    </row>
    <row r="22" spans="3:19" ht="18.75" x14ac:dyDescent="0.25">
      <c r="C22" s="93"/>
      <c r="D22" s="78"/>
      <c r="E22" s="58"/>
      <c r="F22" s="80"/>
      <c r="G22" s="83"/>
      <c r="H22" s="106"/>
      <c r="I22" s="107"/>
      <c r="J22" s="93"/>
      <c r="O22" s="84" t="s">
        <v>169</v>
      </c>
      <c r="P22" s="85"/>
      <c r="Q22" s="86">
        <f>IFERROR((F10-F14+F16-F18),"")</f>
        <v>987.5</v>
      </c>
      <c r="R22" s="86">
        <f>IFERROR((G10-G14+G16-G18),"")</f>
        <v>989.49579831932772</v>
      </c>
      <c r="S22" s="50">
        <v>3000</v>
      </c>
    </row>
    <row r="23" spans="3:19" ht="18.75" x14ac:dyDescent="0.25">
      <c r="C23" s="93"/>
      <c r="D23" s="84" t="str">
        <f>IF(D21=O16,O21,O22)</f>
        <v>Total à payer Rpr Permis</v>
      </c>
      <c r="E23" s="85"/>
      <c r="F23" s="86">
        <f>VLOOKUP(D23,O21:R23,3,0)</f>
        <v>987.5</v>
      </c>
      <c r="G23" s="86">
        <f>IFERROR(VLOOKUP(D23,O21:R23,4,0),"")</f>
        <v>989.49579831932772</v>
      </c>
      <c r="H23" s="108"/>
      <c r="I23" s="109"/>
      <c r="J23" s="93"/>
      <c r="O23" s="84" t="s">
        <v>174</v>
      </c>
      <c r="Q23" s="173">
        <f>F11-F16+F17-F20</f>
        <v>-997.72727272727275</v>
      </c>
      <c r="R23" s="173">
        <f>G11-G16+G17-G20</f>
        <v>-116.95489388613846</v>
      </c>
      <c r="S23" s="50">
        <v>10000</v>
      </c>
    </row>
    <row r="24" spans="3:19" ht="18.75" x14ac:dyDescent="0.25">
      <c r="C24" s="93"/>
      <c r="D24" s="84"/>
      <c r="E24" s="85"/>
      <c r="F24" s="86"/>
      <c r="G24" s="87"/>
      <c r="H24" s="108"/>
      <c r="I24" s="109"/>
      <c r="J24" s="93"/>
      <c r="S24" s="50">
        <v>50000</v>
      </c>
    </row>
    <row r="25" spans="3:19" ht="19.5" thickBot="1" x14ac:dyDescent="0.3">
      <c r="C25" s="93"/>
      <c r="D25" s="88" t="s">
        <v>170</v>
      </c>
      <c r="E25" s="89"/>
      <c r="F25" s="90">
        <f>F15-F19+F20</f>
        <v>9462.5</v>
      </c>
      <c r="G25" s="91">
        <f>G15-G19+G20</f>
        <v>8767.0168067226914</v>
      </c>
      <c r="H25" s="108"/>
      <c r="I25" s="109"/>
      <c r="J25" s="94"/>
    </row>
    <row r="26" spans="3:19" x14ac:dyDescent="0.25">
      <c r="C26" s="93"/>
      <c r="D26" s="110" t="s">
        <v>171</v>
      </c>
      <c r="E26" s="111"/>
      <c r="F26" s="111"/>
      <c r="G26" s="111"/>
      <c r="H26" s="111"/>
      <c r="I26" s="111"/>
      <c r="J26" s="112"/>
    </row>
    <row r="27" spans="3:19" ht="15.75" thickBot="1" x14ac:dyDescent="0.3">
      <c r="C27" s="94"/>
      <c r="D27" s="113"/>
      <c r="E27" s="114"/>
      <c r="F27" s="114"/>
      <c r="G27" s="114"/>
      <c r="H27" s="114"/>
      <c r="I27" s="114"/>
      <c r="J27" s="115"/>
    </row>
  </sheetData>
  <mergeCells count="6">
    <mergeCell ref="C3:C27"/>
    <mergeCell ref="D3:I6"/>
    <mergeCell ref="J3:J25"/>
    <mergeCell ref="D15:E15"/>
    <mergeCell ref="H22:I25"/>
    <mergeCell ref="D26:J27"/>
  </mergeCells>
  <conditionalFormatting sqref="E13">
    <cfRule type="dataBar" priority="6">
      <dataBar>
        <cfvo type="min"/>
        <cfvo type="max"/>
        <color rgb="FF638EC6"/>
      </dataBar>
    </cfRule>
  </conditionalFormatting>
  <conditionalFormatting sqref="E14">
    <cfRule type="dataBar" priority="5">
      <dataBar>
        <cfvo type="min"/>
        <cfvo type="max"/>
        <color rgb="FF638EC6"/>
      </dataBar>
    </cfRule>
  </conditionalFormatting>
  <conditionalFormatting sqref="E17:E18 F17:G17">
    <cfRule type="dataBar" priority="4">
      <dataBar>
        <cfvo type="min"/>
        <cfvo type="max"/>
        <color rgb="FF63C384"/>
      </dataBar>
    </cfRule>
  </conditionalFormatting>
  <conditionalFormatting sqref="E13:E14">
    <cfRule type="dataBar" priority="3">
      <dataBar>
        <cfvo type="min"/>
        <cfvo type="max"/>
        <color rgb="FFFFB628"/>
      </dataBar>
    </cfRule>
  </conditionalFormatting>
  <conditionalFormatting sqref="E19">
    <cfRule type="dataBar" priority="2">
      <dataBar>
        <cfvo type="min"/>
        <cfvo type="max"/>
        <color rgb="FFFF555A"/>
      </dataBar>
    </cfRule>
  </conditionalFormatting>
  <conditionalFormatting sqref="P12:P13">
    <cfRule type="dataBar" priority="1">
      <dataBar>
        <cfvo type="min"/>
        <cfvo type="max"/>
        <color rgb="FF63C384"/>
      </dataBar>
    </cfRule>
  </conditionalFormatting>
  <dataValidations count="3">
    <dataValidation type="list" allowBlank="1" showInputMessage="1" showErrorMessage="1" sqref="F19">
      <formula1>$S$20:$S$24</formula1>
    </dataValidation>
    <dataValidation type="list" allowBlank="1" showInputMessage="1" showErrorMessage="1" sqref="D17">
      <formula1>$O$12:$O$14</formula1>
    </dataValidation>
    <dataValidation type="list" allowBlank="1" showInputMessage="1" showErrorMessage="1" sqref="P12">
      <formula1>$O$12:$O$14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L16" sqref="L16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35"/>
      <c r="C1" s="135"/>
      <c r="F1" s="18" t="s">
        <v>9</v>
      </c>
      <c r="G1" s="9">
        <f ca="1">TODAY()</f>
        <v>43738</v>
      </c>
    </row>
    <row r="2" spans="2:30" x14ac:dyDescent="0.25">
      <c r="B2" s="135"/>
      <c r="C2" s="135"/>
      <c r="D2" s="138" t="s">
        <v>11</v>
      </c>
      <c r="E2" s="138"/>
    </row>
    <row r="3" spans="2:30" x14ac:dyDescent="0.25">
      <c r="B3" s="135"/>
      <c r="C3" s="135"/>
      <c r="D3" s="138" t="s">
        <v>12</v>
      </c>
      <c r="E3" s="138"/>
      <c r="AD3" t="s">
        <v>32</v>
      </c>
    </row>
    <row r="4" spans="2:30" ht="24" thickBot="1" x14ac:dyDescent="0.4">
      <c r="B4" s="135"/>
      <c r="C4" s="135"/>
      <c r="D4" s="139" t="s">
        <v>29</v>
      </c>
      <c r="E4" s="139"/>
      <c r="F4" s="139"/>
      <c r="AD4" s="45" t="s">
        <v>33</v>
      </c>
    </row>
    <row r="5" spans="2:30" ht="18.75" x14ac:dyDescent="0.3">
      <c r="B5" s="140" t="s">
        <v>13</v>
      </c>
      <c r="C5" s="141"/>
      <c r="D5" s="141"/>
      <c r="E5" s="141"/>
      <c r="F5" s="141"/>
      <c r="G5" s="142"/>
      <c r="AD5" s="45" t="s">
        <v>34</v>
      </c>
    </row>
    <row r="6" spans="2:30" ht="19.5" thickBot="1" x14ac:dyDescent="0.35">
      <c r="B6" s="143" t="s">
        <v>20</v>
      </c>
      <c r="C6" s="144"/>
      <c r="D6" s="144"/>
      <c r="E6" s="144"/>
      <c r="F6" s="144"/>
      <c r="G6" s="145"/>
      <c r="AD6" s="45" t="s">
        <v>35</v>
      </c>
    </row>
    <row r="8" spans="2:30" ht="15.75" x14ac:dyDescent="0.25">
      <c r="B8" s="19" t="s">
        <v>14</v>
      </c>
      <c r="C8" s="146">
        <v>250</v>
      </c>
      <c r="D8" s="146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47"/>
      <c r="D9" s="147"/>
      <c r="E9" s="20" t="s">
        <v>19</v>
      </c>
      <c r="F9" s="21"/>
      <c r="G9" s="22"/>
    </row>
    <row r="10" spans="2:30" ht="15.75" x14ac:dyDescent="0.25">
      <c r="B10" s="19" t="s">
        <v>16</v>
      </c>
      <c r="C10" s="147"/>
      <c r="D10" s="147"/>
      <c r="E10" s="20"/>
      <c r="F10" s="20"/>
      <c r="G10" s="22"/>
    </row>
    <row r="11" spans="2:30" ht="15.75" x14ac:dyDescent="0.25">
      <c r="B11" s="19" t="s">
        <v>17</v>
      </c>
      <c r="C11" s="147"/>
      <c r="D11" s="147"/>
      <c r="E11" s="20"/>
      <c r="F11" s="47"/>
      <c r="G11" s="22"/>
    </row>
    <row r="12" spans="2:30" ht="15.75" thickBot="1" x14ac:dyDescent="0.3"/>
    <row r="13" spans="2:30" ht="15" customHeight="1" x14ac:dyDescent="0.25">
      <c r="B13" s="120" t="s">
        <v>142</v>
      </c>
      <c r="C13" s="121"/>
      <c r="D13" s="121"/>
      <c r="E13" s="121"/>
      <c r="F13" s="122">
        <f>Base!G28</f>
        <v>0</v>
      </c>
      <c r="G13" s="123"/>
    </row>
    <row r="14" spans="2:30" ht="15" customHeight="1" x14ac:dyDescent="0.25">
      <c r="B14" s="124" t="str">
        <f>'.'!C5</f>
        <v xml:space="preserve">Zéro Dinars </v>
      </c>
      <c r="C14" s="125"/>
      <c r="D14" s="125"/>
      <c r="E14" s="125"/>
      <c r="F14" s="125"/>
      <c r="G14" s="126"/>
    </row>
    <row r="15" spans="2:30" ht="15" customHeight="1" x14ac:dyDescent="0.25">
      <c r="B15" s="124"/>
      <c r="C15" s="125"/>
      <c r="D15" s="125"/>
      <c r="E15" s="125"/>
      <c r="F15" s="125"/>
      <c r="G15" s="126"/>
    </row>
    <row r="16" spans="2:30" ht="15.75" customHeight="1" x14ac:dyDescent="0.25">
      <c r="B16" s="164" t="s">
        <v>30</v>
      </c>
      <c r="C16" s="165"/>
      <c r="D16" s="165"/>
      <c r="E16" s="165"/>
      <c r="F16" s="165"/>
      <c r="G16" s="166"/>
    </row>
    <row r="17" spans="2:7" ht="20.25" customHeight="1" thickBot="1" x14ac:dyDescent="0.3">
      <c r="B17" s="43" t="s">
        <v>31</v>
      </c>
      <c r="C17" s="44" t="s">
        <v>35</v>
      </c>
      <c r="D17" s="167" t="s">
        <v>36</v>
      </c>
      <c r="E17" s="167"/>
      <c r="F17" s="167"/>
      <c r="G17" s="168"/>
    </row>
    <row r="18" spans="2:7" ht="16.5" thickBot="1" x14ac:dyDescent="0.3">
      <c r="B18" s="23"/>
      <c r="C18" s="148" t="s">
        <v>8</v>
      </c>
      <c r="D18" s="149"/>
      <c r="E18" s="169">
        <v>840.3361344537816</v>
      </c>
      <c r="F18" s="170"/>
      <c r="G18" s="24"/>
    </row>
    <row r="19" spans="2:7" ht="16.5" thickBot="1" x14ac:dyDescent="0.3">
      <c r="B19" s="23"/>
      <c r="C19" s="148" t="s">
        <v>0</v>
      </c>
      <c r="D19" s="149"/>
      <c r="E19" s="169">
        <v>1000</v>
      </c>
      <c r="F19" s="170"/>
      <c r="G19" s="24"/>
    </row>
    <row r="20" spans="2:7" ht="16.5" thickBot="1" x14ac:dyDescent="0.3">
      <c r="B20" s="23"/>
      <c r="C20" s="148" t="s">
        <v>3</v>
      </c>
      <c r="D20" s="149"/>
      <c r="E20" s="169">
        <v>8403.361344537816</v>
      </c>
      <c r="F20" s="170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48" t="s">
        <v>4</v>
      </c>
      <c r="D22" s="149"/>
      <c r="E22" s="169">
        <f>E18+E19+E20</f>
        <v>10243.697478991598</v>
      </c>
      <c r="F22" s="170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48" t="s">
        <v>5</v>
      </c>
      <c r="D24" s="149"/>
      <c r="E24" s="169">
        <v>840.3361344537816</v>
      </c>
      <c r="F24" s="170"/>
      <c r="G24" s="24"/>
    </row>
    <row r="25" spans="2:7" ht="16.5" thickBot="1" x14ac:dyDescent="0.3">
      <c r="B25" s="23"/>
      <c r="C25" s="127" t="s">
        <v>6</v>
      </c>
      <c r="D25" s="128"/>
      <c r="E25" s="171">
        <v>10.504201680672269</v>
      </c>
      <c r="F25" s="172"/>
      <c r="G25" s="24"/>
    </row>
    <row r="26" spans="2:7" ht="16.5" thickBot="1" x14ac:dyDescent="0.3">
      <c r="B26" s="23"/>
      <c r="C26" s="148" t="s">
        <v>37</v>
      </c>
      <c r="D26" s="149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48" t="s">
        <v>4</v>
      </c>
      <c r="D28" s="150"/>
      <c r="E28" s="169">
        <v>9518.9075630252119</v>
      </c>
      <c r="F28" s="170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69">
        <v>951.89075630252125</v>
      </c>
      <c r="F30" s="170"/>
      <c r="G30" s="24"/>
    </row>
    <row r="31" spans="2:7" ht="16.5" thickBot="1" x14ac:dyDescent="0.3">
      <c r="B31" s="23"/>
      <c r="C31" s="151" t="s">
        <v>141</v>
      </c>
      <c r="D31" s="152"/>
      <c r="E31" s="129">
        <v>200</v>
      </c>
      <c r="F31" s="130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31">
        <v>8767.0168067226914</v>
      </c>
      <c r="F33" s="132"/>
      <c r="G33" s="24"/>
    </row>
    <row r="34" spans="1:8" ht="16.5" thickBot="1" x14ac:dyDescent="0.3">
      <c r="A34" s="1"/>
      <c r="B34" s="23"/>
      <c r="C34" s="33"/>
      <c r="D34" s="34"/>
      <c r="E34" s="133"/>
      <c r="F34" s="134"/>
      <c r="G34" s="24"/>
      <c r="H34" s="1"/>
    </row>
    <row r="35" spans="1:8" ht="15.75" x14ac:dyDescent="0.25">
      <c r="A35" s="1"/>
      <c r="B35" s="23"/>
      <c r="C35" s="25"/>
      <c r="D35" s="116"/>
      <c r="E35" s="116"/>
      <c r="F35" s="116"/>
      <c r="G35" s="117"/>
      <c r="H35" s="1"/>
    </row>
    <row r="36" spans="1:8" ht="15.75" x14ac:dyDescent="0.25">
      <c r="A36" s="1"/>
      <c r="B36" s="136" t="s">
        <v>10</v>
      </c>
      <c r="C36" s="137"/>
      <c r="D36" s="116"/>
      <c r="E36" s="116"/>
      <c r="F36" s="116"/>
      <c r="G36" s="117"/>
      <c r="H36" s="1"/>
    </row>
    <row r="37" spans="1:8" ht="15.75" x14ac:dyDescent="0.25">
      <c r="A37" s="1"/>
      <c r="B37" s="23"/>
      <c r="C37" s="25"/>
      <c r="D37" s="116"/>
      <c r="E37" s="116"/>
      <c r="F37" s="116"/>
      <c r="G37" s="117"/>
      <c r="H37" s="1"/>
    </row>
    <row r="38" spans="1:8" ht="15.75" x14ac:dyDescent="0.25">
      <c r="A38" s="1"/>
      <c r="B38" s="23"/>
      <c r="C38" s="25"/>
      <c r="D38" s="116"/>
      <c r="E38" s="116"/>
      <c r="F38" s="116"/>
      <c r="G38" s="117"/>
      <c r="H38" s="1"/>
    </row>
    <row r="39" spans="1:8" ht="16.5" thickBot="1" x14ac:dyDescent="0.3">
      <c r="A39" s="1"/>
      <c r="B39" s="42"/>
      <c r="C39" s="35"/>
      <c r="D39" s="118"/>
      <c r="E39" s="118"/>
      <c r="F39" s="118"/>
      <c r="G39" s="119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62" t="s">
        <v>21</v>
      </c>
      <c r="C41" s="163"/>
      <c r="D41" s="37" t="s">
        <v>22</v>
      </c>
      <c r="E41" s="37" t="s">
        <v>23</v>
      </c>
      <c r="F41" s="162" t="s">
        <v>24</v>
      </c>
      <c r="G41" s="163"/>
    </row>
    <row r="42" spans="1:8" x14ac:dyDescent="0.25">
      <c r="B42" s="153"/>
      <c r="C42" s="154"/>
      <c r="D42" s="157"/>
      <c r="E42" s="157"/>
      <c r="F42" s="153"/>
      <c r="G42" s="154"/>
    </row>
    <row r="43" spans="1:8" x14ac:dyDescent="0.25">
      <c r="B43" s="155"/>
      <c r="C43" s="117"/>
      <c r="D43" s="158"/>
      <c r="E43" s="158"/>
      <c r="F43" s="155"/>
      <c r="G43" s="117"/>
    </row>
    <row r="44" spans="1:8" x14ac:dyDescent="0.25">
      <c r="B44" s="155"/>
      <c r="C44" s="117"/>
      <c r="D44" s="158"/>
      <c r="E44" s="158"/>
      <c r="F44" s="155"/>
      <c r="G44" s="117"/>
    </row>
    <row r="45" spans="1:8" x14ac:dyDescent="0.25">
      <c r="B45" s="155"/>
      <c r="C45" s="117"/>
      <c r="D45" s="158"/>
      <c r="E45" s="158"/>
      <c r="F45" s="155"/>
      <c r="G45" s="117"/>
    </row>
    <row r="46" spans="1:8" ht="15.75" thickBot="1" x14ac:dyDescent="0.3">
      <c r="B46" s="156"/>
      <c r="C46" s="119"/>
      <c r="D46" s="159"/>
      <c r="E46" s="159"/>
      <c r="F46" s="156"/>
      <c r="G46" s="119"/>
    </row>
    <row r="47" spans="1:8" ht="16.5" thickBot="1" x14ac:dyDescent="0.3">
      <c r="B47" s="160" t="s">
        <v>28</v>
      </c>
      <c r="C47" s="161"/>
      <c r="D47" s="38" t="s">
        <v>25</v>
      </c>
      <c r="E47" s="38" t="s">
        <v>26</v>
      </c>
      <c r="F47" s="160" t="s">
        <v>27</v>
      </c>
      <c r="G47" s="161"/>
    </row>
    <row r="48" spans="1:8" x14ac:dyDescent="0.25">
      <c r="B48" s="153"/>
      <c r="C48" s="154"/>
      <c r="D48" s="157"/>
      <c r="E48" s="157"/>
      <c r="F48" s="153"/>
      <c r="G48" s="154"/>
    </row>
    <row r="49" spans="1:7" x14ac:dyDescent="0.25">
      <c r="B49" s="155"/>
      <c r="C49" s="117"/>
      <c r="D49" s="158"/>
      <c r="E49" s="158"/>
      <c r="F49" s="155"/>
      <c r="G49" s="117"/>
    </row>
    <row r="50" spans="1:7" x14ac:dyDescent="0.25">
      <c r="B50" s="155"/>
      <c r="C50" s="117"/>
      <c r="D50" s="158"/>
      <c r="E50" s="158"/>
      <c r="F50" s="155"/>
      <c r="G50" s="117"/>
    </row>
    <row r="51" spans="1:7" x14ac:dyDescent="0.25">
      <c r="B51" s="155"/>
      <c r="C51" s="117"/>
      <c r="D51" s="158"/>
      <c r="E51" s="158"/>
      <c r="F51" s="155"/>
      <c r="G51" s="117"/>
    </row>
    <row r="52" spans="1:7" x14ac:dyDescent="0.25">
      <c r="B52" s="155"/>
      <c r="C52" s="117"/>
      <c r="D52" s="158"/>
      <c r="E52" s="158"/>
      <c r="F52" s="155"/>
      <c r="G52" s="117"/>
    </row>
    <row r="53" spans="1:7" s="3" customFormat="1" ht="15.75" thickBot="1" x14ac:dyDescent="0.3">
      <c r="A53" s="17">
        <v>11</v>
      </c>
      <c r="B53" s="156"/>
      <c r="C53" s="119"/>
      <c r="D53" s="159"/>
      <c r="E53" s="159"/>
      <c r="F53" s="156"/>
      <c r="G53" s="119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2019-09-30T08:27:52Z</dcterms:modified>
</cp:coreProperties>
</file>