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workbookProtection workbookAlgorithmName="SHA-512" workbookHashValue="r5fL4Pnfg//dJgmNe2XK24WZkxpzVjvQvOjlfc9rosS7HMHWPqSqwDa+ecMrafuFhCJKmYL3fFTcN5H+ztLacA==" workbookSaltValue="tA47UNxisNRbV7U1mzdXgw==" workbookSpinCount="100000" lockStructure="1"/>
  <bookViews>
    <workbookView xWindow="0" yWindow="0" windowWidth="20355" windowHeight="7590"/>
  </bookViews>
  <sheets>
    <sheet name="Base_Sinist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I25" i="1" l="1"/>
  <c r="H25" i="1"/>
  <c r="D25" i="1"/>
  <c r="D24" i="1"/>
  <c r="G23" i="1"/>
  <c r="E21" i="1"/>
  <c r="G20" i="1"/>
  <c r="G19" i="1"/>
  <c r="G17" i="1"/>
  <c r="G16" i="1"/>
  <c r="E16" i="1"/>
  <c r="F14" i="1"/>
  <c r="G14" i="1" s="1"/>
  <c r="I12" i="1"/>
  <c r="G12" i="1"/>
  <c r="G10" i="1"/>
  <c r="G9" i="1"/>
  <c r="G8" i="1"/>
  <c r="F13" i="1" l="1"/>
  <c r="G11" i="1"/>
  <c r="G13" i="1" l="1"/>
  <c r="G18" i="1" s="1"/>
  <c r="F18" i="1"/>
  <c r="O22" i="1" l="1"/>
  <c r="O21" i="1"/>
  <c r="F22" i="1"/>
  <c r="F21" i="1"/>
  <c r="P22" i="1"/>
  <c r="G22" i="1"/>
  <c r="P24" i="1" l="1"/>
  <c r="F24" i="1"/>
  <c r="F25" i="1"/>
  <c r="O28" i="1" s="1"/>
  <c r="O26" i="1"/>
  <c r="G21" i="1"/>
  <c r="O24" i="1"/>
  <c r="O27" i="1"/>
  <c r="P25" i="1"/>
  <c r="G26" i="1"/>
  <c r="P29" i="1" s="1"/>
  <c r="F26" i="1"/>
  <c r="O29" i="1" s="1"/>
  <c r="O25" i="1"/>
  <c r="G24" i="1" l="1"/>
  <c r="P21" i="1" s="1"/>
  <c r="G25" i="1"/>
  <c r="P28" i="1" s="1"/>
  <c r="P27" i="1"/>
  <c r="P26" i="1"/>
</calcChain>
</file>

<file path=xl/sharedStrings.xml><?xml version="1.0" encoding="utf-8"?>
<sst xmlns="http://schemas.openxmlformats.org/spreadsheetml/2006/main" count="50" uniqueCount="35">
  <si>
    <t>Taux</t>
  </si>
  <si>
    <t>Décompte TTC</t>
  </si>
  <si>
    <t>Décompte HT</t>
  </si>
  <si>
    <t xml:space="preserve">Dommage </t>
  </si>
  <si>
    <t>Main D'œuvre</t>
  </si>
  <si>
    <t>Sous total REG Prp Usage</t>
  </si>
  <si>
    <t>Usage</t>
  </si>
  <si>
    <t>Peinture</t>
  </si>
  <si>
    <t>Sous total REG Prp AGE</t>
  </si>
  <si>
    <t>Age</t>
  </si>
  <si>
    <t>Mantant BDG</t>
  </si>
  <si>
    <t>Sous total REG Prp Permis</t>
  </si>
  <si>
    <t>Permis</t>
  </si>
  <si>
    <t>Montant pneu</t>
  </si>
  <si>
    <t>S /Total REG PRP Capitaux</t>
  </si>
  <si>
    <t>Capitaux</t>
  </si>
  <si>
    <t xml:space="preserve">Vetusté </t>
  </si>
  <si>
    <t>Montant Rpr Usage</t>
  </si>
  <si>
    <t>Vetusté Pneumatique</t>
  </si>
  <si>
    <t>Montant Rpr Âge</t>
  </si>
  <si>
    <t>Epave</t>
  </si>
  <si>
    <t>Montant Rpr Permis</t>
  </si>
  <si>
    <t>Valeur Assuré</t>
  </si>
  <si>
    <t>Montant Rpr Capitaux</t>
  </si>
  <si>
    <t>Valeur venale</t>
  </si>
  <si>
    <t>Total à payer Rpr Usage</t>
  </si>
  <si>
    <t>Sous Total</t>
  </si>
  <si>
    <t>Total à payer Rpr Âge</t>
  </si>
  <si>
    <t>RC Payée</t>
  </si>
  <si>
    <t>Total à payer Rpr Permis</t>
  </si>
  <si>
    <t>RC Majorée</t>
  </si>
  <si>
    <t>Total à payer Rpr Capitaux</t>
  </si>
  <si>
    <t>Franchise</t>
  </si>
  <si>
    <t>immob</t>
  </si>
  <si>
    <t xml:space="preserve">Total à payer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</si>
</sst>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.000"/>
    <numFmt numFmtId="165" formatCode=";;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FF66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164" fontId="0" fillId="0" borderId="0" xfId="0" applyNumberFormat="1" applyProtection="1"/>
    <xf numFmtId="0" fontId="0" fillId="0" borderId="0" xfId="0" applyProtection="1"/>
    <xf numFmtId="0" fontId="0" fillId="0" borderId="0" xfId="0" applyBorder="1" applyProtection="1"/>
    <xf numFmtId="0" fontId="0" fillId="2" borderId="1" xfId="0" applyFill="1" applyBorder="1" applyProtection="1"/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5" fillId="0" borderId="2" xfId="0" applyFont="1" applyFill="1" applyBorder="1" applyProtection="1"/>
    <xf numFmtId="0" fontId="6" fillId="0" borderId="6" xfId="2" applyNumberFormat="1" applyFont="1" applyFill="1" applyBorder="1" applyAlignment="1" applyProtection="1">
      <alignment horizontal="center" vertical="center"/>
      <protection locked="0"/>
    </xf>
    <xf numFmtId="43" fontId="3" fillId="0" borderId="0" xfId="0" applyNumberFormat="1" applyFont="1" applyProtection="1">
      <protection locked="0"/>
    </xf>
    <xf numFmtId="43" fontId="3" fillId="0" borderId="6" xfId="0" applyNumberFormat="1" applyFont="1" applyBorder="1" applyAlignment="1" applyProtection="1">
      <alignment horizontal="center" vertical="center"/>
    </xf>
    <xf numFmtId="43" fontId="7" fillId="4" borderId="7" xfId="0" applyNumberFormat="1" applyFont="1" applyFill="1" applyBorder="1" applyAlignment="1" applyProtection="1">
      <alignment horizontal="center" vertical="center"/>
    </xf>
    <xf numFmtId="43" fontId="7" fillId="5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Protection="1"/>
    <xf numFmtId="0" fontId="8" fillId="0" borderId="6" xfId="2" applyNumberFormat="1" applyFont="1" applyFill="1" applyBorder="1" applyAlignment="1" applyProtection="1">
      <alignment horizontal="center" vertical="center"/>
    </xf>
    <xf numFmtId="43" fontId="3" fillId="0" borderId="6" xfId="0" applyNumberFormat="1" applyFont="1" applyBorder="1" applyAlignment="1" applyProtection="1">
      <alignment horizontal="center" vertical="center"/>
      <protection locked="0"/>
    </xf>
    <xf numFmtId="165" fontId="0" fillId="0" borderId="0" xfId="0" applyNumberFormat="1" applyProtection="1"/>
    <xf numFmtId="9" fontId="6" fillId="0" borderId="6" xfId="2" applyFont="1" applyFill="1" applyBorder="1" applyAlignment="1" applyProtection="1">
      <alignment horizontal="center" vertical="center"/>
    </xf>
    <xf numFmtId="43" fontId="7" fillId="4" borderId="9" xfId="0" applyNumberFormat="1" applyFont="1" applyFill="1" applyBorder="1" applyAlignment="1" applyProtection="1">
      <alignment horizontal="center" vertical="center"/>
    </xf>
    <xf numFmtId="43" fontId="0" fillId="0" borderId="0" xfId="0" applyNumberFormat="1" applyProtection="1"/>
    <xf numFmtId="43" fontId="2" fillId="6" borderId="6" xfId="0" applyNumberFormat="1" applyFont="1" applyFill="1" applyBorder="1" applyAlignment="1" applyProtection="1">
      <alignment horizontal="center" vertical="center"/>
    </xf>
    <xf numFmtId="43" fontId="2" fillId="6" borderId="8" xfId="0" applyNumberFormat="1" applyFont="1" applyFill="1" applyBorder="1" applyAlignment="1" applyProtection="1">
      <alignment horizontal="center" vertical="center"/>
    </xf>
    <xf numFmtId="43" fontId="7" fillId="4" borderId="6" xfId="0" applyNumberFormat="1" applyFont="1" applyFill="1" applyBorder="1" applyAlignment="1" applyProtection="1">
      <alignment horizontal="center" vertical="center"/>
    </xf>
    <xf numFmtId="43" fontId="7" fillId="5" borderId="10" xfId="0" applyNumberFormat="1" applyFont="1" applyFill="1" applyBorder="1" applyAlignment="1" applyProtection="1">
      <alignment horizontal="center" vertical="center"/>
      <protection locked="0"/>
    </xf>
    <xf numFmtId="43" fontId="3" fillId="5" borderId="6" xfId="0" applyNumberFormat="1" applyFont="1" applyFill="1" applyBorder="1" applyAlignment="1" applyProtection="1">
      <alignment horizontal="center" vertical="center"/>
      <protection locked="0"/>
    </xf>
    <xf numFmtId="43" fontId="3" fillId="5" borderId="8" xfId="0" applyNumberFormat="1" applyFont="1" applyFill="1" applyBorder="1" applyAlignment="1" applyProtection="1">
      <alignment horizontal="center" vertical="center"/>
    </xf>
    <xf numFmtId="43" fontId="7" fillId="4" borderId="11" xfId="0" applyNumberFormat="1" applyFont="1" applyFill="1" applyBorder="1" applyAlignment="1" applyProtection="1">
      <alignment horizontal="center" vertical="center"/>
    </xf>
    <xf numFmtId="43" fontId="7" fillId="6" borderId="12" xfId="0" applyNumberFormat="1" applyFont="1" applyFill="1" applyBorder="1" applyAlignment="1" applyProtection="1">
      <alignment horizontal="center" vertical="center"/>
    </xf>
    <xf numFmtId="0" fontId="9" fillId="0" borderId="7" xfId="0" applyFont="1" applyFill="1" applyBorder="1" applyProtection="1"/>
    <xf numFmtId="9" fontId="8" fillId="0" borderId="6" xfId="2" applyFont="1" applyBorder="1" applyAlignment="1" applyProtection="1">
      <alignment horizontal="center" vertical="center"/>
      <protection locked="0"/>
    </xf>
    <xf numFmtId="43" fontId="10" fillId="0" borderId="6" xfId="0" applyNumberFormat="1" applyFont="1" applyFill="1" applyBorder="1" applyAlignment="1" applyProtection="1">
      <alignment horizontal="center" vertical="center"/>
    </xf>
    <xf numFmtId="43" fontId="10" fillId="0" borderId="8" xfId="0" applyNumberFormat="1" applyFont="1" applyFill="1" applyBorder="1" applyAlignment="1" applyProtection="1">
      <alignment horizontal="center" vertical="center"/>
    </xf>
    <xf numFmtId="43" fontId="11" fillId="0" borderId="6" xfId="0" applyNumberFormat="1" applyFont="1" applyFill="1" applyBorder="1" applyAlignment="1" applyProtection="1">
      <alignment horizontal="center" vertical="center"/>
    </xf>
    <xf numFmtId="43" fontId="3" fillId="7" borderId="6" xfId="0" applyNumberFormat="1" applyFont="1" applyFill="1" applyBorder="1" applyAlignment="1" applyProtection="1">
      <alignment horizontal="center" vertical="center"/>
      <protection locked="0"/>
    </xf>
    <xf numFmtId="0" fontId="9" fillId="0" borderId="10" xfId="0" applyFont="1" applyFill="1" applyBorder="1" applyProtection="1"/>
    <xf numFmtId="9" fontId="8" fillId="0" borderId="11" xfId="2" applyFont="1" applyBorder="1" applyAlignment="1" applyProtection="1">
      <alignment horizontal="center" vertical="center"/>
    </xf>
    <xf numFmtId="43" fontId="4" fillId="0" borderId="6" xfId="0" applyNumberFormat="1" applyFont="1" applyFill="1" applyBorder="1" applyAlignment="1" applyProtection="1">
      <alignment horizontal="center" vertical="center"/>
    </xf>
    <xf numFmtId="43" fontId="12" fillId="0" borderId="8" xfId="0" applyNumberFormat="1" applyFont="1" applyFill="1" applyBorder="1" applyAlignment="1" applyProtection="1">
      <alignment horizontal="center" vertical="center"/>
    </xf>
    <xf numFmtId="0" fontId="5" fillId="0" borderId="10" xfId="0" applyFont="1" applyFill="1" applyBorder="1" applyProtection="1"/>
    <xf numFmtId="43" fontId="3" fillId="0" borderId="6" xfId="0" applyNumberFormat="1" applyFont="1" applyFill="1" applyBorder="1" applyAlignment="1" applyProtection="1">
      <alignment horizontal="center" vertical="center"/>
      <protection locked="0"/>
    </xf>
    <xf numFmtId="43" fontId="3" fillId="0" borderId="8" xfId="0" applyNumberFormat="1" applyFont="1" applyFill="1" applyBorder="1" applyAlignment="1" applyProtection="1">
      <alignment horizontal="center" vertical="center"/>
    </xf>
    <xf numFmtId="43" fontId="14" fillId="9" borderId="6" xfId="0" applyNumberFormat="1" applyFont="1" applyFill="1" applyBorder="1" applyAlignment="1" applyProtection="1">
      <alignment horizontal="center" vertical="center"/>
    </xf>
    <xf numFmtId="0" fontId="13" fillId="7" borderId="10" xfId="0" applyFont="1" applyFill="1" applyBorder="1" applyAlignment="1" applyProtection="1">
      <alignment vertical="center"/>
    </xf>
    <xf numFmtId="0" fontId="13" fillId="0" borderId="6" xfId="0" applyFont="1" applyFill="1" applyBorder="1" applyAlignment="1" applyProtection="1">
      <alignment horizontal="center"/>
    </xf>
    <xf numFmtId="43" fontId="15" fillId="10" borderId="6" xfId="0" applyNumberFormat="1" applyFont="1" applyFill="1" applyBorder="1" applyAlignment="1" applyProtection="1">
      <alignment horizontal="center" vertical="center"/>
      <protection locked="0"/>
    </xf>
    <xf numFmtId="43" fontId="15" fillId="10" borderId="8" xfId="0" applyNumberFormat="1" applyFont="1" applyFill="1" applyBorder="1" applyAlignment="1" applyProtection="1">
      <alignment horizontal="center" vertical="center"/>
    </xf>
    <xf numFmtId="165" fontId="13" fillId="10" borderId="0" xfId="0" applyNumberFormat="1" applyFont="1" applyFill="1" applyBorder="1" applyAlignment="1" applyProtection="1">
      <alignment vertical="center"/>
    </xf>
    <xf numFmtId="0" fontId="16" fillId="11" borderId="7" xfId="0" applyFont="1" applyFill="1" applyBorder="1" applyAlignment="1" applyProtection="1">
      <alignment vertical="center"/>
      <protection locked="0"/>
    </xf>
    <xf numFmtId="9" fontId="8" fillId="0" borderId="6" xfId="2" applyFont="1" applyBorder="1" applyAlignment="1" applyProtection="1">
      <alignment horizontal="center" vertical="center"/>
    </xf>
    <xf numFmtId="43" fontId="15" fillId="3" borderId="6" xfId="0" applyNumberFormat="1" applyFont="1" applyFill="1" applyBorder="1" applyAlignment="1" applyProtection="1">
      <alignment horizontal="center" vertical="center"/>
    </xf>
    <xf numFmtId="165" fontId="8" fillId="10" borderId="0" xfId="2" applyNumberFormat="1" applyFont="1" applyFill="1" applyBorder="1" applyAlignment="1" applyProtection="1">
      <alignment horizontal="center" vertical="center"/>
    </xf>
    <xf numFmtId="165" fontId="15" fillId="10" borderId="0" xfId="0" applyNumberFormat="1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vertical="center"/>
    </xf>
    <xf numFmtId="0" fontId="5" fillId="0" borderId="7" xfId="0" applyFont="1" applyFill="1" applyBorder="1" applyAlignment="1" applyProtection="1">
      <alignment vertical="center"/>
    </xf>
    <xf numFmtId="9" fontId="6" fillId="5" borderId="6" xfId="2" applyFont="1" applyFill="1" applyBorder="1" applyAlignment="1" applyProtection="1">
      <alignment horizontal="center" vertical="center"/>
    </xf>
    <xf numFmtId="43" fontId="15" fillId="0" borderId="6" xfId="0" applyNumberFormat="1" applyFont="1" applyBorder="1" applyAlignment="1" applyProtection="1">
      <alignment horizontal="center" vertical="center"/>
      <protection locked="0"/>
    </xf>
    <xf numFmtId="43" fontId="15" fillId="0" borderId="8" xfId="0" applyNumberFormat="1" applyFont="1" applyBorder="1" applyAlignment="1" applyProtection="1">
      <alignment horizontal="center" vertical="center"/>
    </xf>
    <xf numFmtId="0" fontId="5" fillId="7" borderId="7" xfId="0" applyFont="1" applyFill="1" applyBorder="1" applyAlignment="1" applyProtection="1">
      <alignment vertical="center"/>
    </xf>
    <xf numFmtId="43" fontId="5" fillId="7" borderId="11" xfId="0" applyNumberFormat="1" applyFont="1" applyFill="1" applyBorder="1" applyAlignment="1" applyProtection="1">
      <alignment vertical="center"/>
      <protection locked="0"/>
    </xf>
    <xf numFmtId="43" fontId="5" fillId="7" borderId="6" xfId="0" applyNumberFormat="1" applyFont="1" applyFill="1" applyBorder="1" applyAlignment="1" applyProtection="1">
      <alignment vertical="center"/>
      <protection locked="0"/>
    </xf>
    <xf numFmtId="165" fontId="5" fillId="10" borderId="0" xfId="0" applyNumberFormat="1" applyFont="1" applyFill="1" applyBorder="1" applyAlignment="1" applyProtection="1">
      <alignment vertical="center"/>
    </xf>
    <xf numFmtId="165" fontId="6" fillId="10" borderId="0" xfId="2" applyNumberFormat="1" applyFont="1" applyFill="1" applyBorder="1" applyAlignment="1" applyProtection="1">
      <alignment horizontal="center" vertical="center"/>
    </xf>
    <xf numFmtId="165" fontId="2" fillId="10" borderId="0" xfId="0" applyNumberFormat="1" applyFont="1" applyFill="1" applyBorder="1" applyAlignment="1" applyProtection="1">
      <alignment horizontal="center" vertical="center"/>
    </xf>
    <xf numFmtId="43" fontId="2" fillId="5" borderId="6" xfId="0" applyNumberFormat="1" applyFont="1" applyFill="1" applyBorder="1" applyAlignment="1" applyProtection="1">
      <alignment horizontal="center" vertical="center"/>
    </xf>
    <xf numFmtId="43" fontId="5" fillId="12" borderId="11" xfId="0" applyNumberFormat="1" applyFont="1" applyFill="1" applyBorder="1" applyAlignment="1" applyProtection="1">
      <alignment vertical="center"/>
    </xf>
    <xf numFmtId="43" fontId="5" fillId="12" borderId="6" xfId="0" applyNumberFormat="1" applyFont="1" applyFill="1" applyBorder="1" applyAlignment="1" applyProtection="1">
      <alignment vertical="center"/>
    </xf>
    <xf numFmtId="0" fontId="0" fillId="13" borderId="0" xfId="0" applyFill="1" applyProtection="1"/>
    <xf numFmtId="0" fontId="5" fillId="0" borderId="9" xfId="0" applyFont="1" applyFill="1" applyBorder="1" applyAlignment="1" applyProtection="1">
      <alignment horizontal="center" vertical="center"/>
    </xf>
    <xf numFmtId="9" fontId="0" fillId="0" borderId="11" xfId="2" applyFont="1" applyFill="1" applyBorder="1" applyAlignment="1" applyProtection="1">
      <alignment vertical="center"/>
    </xf>
    <xf numFmtId="43" fontId="17" fillId="9" borderId="6" xfId="0" applyNumberFormat="1" applyFont="1" applyFill="1" applyBorder="1" applyAlignment="1" applyProtection="1">
      <alignment horizontal="center" vertical="center"/>
    </xf>
    <xf numFmtId="43" fontId="17" fillId="9" borderId="8" xfId="0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0" fontId="0" fillId="14" borderId="13" xfId="0" applyFill="1" applyBorder="1" applyAlignment="1" applyProtection="1">
      <alignment horizontal="right"/>
    </xf>
    <xf numFmtId="0" fontId="0" fillId="14" borderId="0" xfId="0" applyFill="1" applyBorder="1" applyAlignment="1" applyProtection="1">
      <alignment horizontal="right"/>
    </xf>
    <xf numFmtId="165" fontId="0" fillId="10" borderId="0" xfId="2" applyNumberFormat="1" applyFont="1" applyFill="1" applyBorder="1" applyProtection="1"/>
    <xf numFmtId="165" fontId="17" fillId="10" borderId="0" xfId="0" applyNumberFormat="1" applyFont="1" applyFill="1" applyBorder="1" applyAlignment="1" applyProtection="1">
      <alignment horizontal="center" vertical="center"/>
    </xf>
    <xf numFmtId="0" fontId="0" fillId="14" borderId="14" xfId="0" applyFill="1" applyBorder="1" applyAlignment="1" applyProtection="1">
      <alignment horizontal="right"/>
    </xf>
    <xf numFmtId="165" fontId="0" fillId="10" borderId="0" xfId="0" applyNumberFormat="1" applyFill="1" applyBorder="1" applyProtection="1"/>
    <xf numFmtId="0" fontId="0" fillId="0" borderId="0" xfId="0" applyFill="1" applyBorder="1" applyAlignment="1" applyProtection="1">
      <alignment horizont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43" fontId="7" fillId="4" borderId="6" xfId="0" applyNumberFormat="1" applyFont="1" applyFill="1" applyBorder="1" applyAlignment="1" applyProtection="1">
      <alignment horizontal="center" vertical="center"/>
    </xf>
    <xf numFmtId="43" fontId="8" fillId="0" borderId="11" xfId="1" applyFont="1" applyFill="1" applyBorder="1" applyAlignment="1" applyProtection="1">
      <alignment horizontal="center" vertical="center"/>
    </xf>
    <xf numFmtId="43" fontId="8" fillId="0" borderId="3" xfId="1" applyFont="1" applyFill="1" applyBorder="1" applyAlignment="1" applyProtection="1">
      <alignment horizontal="center" vertical="center"/>
    </xf>
    <xf numFmtId="0" fontId="13" fillId="8" borderId="10" xfId="0" applyFont="1" applyFill="1" applyBorder="1" applyAlignment="1" applyProtection="1">
      <alignment horizontal="center" vertical="center"/>
    </xf>
    <xf numFmtId="0" fontId="13" fillId="8" borderId="7" xfId="0" applyFont="1" applyFill="1" applyBorder="1" applyAlignment="1" applyProtection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675441</xdr:colOff>
      <xdr:row>2</xdr:row>
      <xdr:rowOff>0</xdr:rowOff>
    </xdr:from>
    <xdr:ext cx="10906959" cy="781111"/>
    <xdr:sp macro="" textlink="">
      <xdr:nvSpPr>
        <xdr:cNvPr id="2" name="Rectangle 1"/>
        <xdr:cNvSpPr/>
      </xdr:nvSpPr>
      <xdr:spPr>
        <a:xfrm>
          <a:off x="675441" y="0"/>
          <a:ext cx="10906959" cy="78111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4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Sinistre </a:t>
          </a:r>
          <a:r>
            <a:rPr lang="fr-FR" sz="44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44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3829050" cy="248851"/>
    <xdr:sp macro="" textlink="">
      <xdr:nvSpPr>
        <xdr:cNvPr id="3" name="Rectangle 2"/>
        <xdr:cNvSpPr/>
      </xdr:nvSpPr>
      <xdr:spPr>
        <a:xfrm>
          <a:off x="7753350" y="762000"/>
          <a:ext cx="38290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BDG</a:t>
          </a:r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912327" cy="248851"/>
    <xdr:sp macro="" textlink="">
      <xdr:nvSpPr>
        <xdr:cNvPr id="4" name="Rectangle 3"/>
        <xdr:cNvSpPr/>
      </xdr:nvSpPr>
      <xdr:spPr>
        <a:xfrm>
          <a:off x="7753350" y="100965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par</a:t>
          </a:r>
          <a:r>
            <a:rPr lang="fr-FR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brise</a:t>
          </a:r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7</xdr:row>
      <xdr:rowOff>247650</xdr:rowOff>
    </xdr:from>
    <xdr:ext cx="1912327" cy="248851"/>
    <xdr:sp macro="" textlink="">
      <xdr:nvSpPr>
        <xdr:cNvPr id="5" name="Rectangle 4"/>
        <xdr:cNvSpPr/>
      </xdr:nvSpPr>
      <xdr:spPr>
        <a:xfrm>
          <a:off x="7753350" y="125730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kit colle</a:t>
          </a:r>
        </a:p>
      </xdr:txBody>
    </xdr:sp>
    <xdr:clientData/>
  </xdr:oneCellAnchor>
  <xdr:oneCellAnchor>
    <xdr:from>
      <xdr:col>7</xdr:col>
      <xdr:colOff>0</xdr:colOff>
      <xdr:row>8</xdr:row>
      <xdr:rowOff>238125</xdr:rowOff>
    </xdr:from>
    <xdr:ext cx="1914525" cy="248851"/>
    <xdr:sp macro="" textlink="">
      <xdr:nvSpPr>
        <xdr:cNvPr id="6" name="Rectangle 5"/>
        <xdr:cNvSpPr/>
      </xdr:nvSpPr>
      <xdr:spPr>
        <a:xfrm>
          <a:off x="7753350" y="1495425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9</xdr:row>
      <xdr:rowOff>238125</xdr:rowOff>
    </xdr:from>
    <xdr:ext cx="1914525" cy="248851"/>
    <xdr:sp macro="" textlink="">
      <xdr:nvSpPr>
        <xdr:cNvPr id="7" name="Rectangle 6"/>
        <xdr:cNvSpPr/>
      </xdr:nvSpPr>
      <xdr:spPr>
        <a:xfrm>
          <a:off x="7753350" y="1743075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10</xdr:row>
      <xdr:rowOff>238125</xdr:rowOff>
    </xdr:from>
    <xdr:ext cx="1912327" cy="248851"/>
    <xdr:sp macro="" textlink="">
      <xdr:nvSpPr>
        <xdr:cNvPr id="8" name="Rectangle 7"/>
        <xdr:cNvSpPr/>
      </xdr:nvSpPr>
      <xdr:spPr>
        <a:xfrm>
          <a:off x="7753350" y="199072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</a:t>
          </a:r>
        </a:p>
      </xdr:txBody>
    </xdr:sp>
    <xdr:clientData/>
  </xdr:oneCellAnchor>
  <xdr:oneCellAnchor>
    <xdr:from>
      <xdr:col>5</xdr:col>
      <xdr:colOff>1</xdr:colOff>
      <xdr:row>6</xdr:row>
      <xdr:rowOff>0</xdr:rowOff>
    </xdr:from>
    <xdr:ext cx="1959428" cy="248851"/>
    <xdr:sp macro="" textlink="">
      <xdr:nvSpPr>
        <xdr:cNvPr id="9" name="Rectangle 8"/>
        <xdr:cNvSpPr/>
      </xdr:nvSpPr>
      <xdr:spPr>
        <a:xfrm>
          <a:off x="3829051" y="7620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2</xdr:col>
      <xdr:colOff>1079225</xdr:colOff>
      <xdr:row>6</xdr:row>
      <xdr:rowOff>0</xdr:rowOff>
    </xdr:from>
    <xdr:ext cx="1964250" cy="248851"/>
    <xdr:sp macro="" textlink="">
      <xdr:nvSpPr>
        <xdr:cNvPr id="10" name="Rectangle 9"/>
        <xdr:cNvSpPr/>
      </xdr:nvSpPr>
      <xdr:spPr>
        <a:xfrm>
          <a:off x="1079225" y="762000"/>
          <a:ext cx="19642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5</xdr:col>
      <xdr:colOff>1960684</xdr:colOff>
      <xdr:row>6</xdr:row>
      <xdr:rowOff>0</xdr:rowOff>
    </xdr:from>
    <xdr:ext cx="1966545" cy="248851"/>
    <xdr:sp macro="" textlink="">
      <xdr:nvSpPr>
        <xdr:cNvPr id="11" name="Rectangle 10"/>
        <xdr:cNvSpPr/>
      </xdr:nvSpPr>
      <xdr:spPr>
        <a:xfrm>
          <a:off x="5789734" y="762000"/>
          <a:ext cx="196654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1</xdr:colOff>
      <xdr:row>6</xdr:row>
      <xdr:rowOff>5</xdr:rowOff>
    </xdr:from>
    <xdr:ext cx="782515" cy="248851"/>
    <xdr:sp macro="" textlink="">
      <xdr:nvSpPr>
        <xdr:cNvPr id="12" name="Rectangle 11"/>
        <xdr:cNvSpPr/>
      </xdr:nvSpPr>
      <xdr:spPr>
        <a:xfrm>
          <a:off x="3048001" y="762005"/>
          <a:ext cx="78251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3</xdr:col>
      <xdr:colOff>5864</xdr:colOff>
      <xdr:row>7</xdr:row>
      <xdr:rowOff>0</xdr:rowOff>
    </xdr:from>
    <xdr:ext cx="1947923" cy="248851"/>
    <xdr:sp macro="" textlink="">
      <xdr:nvSpPr>
        <xdr:cNvPr id="13" name="Rectangle 12"/>
        <xdr:cNvSpPr/>
      </xdr:nvSpPr>
      <xdr:spPr>
        <a:xfrm>
          <a:off x="1101239" y="1009650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FOURNITURES/Année</a:t>
          </a:r>
        </a:p>
      </xdr:txBody>
    </xdr:sp>
    <xdr:clientData/>
  </xdr:oneCellAnchor>
  <xdr:oneCellAnchor>
    <xdr:from>
      <xdr:col>3</xdr:col>
      <xdr:colOff>5864</xdr:colOff>
      <xdr:row>7</xdr:row>
      <xdr:rowOff>244760</xdr:rowOff>
    </xdr:from>
    <xdr:ext cx="1947923" cy="248851"/>
    <xdr:sp macro="" textlink="">
      <xdr:nvSpPr>
        <xdr:cNvPr id="14" name="Rectangle 13"/>
        <xdr:cNvSpPr/>
      </xdr:nvSpPr>
      <xdr:spPr>
        <a:xfrm>
          <a:off x="1101239" y="1254410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Main d'oeuvre</a:t>
          </a:r>
        </a:p>
      </xdr:txBody>
    </xdr:sp>
    <xdr:clientData/>
  </xdr:oneCellAnchor>
  <xdr:oneCellAnchor>
    <xdr:from>
      <xdr:col>3</xdr:col>
      <xdr:colOff>5864</xdr:colOff>
      <xdr:row>8</xdr:row>
      <xdr:rowOff>244759</xdr:rowOff>
    </xdr:from>
    <xdr:ext cx="1947923" cy="248851"/>
    <xdr:sp macro="" textlink="">
      <xdr:nvSpPr>
        <xdr:cNvPr id="15" name="Rectangle 14"/>
        <xdr:cNvSpPr/>
      </xdr:nvSpPr>
      <xdr:spPr>
        <a:xfrm>
          <a:off x="1101239" y="1502059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PEINTURE</a:t>
          </a:r>
        </a:p>
      </xdr:txBody>
    </xdr:sp>
    <xdr:clientData/>
  </xdr:oneCellAnchor>
  <xdr:oneCellAnchor>
    <xdr:from>
      <xdr:col>3</xdr:col>
      <xdr:colOff>5874</xdr:colOff>
      <xdr:row>10</xdr:row>
      <xdr:rowOff>635</xdr:rowOff>
    </xdr:from>
    <xdr:ext cx="1946751" cy="248851"/>
    <xdr:sp macro="" textlink="">
      <xdr:nvSpPr>
        <xdr:cNvPr id="16" name="Rectangle 15"/>
        <xdr:cNvSpPr/>
      </xdr:nvSpPr>
      <xdr:spPr>
        <a:xfrm>
          <a:off x="1101249" y="1753235"/>
          <a:ext cx="194675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BDG</a:t>
          </a:r>
        </a:p>
      </xdr:txBody>
    </xdr:sp>
    <xdr:clientData/>
  </xdr:oneCellAnchor>
  <xdr:oneCellAnchor>
    <xdr:from>
      <xdr:col>3</xdr:col>
      <xdr:colOff>5874</xdr:colOff>
      <xdr:row>11</xdr:row>
      <xdr:rowOff>742</xdr:rowOff>
    </xdr:from>
    <xdr:ext cx="1946751" cy="248851"/>
    <xdr:sp macro="" textlink="">
      <xdr:nvSpPr>
        <xdr:cNvPr id="17" name="Rectangle 16"/>
        <xdr:cNvSpPr/>
      </xdr:nvSpPr>
      <xdr:spPr>
        <a:xfrm>
          <a:off x="1101249" y="2000992"/>
          <a:ext cx="194675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PNEU</a:t>
          </a:r>
        </a:p>
      </xdr:txBody>
    </xdr:sp>
    <xdr:clientData/>
  </xdr:oneCellAnchor>
  <xdr:oneCellAnchor>
    <xdr:from>
      <xdr:col>3</xdr:col>
      <xdr:colOff>5195</xdr:colOff>
      <xdr:row>12</xdr:row>
      <xdr:rowOff>742</xdr:rowOff>
    </xdr:from>
    <xdr:ext cx="1947430" cy="248851"/>
    <xdr:sp macro="" textlink="">
      <xdr:nvSpPr>
        <xdr:cNvPr id="18" name="Rectangle 17"/>
        <xdr:cNvSpPr/>
      </xdr:nvSpPr>
      <xdr:spPr>
        <a:xfrm>
          <a:off x="1100570" y="2248642"/>
          <a:ext cx="194743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</a:t>
          </a:r>
        </a:p>
      </xdr:txBody>
    </xdr:sp>
    <xdr:clientData/>
  </xdr:oneCellAnchor>
  <xdr:oneCellAnchor>
    <xdr:from>
      <xdr:col>3</xdr:col>
      <xdr:colOff>5443</xdr:colOff>
      <xdr:row>12</xdr:row>
      <xdr:rowOff>244759</xdr:rowOff>
    </xdr:from>
    <xdr:ext cx="1948543" cy="248851"/>
    <xdr:sp macro="" textlink="">
      <xdr:nvSpPr>
        <xdr:cNvPr id="19" name="Rectangle 18"/>
        <xdr:cNvSpPr/>
      </xdr:nvSpPr>
      <xdr:spPr>
        <a:xfrm>
          <a:off x="1100818" y="2492659"/>
          <a:ext cx="194854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 sur pneumatique</a:t>
          </a:r>
        </a:p>
      </xdr:txBody>
    </xdr:sp>
    <xdr:clientData/>
  </xdr:oneCellAnchor>
  <xdr:oneCellAnchor>
    <xdr:from>
      <xdr:col>3</xdr:col>
      <xdr:colOff>6798</xdr:colOff>
      <xdr:row>13</xdr:row>
      <xdr:rowOff>245432</xdr:rowOff>
    </xdr:from>
    <xdr:ext cx="6653513" cy="248851"/>
    <xdr:sp macro="" textlink="">
      <xdr:nvSpPr>
        <xdr:cNvPr id="20" name="Rectangle 19"/>
        <xdr:cNvSpPr/>
      </xdr:nvSpPr>
      <xdr:spPr>
        <a:xfrm>
          <a:off x="1102173" y="2740982"/>
          <a:ext cx="665351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3205</xdr:colOff>
      <xdr:row>15</xdr:row>
      <xdr:rowOff>681</xdr:rowOff>
    </xdr:from>
    <xdr:ext cx="1959428" cy="248851"/>
    <xdr:sp macro="" textlink="">
      <xdr:nvSpPr>
        <xdr:cNvPr id="21" name="Rectangle 20"/>
        <xdr:cNvSpPr/>
      </xdr:nvSpPr>
      <xdr:spPr>
        <a:xfrm>
          <a:off x="1098580" y="2991531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3205</xdr:colOff>
      <xdr:row>16</xdr:row>
      <xdr:rowOff>681</xdr:rowOff>
    </xdr:from>
    <xdr:ext cx="1959428" cy="248851"/>
    <xdr:sp macro="" textlink="">
      <xdr:nvSpPr>
        <xdr:cNvPr id="22" name="Rectangle 21"/>
        <xdr:cNvSpPr/>
      </xdr:nvSpPr>
      <xdr:spPr>
        <a:xfrm>
          <a:off x="1098580" y="3239181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3</xdr:col>
      <xdr:colOff>1332</xdr:colOff>
      <xdr:row>17</xdr:row>
      <xdr:rowOff>681</xdr:rowOff>
    </xdr:from>
    <xdr:ext cx="2736006" cy="248851"/>
    <xdr:sp macro="" textlink="">
      <xdr:nvSpPr>
        <xdr:cNvPr id="23" name="Rectangle 22"/>
        <xdr:cNvSpPr/>
      </xdr:nvSpPr>
      <xdr:spPr>
        <a:xfrm>
          <a:off x="1096707" y="3486831"/>
          <a:ext cx="27360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3</xdr:col>
      <xdr:colOff>0</xdr:colOff>
      <xdr:row>21</xdr:row>
      <xdr:rowOff>2222</xdr:rowOff>
    </xdr:from>
    <xdr:ext cx="1956109" cy="248851"/>
    <xdr:sp macro="" textlink="">
      <xdr:nvSpPr>
        <xdr:cNvPr id="24" name="Rectangle 23"/>
        <xdr:cNvSpPr/>
      </xdr:nvSpPr>
      <xdr:spPr>
        <a:xfrm>
          <a:off x="1095375" y="4478972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1394</xdr:rowOff>
    </xdr:from>
    <xdr:ext cx="1956109" cy="248851"/>
    <xdr:sp macro="" textlink="">
      <xdr:nvSpPr>
        <xdr:cNvPr id="25" name="Rectangle 24"/>
        <xdr:cNvSpPr/>
      </xdr:nvSpPr>
      <xdr:spPr>
        <a:xfrm>
          <a:off x="1095375" y="4725794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immobilisation</a:t>
          </a:r>
        </a:p>
      </xdr:txBody>
    </xdr:sp>
    <xdr:clientData/>
  </xdr:oneCellAnchor>
  <xdr:oneCellAnchor>
    <xdr:from>
      <xdr:col>7</xdr:col>
      <xdr:colOff>0</xdr:colOff>
      <xdr:row>11</xdr:row>
      <xdr:rowOff>240821</xdr:rowOff>
    </xdr:from>
    <xdr:ext cx="3829050" cy="254479"/>
    <xdr:sp macro="" textlink="">
      <xdr:nvSpPr>
        <xdr:cNvPr id="26" name="Rectangle 25"/>
        <xdr:cNvSpPr/>
      </xdr:nvSpPr>
      <xdr:spPr>
        <a:xfrm>
          <a:off x="7753350" y="2241071"/>
          <a:ext cx="3829050" cy="254479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FOURNITURES</a:t>
          </a:r>
        </a:p>
      </xdr:txBody>
    </xdr:sp>
    <xdr:clientData/>
  </xdr:oneCellAnchor>
  <xdr:oneCellAnchor>
    <xdr:from>
      <xdr:col>3</xdr:col>
      <xdr:colOff>9525</xdr:colOff>
      <xdr:row>25</xdr:row>
      <xdr:rowOff>2833</xdr:rowOff>
    </xdr:from>
    <xdr:ext cx="2724150" cy="248851"/>
    <xdr:sp macro="" textlink="">
      <xdr:nvSpPr>
        <xdr:cNvPr id="27" name="Rectangle 26"/>
        <xdr:cNvSpPr/>
      </xdr:nvSpPr>
      <xdr:spPr>
        <a:xfrm>
          <a:off x="1104900" y="5470183"/>
          <a:ext cx="2724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9"/>
  <sheetViews>
    <sheetView tabSelected="1" topLeftCell="C3" workbookViewId="0">
      <selection activeCell="F23" sqref="F23"/>
    </sheetView>
  </sheetViews>
  <sheetFormatPr baseColWidth="10" defaultColWidth="0" defaultRowHeight="15" customHeight="1" zeroHeight="1" x14ac:dyDescent="0.25"/>
  <cols>
    <col min="1" max="1" width="16.42578125" style="1" hidden="1" customWidth="1"/>
    <col min="2" max="2" width="11" style="2" hidden="1" customWidth="1"/>
    <col min="3" max="3" width="16.42578125" style="3" customWidth="1"/>
    <col min="4" max="4" width="29.28515625" style="2" customWidth="1"/>
    <col min="5" max="5" width="11.7109375" style="2" customWidth="1"/>
    <col min="6" max="7" width="29.42578125" style="2" customWidth="1"/>
    <col min="8" max="9" width="28.7109375" style="2" customWidth="1"/>
    <col min="10" max="10" width="16.5703125" style="2" customWidth="1"/>
    <col min="11" max="12" width="11.42578125" style="2" hidden="1" customWidth="1"/>
    <col min="13" max="13" width="26.85546875" style="2" hidden="1" customWidth="1"/>
    <col min="14" max="14" width="11.42578125" style="2" hidden="1" customWidth="1"/>
    <col min="15" max="15" width="22.140625" style="2" hidden="1" customWidth="1"/>
    <col min="16" max="16" width="21.42578125" style="2" hidden="1" customWidth="1"/>
    <col min="17" max="18" width="11.42578125" style="2" hidden="1" customWidth="1"/>
    <col min="19" max="19" width="14.28515625" style="2" hidden="1" customWidth="1"/>
    <col min="20" max="20" width="18.85546875" style="2" hidden="1" customWidth="1"/>
    <col min="21" max="16384" width="11.42578125" style="2" hidden="1"/>
  </cols>
  <sheetData>
    <row r="1" spans="1:16" hidden="1" x14ac:dyDescent="0.25"/>
    <row r="2" spans="1:16" ht="9" hidden="1" customHeight="1" x14ac:dyDescent="0.25"/>
    <row r="3" spans="1:16" ht="15" customHeight="1" x14ac:dyDescent="0.25">
      <c r="C3" s="78"/>
      <c r="D3" s="78"/>
      <c r="E3" s="78"/>
      <c r="F3" s="78"/>
      <c r="G3" s="78"/>
      <c r="H3" s="78"/>
      <c r="I3" s="78"/>
      <c r="J3" s="78"/>
    </row>
    <row r="4" spans="1:16" ht="15" customHeight="1" x14ac:dyDescent="0.25">
      <c r="C4" s="78"/>
      <c r="D4" s="78"/>
      <c r="E4" s="78"/>
      <c r="F4" s="78"/>
      <c r="G4" s="78"/>
      <c r="H4" s="78"/>
      <c r="I4" s="78"/>
      <c r="J4" s="78"/>
    </row>
    <row r="5" spans="1:16" ht="15" customHeight="1" x14ac:dyDescent="0.25">
      <c r="C5" s="78"/>
      <c r="D5" s="78"/>
      <c r="E5" s="78"/>
      <c r="F5" s="78"/>
      <c r="G5" s="78"/>
      <c r="H5" s="78"/>
      <c r="I5" s="78"/>
      <c r="J5" s="78"/>
    </row>
    <row r="6" spans="1:16" ht="15" customHeight="1" x14ac:dyDescent="0.25">
      <c r="C6" s="78"/>
      <c r="D6" s="78"/>
      <c r="E6" s="78"/>
      <c r="F6" s="78"/>
      <c r="G6" s="78"/>
      <c r="H6" s="78"/>
      <c r="I6" s="78"/>
      <c r="J6" s="78"/>
    </row>
    <row r="7" spans="1:16" ht="15.75" thickBot="1" x14ac:dyDescent="0.3">
      <c r="C7" s="78"/>
      <c r="D7" s="4"/>
      <c r="E7" s="5" t="s">
        <v>0</v>
      </c>
      <c r="F7" s="6" t="s">
        <v>1</v>
      </c>
      <c r="G7" s="6" t="s">
        <v>2</v>
      </c>
      <c r="H7" s="79"/>
      <c r="I7" s="80"/>
      <c r="J7" s="78"/>
    </row>
    <row r="8" spans="1:16" ht="15.75" x14ac:dyDescent="0.25">
      <c r="C8" s="78"/>
      <c r="D8" s="7" t="s">
        <v>3</v>
      </c>
      <c r="E8" s="8">
        <v>2019</v>
      </c>
      <c r="F8" s="9">
        <v>10000</v>
      </c>
      <c r="G8" s="10">
        <f>IF(E8&gt;2018,F8/1.19,F8/1.17)</f>
        <v>8403.361344537816</v>
      </c>
      <c r="H8" s="11"/>
      <c r="I8" s="12"/>
      <c r="J8" s="78"/>
    </row>
    <row r="9" spans="1:16" ht="15.75" x14ac:dyDescent="0.25">
      <c r="C9" s="78"/>
      <c r="D9" s="13" t="s">
        <v>4</v>
      </c>
      <c r="E9" s="14"/>
      <c r="F9" s="15"/>
      <c r="G9" s="10">
        <f>F9</f>
        <v>0</v>
      </c>
      <c r="H9" s="11"/>
      <c r="I9" s="12"/>
      <c r="J9" s="78"/>
      <c r="M9" s="16" t="s">
        <v>5</v>
      </c>
      <c r="N9" s="16" t="s">
        <v>6</v>
      </c>
      <c r="O9" s="16" t="s">
        <v>5</v>
      </c>
      <c r="P9" s="16"/>
    </row>
    <row r="10" spans="1:16" ht="15.75" x14ac:dyDescent="0.25">
      <c r="C10" s="78"/>
      <c r="D10" s="13" t="s">
        <v>7</v>
      </c>
      <c r="E10" s="17"/>
      <c r="F10" s="15"/>
      <c r="G10" s="10">
        <f>F10</f>
        <v>0</v>
      </c>
      <c r="H10" s="18"/>
      <c r="I10" s="12"/>
      <c r="J10" s="78"/>
      <c r="M10" s="16" t="s">
        <v>8</v>
      </c>
      <c r="N10" s="16" t="s">
        <v>9</v>
      </c>
      <c r="O10" s="16" t="s">
        <v>8</v>
      </c>
      <c r="P10" s="16">
        <v>0.15</v>
      </c>
    </row>
    <row r="11" spans="1:16" ht="15.75" x14ac:dyDescent="0.25">
      <c r="A11" s="19"/>
      <c r="C11" s="78"/>
      <c r="D11" s="13" t="s">
        <v>10</v>
      </c>
      <c r="E11" s="17"/>
      <c r="F11" s="20">
        <f>I12</f>
        <v>0</v>
      </c>
      <c r="G11" s="21">
        <f>F11/1.19</f>
        <v>0</v>
      </c>
      <c r="H11" s="22"/>
      <c r="I11" s="23"/>
      <c r="J11" s="78"/>
      <c r="M11" s="16" t="s">
        <v>11</v>
      </c>
      <c r="N11" s="16" t="s">
        <v>12</v>
      </c>
      <c r="O11" s="16" t="s">
        <v>11</v>
      </c>
      <c r="P11" s="16">
        <v>0.25</v>
      </c>
    </row>
    <row r="12" spans="1:16" ht="15.75" x14ac:dyDescent="0.25">
      <c r="A12" s="19"/>
      <c r="C12" s="78"/>
      <c r="D12" s="13" t="s">
        <v>13</v>
      </c>
      <c r="E12" s="17"/>
      <c r="F12" s="24"/>
      <c r="G12" s="25">
        <f>F12/1.19</f>
        <v>0</v>
      </c>
      <c r="H12" s="26"/>
      <c r="I12" s="27">
        <f>SUM(I8:I11)</f>
        <v>0</v>
      </c>
      <c r="J12" s="78"/>
      <c r="M12" s="16" t="s">
        <v>14</v>
      </c>
      <c r="N12" s="16" t="s">
        <v>15</v>
      </c>
      <c r="O12" s="16" t="s">
        <v>14</v>
      </c>
      <c r="P12" s="16"/>
    </row>
    <row r="13" spans="1:16" ht="15.75" x14ac:dyDescent="0.25">
      <c r="C13" s="78"/>
      <c r="D13" s="28" t="s">
        <v>16</v>
      </c>
      <c r="E13" s="29">
        <v>0.2</v>
      </c>
      <c r="F13" s="30">
        <f>(F8-(F12+F11))*E13</f>
        <v>2000</v>
      </c>
      <c r="G13" s="31">
        <f>F13/1.19</f>
        <v>1680.6722689075632</v>
      </c>
      <c r="H13" s="81"/>
      <c r="I13" s="81"/>
      <c r="J13" s="78"/>
      <c r="M13" s="16"/>
      <c r="N13" s="16"/>
      <c r="O13" s="16" t="s">
        <v>17</v>
      </c>
      <c r="P13" s="16"/>
    </row>
    <row r="14" spans="1:16" ht="15.75" x14ac:dyDescent="0.25">
      <c r="C14" s="78"/>
      <c r="D14" s="28" t="s">
        <v>18</v>
      </c>
      <c r="E14" s="29">
        <v>0.25</v>
      </c>
      <c r="F14" s="32">
        <f>F12*E14</f>
        <v>0</v>
      </c>
      <c r="G14" s="31">
        <f>F14/1.19</f>
        <v>0</v>
      </c>
      <c r="H14" s="33"/>
      <c r="I14" s="33"/>
      <c r="J14" s="78"/>
      <c r="M14" s="16"/>
      <c r="N14" s="16"/>
      <c r="O14" s="16" t="s">
        <v>19</v>
      </c>
      <c r="P14" s="16"/>
    </row>
    <row r="15" spans="1:16" ht="15.75" x14ac:dyDescent="0.25">
      <c r="C15" s="78"/>
      <c r="D15" s="34" t="s">
        <v>20</v>
      </c>
      <c r="E15" s="35"/>
      <c r="F15" s="36"/>
      <c r="G15" s="37"/>
      <c r="H15" s="33"/>
      <c r="I15" s="33"/>
      <c r="J15" s="78"/>
      <c r="M15" s="16"/>
      <c r="N15" s="16"/>
      <c r="O15" s="16" t="s">
        <v>21</v>
      </c>
      <c r="P15" s="16"/>
    </row>
    <row r="16" spans="1:16" ht="15.75" x14ac:dyDescent="0.25">
      <c r="C16" s="78"/>
      <c r="D16" s="38" t="s">
        <v>22</v>
      </c>
      <c r="E16" s="82" t="str">
        <f>IF(ISERROR(F16*100/F17)-100,"",F16*100/F17-100)</f>
        <v/>
      </c>
      <c r="F16" s="39"/>
      <c r="G16" s="40">
        <f>F16</f>
        <v>0</v>
      </c>
      <c r="H16" s="33"/>
      <c r="I16" s="33"/>
      <c r="J16" s="78"/>
      <c r="M16" s="16"/>
      <c r="N16" s="16"/>
      <c r="O16" s="16" t="s">
        <v>23</v>
      </c>
      <c r="P16" s="16"/>
    </row>
    <row r="17" spans="2:20" ht="15.75" x14ac:dyDescent="0.25">
      <c r="C17" s="78"/>
      <c r="D17" s="38" t="s">
        <v>24</v>
      </c>
      <c r="E17" s="83"/>
      <c r="F17" s="39"/>
      <c r="G17" s="40">
        <f>F17</f>
        <v>0</v>
      </c>
      <c r="H17" s="33"/>
      <c r="I17" s="33"/>
      <c r="J17" s="78"/>
      <c r="M17" s="16"/>
      <c r="N17" s="16"/>
      <c r="O17" s="16" t="s">
        <v>25</v>
      </c>
      <c r="P17" s="16"/>
    </row>
    <row r="18" spans="2:20" ht="18.75" x14ac:dyDescent="0.25">
      <c r="C18" s="78"/>
      <c r="D18" s="84" t="s">
        <v>26</v>
      </c>
      <c r="E18" s="85"/>
      <c r="F18" s="41">
        <f>(F8+F9+F10)-(ROUND(F13,2)+ROUND(F14,2))</f>
        <v>8000</v>
      </c>
      <c r="G18" s="41">
        <f>(G8+G9+G10)-(ROUND(G13,2)+ROUND(G14,2))</f>
        <v>6722.6913445378159</v>
      </c>
      <c r="H18" s="33"/>
      <c r="I18" s="33"/>
      <c r="J18" s="78"/>
      <c r="M18" s="16"/>
      <c r="N18" s="16"/>
      <c r="O18" s="16" t="s">
        <v>27</v>
      </c>
      <c r="P18" s="16"/>
    </row>
    <row r="19" spans="2:20" ht="15.75" x14ac:dyDescent="0.25">
      <c r="C19" s="78"/>
      <c r="D19" s="42" t="s">
        <v>28</v>
      </c>
      <c r="E19" s="43"/>
      <c r="F19" s="44">
        <v>1000</v>
      </c>
      <c r="G19" s="45">
        <f>F19</f>
        <v>1000</v>
      </c>
      <c r="H19" s="33"/>
      <c r="I19" s="33"/>
      <c r="J19" s="78"/>
      <c r="M19" s="16"/>
      <c r="N19" s="16"/>
      <c r="O19" s="16" t="s">
        <v>29</v>
      </c>
      <c r="P19" s="16"/>
    </row>
    <row r="20" spans="2:20" ht="15.75" x14ac:dyDescent="0.25">
      <c r="B20" s="19"/>
      <c r="C20" s="78"/>
      <c r="D20" s="42" t="s">
        <v>30</v>
      </c>
      <c r="E20" s="43"/>
      <c r="F20" s="44">
        <v>1500</v>
      </c>
      <c r="G20" s="45">
        <f>F20</f>
        <v>1500</v>
      </c>
      <c r="H20" s="33"/>
      <c r="I20" s="33"/>
      <c r="J20" s="78"/>
      <c r="M20" s="46" t="s">
        <v>5</v>
      </c>
      <c r="N20" s="16"/>
      <c r="O20" s="2" t="s">
        <v>31</v>
      </c>
    </row>
    <row r="21" spans="2:20" ht="15.75" x14ac:dyDescent="0.25">
      <c r="B21" s="19"/>
      <c r="C21" s="78"/>
      <c r="D21" s="47" t="s">
        <v>8</v>
      </c>
      <c r="E21" s="48">
        <f>IFERROR(VLOOKUP(D21,$O$10:$P$11,2,0),"")</f>
        <v>0.15</v>
      </c>
      <c r="F21" s="49">
        <f>IF(OR(F19&gt;0,(F16&gt;0)),IFERROR(IF($D$21="S /Total REG PRP Capitaux",ROUND((F18*F16),2)/F17,IF($D$21="Sous total REG Prp Usage",ROUND((F18*F19),2)/F20,IF(OR($D$21="Sous total REG Prp Permis",$D$21="Sous total REG Prp AGE"),ROUND((F18*F19),2)/ROUND((F19*E21+F19),2),0))),"0"),0)</f>
        <v>6956.521739130435</v>
      </c>
      <c r="G21" s="49">
        <f>IF(OR(G19&gt;0,(G16&gt;0)),IFERROR(IF($D$21="S /Total REG PRP Capitaux",ROUND((G18*G16),2)/G17,IF($D$21="Sous total REG Prp Usage",ROUND((G18*G19),2)/G20,IF(OR($D$21="Sous total REG Prp Permis",$D$21="Sous total REG Prp AGE"),ROUND((G18*G19),2)/ROUND((G19*F21+G19),2),0))),"0"),0)</f>
        <v>0.96624798185682703</v>
      </c>
      <c r="H21" s="33"/>
      <c r="I21" s="33"/>
      <c r="J21" s="78"/>
      <c r="M21" s="46" t="s">
        <v>8</v>
      </c>
      <c r="N21" s="50">
        <v>0.15</v>
      </c>
      <c r="O21" s="51">
        <f>IFERROR((F18*F19)/((ROUND(F20,2))),"")</f>
        <v>5333.333333333333</v>
      </c>
      <c r="P21" s="51">
        <f>IFERROR((G24-G22)*G18/(G19+(ROUND(G19*F21,2))),"")</f>
        <v>5.8452746186585385</v>
      </c>
    </row>
    <row r="22" spans="2:20" ht="15.75" x14ac:dyDescent="0.25">
      <c r="C22" s="78"/>
      <c r="D22" s="52" t="s">
        <v>32</v>
      </c>
      <c r="E22" s="29">
        <v>0.1</v>
      </c>
      <c r="F22" s="30">
        <f>(F18 * E22)</f>
        <v>800</v>
      </c>
      <c r="G22" s="31">
        <f>(G18 * E22)</f>
        <v>672.26913445378159</v>
      </c>
      <c r="H22" s="33"/>
      <c r="I22" s="33"/>
      <c r="J22" s="78"/>
      <c r="M22" s="46" t="s">
        <v>11</v>
      </c>
      <c r="N22" s="50">
        <v>0.25</v>
      </c>
      <c r="O22" s="51">
        <f>IFERROR((F18)*F19/(ROUND(F20,2)),"")</f>
        <v>5333.333333333333</v>
      </c>
      <c r="P22" s="51" t="str">
        <f>IFERROR((G23-G18)*G19/(G19+ROUND(G19*#REF!,2)),"")</f>
        <v/>
      </c>
    </row>
    <row r="23" spans="2:20" ht="15.75" x14ac:dyDescent="0.25">
      <c r="C23" s="78"/>
      <c r="D23" s="53" t="s">
        <v>33</v>
      </c>
      <c r="E23" s="54"/>
      <c r="F23" s="55"/>
      <c r="G23" s="56">
        <f>F23</f>
        <v>0</v>
      </c>
      <c r="H23" s="33"/>
      <c r="I23" s="33"/>
      <c r="J23" s="78"/>
      <c r="M23" s="46" t="s">
        <v>14</v>
      </c>
      <c r="N23" s="50"/>
      <c r="O23" s="51"/>
      <c r="P23" s="51"/>
    </row>
    <row r="24" spans="2:20" ht="15.75" x14ac:dyDescent="0.25">
      <c r="C24" s="78"/>
      <c r="D24" s="57" t="str">
        <f>IFERROR(INDEX($O$9:$O$20,MATCH($D$21,$O$9:$O$20,0)+4),"")</f>
        <v>Montant Rpr Âge</v>
      </c>
      <c r="E24" s="54"/>
      <c r="F24" s="20">
        <f>IF(F21&gt;0,IFERROR(IF($D$24="Montant Rpr Usage",F18-F21,IF($D$24="Montant Rpr Capitaux",F18-F21,IF(OR($D$24="Montant Rpr Permis",$D$24="Montant Rpr Âge"),(F18-F21),0))),""),"")</f>
        <v>1043.478260869565</v>
      </c>
      <c r="G24" s="20">
        <f>IF(G21&gt;0,IFERROR(IF($D$24="Montant Rpr Usage",G18-G21,IF($D$24="Montant Rpr Capitaux",G18-G21,IF(OR($D$24="Montant Rpr Permis",$D$24="Montant Rpr Âge"),(G18-G21),0))),""),"")</f>
        <v>6721.7250965559588</v>
      </c>
      <c r="H24" s="58"/>
      <c r="I24" s="59"/>
      <c r="J24" s="78"/>
      <c r="M24" s="60" t="s">
        <v>19</v>
      </c>
      <c r="N24" s="61"/>
      <c r="O24" s="62">
        <f>(F16-F22)+F18</f>
        <v>7200</v>
      </c>
      <c r="P24" s="62">
        <f>(G16-G22)+G18</f>
        <v>6050.4222100840343</v>
      </c>
      <c r="S24" s="19"/>
      <c r="T24" s="19"/>
    </row>
    <row r="25" spans="2:20" ht="15.75" x14ac:dyDescent="0.25">
      <c r="C25" s="78"/>
      <c r="D25" s="57" t="str">
        <f>IFERROR(INDEX($O$9:$O$20,MATCH($D$21,$O$9:$O$20,0)+8),"")</f>
        <v>Total à payer Rpr Âge</v>
      </c>
      <c r="E25" s="54"/>
      <c r="F25" s="63">
        <f>IF(F21&gt;0,IFERROR(IF($D$25="Total à payer Rpr Usage",F21-F22+F23,IF($D$25="Total à payer Rpr Capitaux",F21-F22+F23,IF(OR($D$25="Total à payer Rpr Âge",$D$25="Total à payer Rpr Permis"),(F21-F22+F23),0))),""),"")</f>
        <v>6156.521739130435</v>
      </c>
      <c r="G25" s="63">
        <f>IF(G21&gt;0,IFERROR(IF($D$25="Total à payer Rpr Usage",G21-G22+G23,IF($D$25="Total à payer Rpr Capitaux",G21-G22+G23,IF(OR($D$25="Total à payer Rpr Âge",$D$25="Total à payer Rpr Permis"),(G21-G22+G23),0))),""),"")</f>
        <v>-671.30288647192481</v>
      </c>
      <c r="H25" s="64">
        <f>SUM(H14:H24)</f>
        <v>0</v>
      </c>
      <c r="I25" s="65">
        <f>SUM(I14:I24)</f>
        <v>0</v>
      </c>
      <c r="J25" s="78"/>
      <c r="M25" s="60" t="s">
        <v>21</v>
      </c>
      <c r="N25" s="61"/>
      <c r="O25" s="62">
        <f>(F18-F22)+F19</f>
        <v>8200</v>
      </c>
      <c r="P25" s="62">
        <f>(G18-G22)+G19</f>
        <v>7050.4222100840343</v>
      </c>
      <c r="S25" s="66"/>
    </row>
    <row r="26" spans="2:20" ht="19.5" thickBot="1" x14ac:dyDescent="0.3">
      <c r="C26" s="78"/>
      <c r="D26" s="67" t="s">
        <v>34</v>
      </c>
      <c r="E26" s="68"/>
      <c r="F26" s="69">
        <f>IFERROR(F18-F22+F23,"")</f>
        <v>7200</v>
      </c>
      <c r="G26" s="70">
        <f>IFERROR(G18-G22+G23,"")</f>
        <v>6050.4222100840343</v>
      </c>
      <c r="H26" s="71"/>
      <c r="I26" s="71"/>
      <c r="J26" s="78"/>
      <c r="M26" s="60" t="s">
        <v>23</v>
      </c>
      <c r="N26" s="61"/>
      <c r="O26" s="62">
        <f>IFERROR(F18-F21,"")</f>
        <v>1043.478260869565</v>
      </c>
      <c r="P26" s="62">
        <f>IFERROR(G18-G21,"")</f>
        <v>6721.7250965559588</v>
      </c>
      <c r="S26" s="66"/>
    </row>
    <row r="27" spans="2:20" ht="18.75" x14ac:dyDescent="0.25">
      <c r="C27" s="78"/>
      <c r="D27" s="72"/>
      <c r="E27" s="72"/>
      <c r="F27" s="73"/>
      <c r="G27" s="73"/>
      <c r="H27" s="71"/>
      <c r="I27" s="71"/>
      <c r="J27" s="78"/>
      <c r="M27" s="60" t="s">
        <v>27</v>
      </c>
      <c r="N27" s="74"/>
      <c r="O27" s="75">
        <f>IF(ISERROR(F18-F21+F22-F23),"",F18-F21+F22-F23)</f>
        <v>1843.478260869565</v>
      </c>
      <c r="P27" s="75">
        <f>IF(ISERROR(G18-G21+G22-G23),"",G18-G21+G22-G23)</f>
        <v>7393.9942310097404</v>
      </c>
      <c r="S27" s="66"/>
    </row>
    <row r="28" spans="2:20" ht="19.5" thickBot="1" x14ac:dyDescent="0.3">
      <c r="C28" s="78"/>
      <c r="D28" s="76"/>
      <c r="E28" s="76"/>
      <c r="F28" s="76"/>
      <c r="G28" s="76"/>
      <c r="H28" s="71"/>
      <c r="I28" s="71"/>
      <c r="J28" s="78"/>
      <c r="M28" s="60" t="s">
        <v>29</v>
      </c>
      <c r="N28" s="74"/>
      <c r="O28" s="75">
        <f>IF(ISERROR(F16-F22+F23-F25),"",F16-F22+F23-F25)</f>
        <v>-6956.521739130435</v>
      </c>
      <c r="P28" s="75">
        <f>IF(ISERROR(G16-G22+G23-G25),"",G16-G22+G23-G25)</f>
        <v>-0.96624798185678173</v>
      </c>
      <c r="S28" s="66"/>
    </row>
    <row r="29" spans="2:20" ht="18.75" x14ac:dyDescent="0.25">
      <c r="M29" s="60" t="s">
        <v>31</v>
      </c>
      <c r="N29" s="77"/>
      <c r="O29" s="75">
        <f>F16-F22+F23-F26</f>
        <v>-8000</v>
      </c>
      <c r="P29" s="75">
        <f>G16-G22+G23-G26</f>
        <v>-6722.6913445378159</v>
      </c>
    </row>
  </sheetData>
  <sheetProtection algorithmName="SHA-512" hashValue="m9VBwAZ5CBltHbfwCcQY4jppYPo04529J9qT8jjH3+Bwq5ORLLP83FWktNdTofnhrV0Pwcs5desCI49JLqefbw==" saltValue="L7w7PV0icPMs7q9+ZLPOYg==" spinCount="100000" sheet="1" objects="1" scenarios="1" selectLockedCells="1"/>
  <mergeCells count="7">
    <mergeCell ref="C3:C28"/>
    <mergeCell ref="D3:I6"/>
    <mergeCell ref="J3:J28"/>
    <mergeCell ref="H7:I7"/>
    <mergeCell ref="H13:I13"/>
    <mergeCell ref="E16:E17"/>
    <mergeCell ref="D18:E18"/>
  </mergeCells>
  <conditionalFormatting sqref="E13">
    <cfRule type="dataBar" priority="6">
      <dataBar>
        <cfvo type="min"/>
        <cfvo type="max"/>
        <color rgb="FF638EC6"/>
      </dataBar>
    </cfRule>
  </conditionalFormatting>
  <conditionalFormatting sqref="E14:E15">
    <cfRule type="dataBar" priority="5">
      <dataBar>
        <cfvo type="min"/>
        <cfvo type="max"/>
        <color rgb="FF638EC6"/>
      </dataBar>
    </cfRule>
  </conditionalFormatting>
  <conditionalFormatting sqref="E13:E15">
    <cfRule type="dataBar" priority="4">
      <dataBar>
        <cfvo type="min"/>
        <cfvo type="max"/>
        <color rgb="FFFFB628"/>
      </dataBar>
    </cfRule>
  </conditionalFormatting>
  <conditionalFormatting sqref="E22">
    <cfRule type="dataBar" priority="3">
      <dataBar>
        <cfvo type="min"/>
        <cfvo type="max"/>
        <color rgb="FFFF555A"/>
      </dataBar>
    </cfRule>
  </conditionalFormatting>
  <conditionalFormatting sqref="N23">
    <cfRule type="dataBar" priority="2">
      <dataBar>
        <cfvo type="min"/>
        <cfvo type="max"/>
        <color rgb="FF63C384"/>
      </dataBar>
    </cfRule>
  </conditionalFormatting>
  <conditionalFormatting sqref="E16:E17">
    <cfRule type="dataBar" priority="1">
      <dataBar>
        <cfvo type="min"/>
        <cfvo type="max"/>
        <color rgb="FFFF555A"/>
      </dataBar>
    </cfRule>
  </conditionalFormatting>
  <conditionalFormatting sqref="E21">
    <cfRule type="dataBar" priority="7">
      <dataBar>
        <cfvo type="min"/>
        <cfvo type="max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Base_Sinistre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2020-01-31T16:07:29Z</dcterms:created>
  <dcterms:modified xsi:type="dcterms:W3CDTF">2020-01-31T20:05:52Z</dcterms:modified>
</cp:coreProperties>
</file>