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240" yWindow="135" windowWidth="19935" windowHeight="8385" activeTab="2"/>
  </bookViews>
  <sheets>
    <sheet name="Vict Maj DCD" sheetId="1" r:id="rId1"/>
    <sheet name="Vict Min DCD" sheetId="2" r:id="rId2"/>
    <sheet name="Victime Blessée" sheetId="3" r:id="rId3"/>
    <sheet name="Feuil1" sheetId="4" r:id="rId4"/>
    <sheet name="Feuil2" sheetId="5" r:id="rId5"/>
  </sheets>
  <definedNames>
    <definedName name="_xlnm.Print_Area" localSheetId="0">'Vict Maj DCD'!$A$1:$N$18</definedName>
    <definedName name="_xlnm.Print_Area" localSheetId="1">'Vict Min DCD'!$A$1:$O$13</definedName>
    <definedName name="_xlnm.Print_Area" localSheetId="2">'Victime Blessée'!$A$1:$L$20</definedName>
  </definedNames>
  <calcPr calcId="162913"/>
</workbook>
</file>

<file path=xl/calcChain.xml><?xml version="1.0" encoding="utf-8"?>
<calcChain xmlns="http://schemas.openxmlformats.org/spreadsheetml/2006/main">
  <c r="B7" i="2" l="1"/>
  <c r="J6" i="3"/>
  <c r="J6" i="2"/>
  <c r="I6" i="1"/>
  <c r="F12" i="3"/>
  <c r="F4" i="1"/>
  <c r="F4" i="2"/>
  <c r="J5" i="2"/>
  <c r="K5" i="2"/>
  <c r="F14" i="3"/>
  <c r="F15" i="3" l="1"/>
  <c r="J5" i="3"/>
  <c r="J16" i="3"/>
  <c r="I5" i="1"/>
  <c r="E16" i="1"/>
  <c r="E15" i="1"/>
  <c r="E13" i="1"/>
  <c r="C12" i="2"/>
  <c r="C11" i="2"/>
  <c r="C10" i="2"/>
  <c r="C7" i="2"/>
  <c r="E17" i="1"/>
  <c r="J14" i="3" l="1"/>
  <c r="J15" i="3"/>
  <c r="J7" i="3"/>
  <c r="E10" i="2"/>
  <c r="G10" i="2"/>
  <c r="I12" i="2"/>
  <c r="I11" i="2"/>
  <c r="G11" i="2"/>
  <c r="G12" i="2"/>
  <c r="E12" i="2"/>
  <c r="I10" i="2"/>
  <c r="K12" i="2" l="1"/>
  <c r="E11" i="2"/>
  <c r="K11" i="2" s="1"/>
  <c r="J8" i="3"/>
  <c r="K10" i="2"/>
  <c r="G13" i="2"/>
  <c r="I13" i="2"/>
  <c r="C16" i="1"/>
  <c r="C15" i="1"/>
  <c r="B12" i="1"/>
  <c r="J5" i="1"/>
  <c r="E13" i="2" l="1"/>
  <c r="K13" i="2"/>
  <c r="O6" i="2" s="1"/>
  <c r="J13" i="3"/>
  <c r="J12" i="3"/>
  <c r="G13" i="1"/>
  <c r="G14" i="1"/>
  <c r="I7" i="1"/>
  <c r="I8" i="1" s="1"/>
  <c r="G15" i="1"/>
  <c r="G16" i="1"/>
  <c r="I14" i="1"/>
  <c r="I12" i="1"/>
  <c r="I13" i="1"/>
  <c r="I16" i="1"/>
  <c r="I15" i="1"/>
  <c r="E12" i="1"/>
  <c r="E18" i="1" s="1"/>
  <c r="G12" i="1"/>
  <c r="J17" i="3" l="1"/>
  <c r="O8" i="3" s="1"/>
  <c r="F12" i="1"/>
  <c r="K14" i="1"/>
  <c r="I18" i="1"/>
  <c r="G18" i="1"/>
  <c r="F15" i="1"/>
  <c r="K15" i="1" s="1"/>
  <c r="F17" i="1"/>
  <c r="K17" i="1" s="1"/>
  <c r="F13" i="1"/>
  <c r="K13" i="1" s="1"/>
  <c r="F16" i="1"/>
  <c r="K16" i="1" s="1"/>
  <c r="K12" i="1"/>
  <c r="K18" i="1" l="1"/>
  <c r="N8" i="1" s="1"/>
  <c r="F18" i="1"/>
</calcChain>
</file>

<file path=xl/sharedStrings.xml><?xml version="1.0" encoding="utf-8"?>
<sst xmlns="http://schemas.openxmlformats.org/spreadsheetml/2006/main" count="166" uniqueCount="84">
  <si>
    <t>EVALUATION DE L'INDEMNITE</t>
  </si>
  <si>
    <t>VICTIME MAJEURE DECEDEE</t>
  </si>
  <si>
    <t>Date d'accident</t>
  </si>
  <si>
    <t>S.N.M.G en vigueur</t>
  </si>
  <si>
    <t>Valeur de point</t>
  </si>
  <si>
    <t>Date de naissance</t>
  </si>
  <si>
    <t>Age</t>
  </si>
  <si>
    <t>Activité</t>
  </si>
  <si>
    <t>Revenu mensuel réel</t>
  </si>
  <si>
    <t>Situation familiale</t>
  </si>
  <si>
    <t>Mariée</t>
  </si>
  <si>
    <t>Veuve</t>
  </si>
  <si>
    <t>Divorcée</t>
  </si>
  <si>
    <t>Conjoint (s)</t>
  </si>
  <si>
    <t>Enfants majeurs</t>
  </si>
  <si>
    <t>Enfants mineurs</t>
  </si>
  <si>
    <t>Père</t>
  </si>
  <si>
    <t>mère</t>
  </si>
  <si>
    <t>Autres pers à charge</t>
  </si>
  <si>
    <t>Oui</t>
  </si>
  <si>
    <t>Non</t>
  </si>
  <si>
    <t>Revenu annuel de réf.</t>
  </si>
  <si>
    <t>Prénom de la victime</t>
  </si>
  <si>
    <t>Nom de la victime</t>
  </si>
  <si>
    <t>Préjudice matériel</t>
  </si>
  <si>
    <t>Coeff</t>
  </si>
  <si>
    <t>Nbre</t>
  </si>
  <si>
    <t>Montant</t>
  </si>
  <si>
    <t>Préjudice moral</t>
  </si>
  <si>
    <t>Frais funéraires</t>
  </si>
  <si>
    <t>AYANTS DROIT</t>
  </si>
  <si>
    <t>Sans profession</t>
  </si>
  <si>
    <t>VICTIME MINEURE DECEDEE</t>
  </si>
  <si>
    <t>Tuteur légal</t>
  </si>
  <si>
    <t>Mère</t>
  </si>
  <si>
    <t>Capital constitutif</t>
  </si>
  <si>
    <t>DZD</t>
  </si>
  <si>
    <t xml:space="preserve">Total </t>
  </si>
  <si>
    <t>Total</t>
  </si>
  <si>
    <t>VICTIME BLESSEE</t>
  </si>
  <si>
    <t>NATURE DU PREJUDICE</t>
  </si>
  <si>
    <t>IPP</t>
  </si>
  <si>
    <t>ITT</t>
  </si>
  <si>
    <t>PD</t>
  </si>
  <si>
    <t>INCAPACITE PERMANENTE PARTIELLE</t>
  </si>
  <si>
    <t>PRETIUM DOLORIS</t>
  </si>
  <si>
    <t>ASSISTANCE D'UNE TIERCE PERSONNE</t>
  </si>
  <si>
    <t>Jours</t>
  </si>
  <si>
    <t>Léger</t>
  </si>
  <si>
    <t>Moyen</t>
  </si>
  <si>
    <t>Important</t>
  </si>
  <si>
    <t>Montant de l'indemnité</t>
  </si>
  <si>
    <t>Célibataire</t>
  </si>
  <si>
    <t>Salariée</t>
  </si>
  <si>
    <t>Profession libre</t>
  </si>
  <si>
    <t>Retraitée</t>
  </si>
  <si>
    <t>ans</t>
  </si>
  <si>
    <t>&lt;</t>
  </si>
  <si>
    <t>Légères</t>
  </si>
  <si>
    <t>Moyennes</t>
  </si>
  <si>
    <t>Graves</t>
  </si>
  <si>
    <t>INCAPACITE TEMPORAIRE DU TRAVAIL</t>
  </si>
  <si>
    <t>EVALUATION</t>
  </si>
  <si>
    <t>INITIALE</t>
  </si>
  <si>
    <t>&gt;</t>
  </si>
  <si>
    <t>FRAIS MEDICAUX &amp; PHARMACEUTIQUES</t>
  </si>
  <si>
    <t>FMP</t>
  </si>
  <si>
    <t>ATP</t>
  </si>
  <si>
    <t xml:space="preserve">Degré des blessures </t>
  </si>
  <si>
    <t>AAA</t>
  </si>
  <si>
    <t>BB</t>
  </si>
  <si>
    <t>Qualité de la victime</t>
  </si>
  <si>
    <t>Passager véhicule assuré</t>
  </si>
  <si>
    <t>Piéton</t>
  </si>
  <si>
    <t>Passager véhicule adverse</t>
  </si>
  <si>
    <t>Conducteur véhicule assuré</t>
  </si>
  <si>
    <t>Conducteur véhicule adverse</t>
  </si>
  <si>
    <t>Contre Piéton</t>
  </si>
  <si>
    <t>Seul</t>
  </si>
  <si>
    <t>Collision</t>
  </si>
  <si>
    <t>Nature de l'accident</t>
  </si>
  <si>
    <t>Taux de responsabilité</t>
  </si>
  <si>
    <t>Montant à provisionner DZD</t>
  </si>
  <si>
    <t>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</si>
</sst>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8" tint="-0.499984740745262"/>
      <name val="Calibri"/>
      <family val="2"/>
    </font>
    <font>
      <b/>
      <sz val="11"/>
      <color theme="8" tint="-0.499984740745262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99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1" fontId="7" fillId="3" borderId="2" xfId="0" applyNumberFormat="1" applyFont="1" applyFill="1" applyBorder="1" applyAlignment="1">
      <alignment horizontal="right" vertical="center"/>
    </xf>
    <xf numFmtId="1" fontId="6" fillId="3" borderId="3" xfId="0" applyNumberFormat="1" applyFont="1" applyFill="1" applyBorder="1" applyAlignment="1">
      <alignment horizontal="left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4" fontId="5" fillId="5" borderId="24" xfId="0" applyNumberFormat="1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4" fontId="5" fillId="5" borderId="26" xfId="0" applyNumberFormat="1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4" fontId="5" fillId="5" borderId="28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5" borderId="0" xfId="0" applyFill="1" applyBorder="1" applyAlignment="1">
      <alignment vertical="center"/>
    </xf>
    <xf numFmtId="0" fontId="2" fillId="6" borderId="1" xfId="0" applyFont="1" applyFill="1" applyBorder="1" applyAlignment="1">
      <alignment horizontal="right" vertical="center"/>
    </xf>
    <xf numFmtId="3" fontId="5" fillId="5" borderId="0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/>
    </xf>
    <xf numFmtId="0" fontId="6" fillId="5" borderId="29" xfId="0" applyFont="1" applyFill="1" applyBorder="1" applyAlignment="1">
      <alignment horizontal="center" vertical="center"/>
    </xf>
    <xf numFmtId="4" fontId="6" fillId="5" borderId="30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0" fillId="5" borderId="0" xfId="0" applyFill="1"/>
    <xf numFmtId="0" fontId="6" fillId="5" borderId="0" xfId="0" applyFont="1" applyFill="1" applyBorder="1" applyAlignment="1">
      <alignment vertical="center"/>
    </xf>
    <xf numFmtId="3" fontId="5" fillId="5" borderId="0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vertical="center"/>
    </xf>
    <xf numFmtId="0" fontId="6" fillId="5" borderId="0" xfId="0" applyFont="1" applyFill="1" applyAlignment="1">
      <alignment vertical="center"/>
    </xf>
    <xf numFmtId="0" fontId="6" fillId="6" borderId="1" xfId="0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right" vertical="center"/>
    </xf>
    <xf numFmtId="3" fontId="5" fillId="6" borderId="1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vertical="center" wrapText="1"/>
    </xf>
    <xf numFmtId="4" fontId="6" fillId="5" borderId="0" xfId="0" applyNumberFormat="1" applyFont="1" applyFill="1" applyBorder="1" applyAlignment="1">
      <alignment vertical="center"/>
    </xf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center"/>
    </xf>
    <xf numFmtId="43" fontId="2" fillId="0" borderId="0" xfId="1" applyFont="1"/>
    <xf numFmtId="0" fontId="6" fillId="3" borderId="3" xfId="0" applyFont="1" applyFill="1" applyBorder="1" applyAlignment="1">
      <alignment vertical="center"/>
    </xf>
    <xf numFmtId="4" fontId="5" fillId="3" borderId="47" xfId="0" applyNumberFormat="1" applyFont="1" applyFill="1" applyBorder="1" applyAlignment="1">
      <alignment horizontal="center" vertical="center"/>
    </xf>
    <xf numFmtId="4" fontId="5" fillId="3" borderId="48" xfId="0" applyNumberFormat="1" applyFont="1" applyFill="1" applyBorder="1" applyAlignment="1">
      <alignment horizontal="center" vertical="center"/>
    </xf>
    <xf numFmtId="4" fontId="5" fillId="3" borderId="49" xfId="0" applyNumberFormat="1" applyFont="1" applyFill="1" applyBorder="1" applyAlignment="1">
      <alignment horizontal="center" vertical="center"/>
    </xf>
    <xf numFmtId="4" fontId="6" fillId="3" borderId="45" xfId="0" applyNumberFormat="1" applyFont="1" applyFill="1" applyBorder="1" applyAlignment="1">
      <alignment horizontal="center" vertical="center"/>
    </xf>
    <xf numFmtId="3" fontId="6" fillId="5" borderId="0" xfId="0" applyNumberFormat="1" applyFont="1" applyFill="1" applyBorder="1" applyAlignment="1">
      <alignment vertical="center"/>
    </xf>
    <xf numFmtId="4" fontId="5" fillId="5" borderId="0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 applyProtection="1">
      <alignment horizontal="center" vertical="center"/>
      <protection locked="0" hidden="1"/>
    </xf>
    <xf numFmtId="3" fontId="4" fillId="2" borderId="1" xfId="0" applyNumberFormat="1" applyFont="1" applyFill="1" applyBorder="1" applyAlignment="1" applyProtection="1">
      <alignment horizontal="center" vertical="center"/>
      <protection locked="0" hidden="1"/>
    </xf>
    <xf numFmtId="3" fontId="4" fillId="2" borderId="2" xfId="0" applyNumberFormat="1" applyFont="1" applyFill="1" applyBorder="1" applyAlignment="1" applyProtection="1">
      <alignment horizontal="center" vertical="center"/>
      <protection locked="0" hidden="1"/>
    </xf>
    <xf numFmtId="3" fontId="4" fillId="2" borderId="5" xfId="0" applyNumberFormat="1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hidden="1"/>
    </xf>
    <xf numFmtId="0" fontId="11" fillId="0" borderId="54" xfId="0" applyFont="1" applyBorder="1"/>
    <xf numFmtId="9" fontId="11" fillId="0" borderId="55" xfId="0" applyNumberFormat="1" applyFont="1" applyBorder="1"/>
    <xf numFmtId="0" fontId="11" fillId="0" borderId="55" xfId="0" applyFont="1" applyBorder="1"/>
    <xf numFmtId="0" fontId="11" fillId="0" borderId="51" xfId="0" applyFont="1" applyBorder="1"/>
    <xf numFmtId="9" fontId="11" fillId="0" borderId="0" xfId="0" applyNumberFormat="1" applyFont="1" applyBorder="1"/>
    <xf numFmtId="0" fontId="11" fillId="0" borderId="0" xfId="0" applyFont="1" applyBorder="1"/>
    <xf numFmtId="0" fontId="11" fillId="0" borderId="57" xfId="0" applyFont="1" applyBorder="1"/>
    <xf numFmtId="0" fontId="11" fillId="0" borderId="58" xfId="0" applyFont="1" applyBorder="1"/>
    <xf numFmtId="9" fontId="11" fillId="0" borderId="53" xfId="0" applyNumberFormat="1" applyFont="1" applyBorder="1"/>
    <xf numFmtId="0" fontId="11" fillId="0" borderId="53" xfId="0" applyFont="1" applyBorder="1"/>
    <xf numFmtId="0" fontId="11" fillId="0" borderId="59" xfId="0" applyFont="1" applyBorder="1"/>
    <xf numFmtId="0" fontId="11" fillId="0" borderId="50" xfId="0" applyFont="1" applyBorder="1"/>
    <xf numFmtId="0" fontId="11" fillId="0" borderId="5" xfId="0" applyFont="1" applyBorder="1"/>
    <xf numFmtId="0" fontId="2" fillId="6" borderId="50" xfId="0" applyFont="1" applyFill="1" applyBorder="1" applyAlignment="1">
      <alignment horizontal="right" vertical="center"/>
    </xf>
    <xf numFmtId="0" fontId="3" fillId="5" borderId="0" xfId="0" applyFont="1" applyFill="1" applyAlignment="1">
      <alignment vertical="center"/>
    </xf>
    <xf numFmtId="0" fontId="11" fillId="0" borderId="55" xfId="0" applyFont="1" applyBorder="1" applyAlignment="1">
      <alignment vertical="center"/>
    </xf>
    <xf numFmtId="0" fontId="11" fillId="0" borderId="57" xfId="0" applyFont="1" applyFill="1" applyBorder="1"/>
    <xf numFmtId="0" fontId="11" fillId="0" borderId="0" xfId="0" applyFont="1" applyBorder="1" applyAlignment="1">
      <alignment vertical="center"/>
    </xf>
    <xf numFmtId="9" fontId="5" fillId="3" borderId="1" xfId="0" applyNumberFormat="1" applyFont="1" applyFill="1" applyBorder="1" applyAlignment="1" applyProtection="1">
      <alignment horizontal="center" vertical="center"/>
      <protection hidden="1"/>
    </xf>
    <xf numFmtId="4" fontId="6" fillId="5" borderId="0" xfId="0" applyNumberFormat="1" applyFont="1" applyFill="1" applyBorder="1" applyAlignment="1" applyProtection="1">
      <alignment vertical="center"/>
      <protection hidden="1"/>
    </xf>
    <xf numFmtId="3" fontId="5" fillId="3" borderId="2" xfId="0" applyNumberFormat="1" applyFont="1" applyFill="1" applyBorder="1" applyAlignment="1" applyProtection="1">
      <alignment horizontal="center" vertical="center"/>
      <protection hidden="1"/>
    </xf>
    <xf numFmtId="0" fontId="12" fillId="5" borderId="0" xfId="0" applyFont="1" applyFill="1" applyAlignment="1">
      <alignment vertical="center"/>
    </xf>
    <xf numFmtId="1" fontId="13" fillId="3" borderId="2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6" fillId="6" borderId="50" xfId="0" applyFont="1" applyFill="1" applyBorder="1" applyAlignment="1">
      <alignment vertical="center"/>
    </xf>
    <xf numFmtId="9" fontId="1" fillId="2" borderId="50" xfId="2" applyFont="1" applyFill="1" applyBorder="1" applyAlignment="1" applyProtection="1">
      <alignment horizontal="center" vertical="center"/>
      <protection locked="0" hidden="1"/>
    </xf>
    <xf numFmtId="0" fontId="11" fillId="0" borderId="0" xfId="0" applyFont="1"/>
    <xf numFmtId="0" fontId="11" fillId="0" borderId="54" xfId="0" applyFont="1" applyBorder="1" applyAlignment="1">
      <alignment vertical="center"/>
    </xf>
    <xf numFmtId="0" fontId="11" fillId="0" borderId="56" xfId="0" applyFont="1" applyBorder="1" applyAlignment="1">
      <alignment vertical="center"/>
    </xf>
    <xf numFmtId="0" fontId="11" fillId="0" borderId="0" xfId="0" applyFont="1" applyAlignment="1">
      <alignment vertical="center"/>
    </xf>
    <xf numFmtId="9" fontId="11" fillId="0" borderId="0" xfId="0" applyNumberFormat="1" applyFont="1" applyAlignment="1">
      <alignment vertical="center"/>
    </xf>
    <xf numFmtId="0" fontId="11" fillId="0" borderId="51" xfId="0" applyFont="1" applyBorder="1" applyAlignment="1">
      <alignment vertical="center"/>
    </xf>
    <xf numFmtId="0" fontId="11" fillId="0" borderId="57" xfId="0" applyFont="1" applyBorder="1" applyAlignment="1">
      <alignment vertical="center"/>
    </xf>
    <xf numFmtId="13" fontId="11" fillId="0" borderId="0" xfId="0" applyNumberFormat="1" applyFont="1" applyAlignment="1">
      <alignment vertical="center"/>
    </xf>
    <xf numFmtId="0" fontId="11" fillId="0" borderId="58" xfId="0" applyFont="1" applyBorder="1" applyAlignment="1">
      <alignment vertical="center"/>
    </xf>
    <xf numFmtId="0" fontId="11" fillId="0" borderId="59" xfId="0" applyFont="1" applyBorder="1" applyAlignment="1">
      <alignment vertical="center"/>
    </xf>
    <xf numFmtId="0" fontId="15" fillId="0" borderId="0" xfId="0" applyFont="1"/>
    <xf numFmtId="14" fontId="15" fillId="0" borderId="0" xfId="0" applyNumberFormat="1" applyFont="1"/>
    <xf numFmtId="43" fontId="15" fillId="0" borderId="0" xfId="1" applyFont="1"/>
    <xf numFmtId="0" fontId="15" fillId="0" borderId="0" xfId="0" applyFont="1" applyAlignment="1">
      <alignment horizontal="center"/>
    </xf>
    <xf numFmtId="14" fontId="11" fillId="0" borderId="0" xfId="0" applyNumberFormat="1" applyFont="1"/>
    <xf numFmtId="43" fontId="11" fillId="0" borderId="0" xfId="1" applyFont="1"/>
    <xf numFmtId="43" fontId="1" fillId="0" borderId="0" xfId="1" applyFont="1"/>
    <xf numFmtId="0" fontId="11" fillId="0" borderId="0" xfId="0" applyFont="1" applyAlignment="1">
      <alignment horizontal="center"/>
    </xf>
    <xf numFmtId="0" fontId="19" fillId="0" borderId="0" xfId="0" applyFont="1"/>
    <xf numFmtId="0" fontId="11" fillId="0" borderId="0" xfId="0" applyFont="1" applyProtection="1"/>
    <xf numFmtId="14" fontId="15" fillId="0" borderId="0" xfId="0" applyNumberFormat="1" applyFont="1" applyAlignment="1">
      <alignment vertical="center"/>
    </xf>
    <xf numFmtId="0" fontId="15" fillId="0" borderId="0" xfId="0" applyNumberFormat="1" applyFont="1" applyAlignment="1">
      <alignment vertical="center"/>
    </xf>
    <xf numFmtId="0" fontId="17" fillId="0" borderId="0" xfId="0" applyNumberFormat="1" applyFont="1" applyAlignment="1">
      <alignment vertical="center"/>
    </xf>
    <xf numFmtId="3" fontId="5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5" fillId="5" borderId="17" xfId="0" applyNumberFormat="1" applyFont="1" applyFill="1" applyBorder="1" applyAlignment="1">
      <alignment horizontal="center" vertical="center"/>
    </xf>
    <xf numFmtId="4" fontId="5" fillId="5" borderId="18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left" vertical="center"/>
    </xf>
    <xf numFmtId="0" fontId="6" fillId="6" borderId="3" xfId="0" applyFont="1" applyFill="1" applyBorder="1" applyAlignment="1">
      <alignment horizontal="left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31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left" vertical="center"/>
      <protection locked="0" hidden="1"/>
    </xf>
    <xf numFmtId="49" fontId="14" fillId="2" borderId="1" xfId="0" applyNumberFormat="1" applyFont="1" applyFill="1" applyBorder="1" applyAlignment="1" applyProtection="1">
      <alignment horizontal="left" vertical="center"/>
      <protection locked="0" hidden="1"/>
    </xf>
    <xf numFmtId="4" fontId="4" fillId="2" borderId="2" xfId="0" applyNumberFormat="1" applyFont="1" applyFill="1" applyBorder="1" applyAlignment="1" applyProtection="1">
      <alignment horizontal="center" vertical="center"/>
      <protection locked="0" hidden="1"/>
    </xf>
    <xf numFmtId="4" fontId="4" fillId="2" borderId="4" xfId="0" applyNumberFormat="1" applyFont="1" applyFill="1" applyBorder="1" applyAlignment="1" applyProtection="1">
      <alignment horizontal="center" vertical="center"/>
      <protection locked="0" hidden="1"/>
    </xf>
    <xf numFmtId="14" fontId="1" fillId="2" borderId="6" xfId="0" applyNumberFormat="1" applyFont="1" applyFill="1" applyBorder="1" applyAlignment="1" applyProtection="1">
      <alignment horizontal="center" vertical="center"/>
      <protection locked="0" hidden="1"/>
    </xf>
    <xf numFmtId="0" fontId="12" fillId="5" borderId="0" xfId="0" applyFont="1" applyFill="1" applyAlignment="1">
      <alignment horizontal="center" vertical="center"/>
    </xf>
    <xf numFmtId="0" fontId="6" fillId="6" borderId="2" xfId="0" applyFont="1" applyFill="1" applyBorder="1" applyAlignment="1">
      <alignment horizontal="right" vertical="center"/>
    </xf>
    <xf numFmtId="0" fontId="6" fillId="6" borderId="4" xfId="0" applyFont="1" applyFill="1" applyBorder="1" applyAlignment="1">
      <alignment horizontal="right" vertical="center"/>
    </xf>
    <xf numFmtId="0" fontId="6" fillId="6" borderId="3" xfId="0" applyFont="1" applyFill="1" applyBorder="1" applyAlignment="1">
      <alignment horizontal="right" vertical="center"/>
    </xf>
    <xf numFmtId="4" fontId="18" fillId="3" borderId="8" xfId="0" applyNumberFormat="1" applyFont="1" applyFill="1" applyBorder="1" applyAlignment="1">
      <alignment horizontal="center" vertical="center"/>
    </xf>
    <xf numFmtId="4" fontId="18" fillId="3" borderId="10" xfId="0" applyNumberFormat="1" applyFont="1" applyFill="1" applyBorder="1" applyAlignment="1">
      <alignment horizontal="center" vertical="center"/>
    </xf>
    <xf numFmtId="0" fontId="17" fillId="3" borderId="44" xfId="0" applyFont="1" applyFill="1" applyBorder="1" applyAlignment="1">
      <alignment horizontal="center" vertical="center" wrapText="1"/>
    </xf>
    <xf numFmtId="0" fontId="17" fillId="3" borderId="45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4" fontId="6" fillId="5" borderId="9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center" vertical="center"/>
    </xf>
    <xf numFmtId="4" fontId="5" fillId="5" borderId="15" xfId="0" applyNumberFormat="1" applyFont="1" applyFill="1" applyBorder="1" applyAlignment="1">
      <alignment horizontal="center" vertical="center"/>
    </xf>
    <xf numFmtId="4" fontId="5" fillId="5" borderId="16" xfId="0" applyNumberFormat="1" applyFont="1" applyFill="1" applyBorder="1" applyAlignment="1">
      <alignment horizontal="center" vertical="center"/>
    </xf>
    <xf numFmtId="4" fontId="6" fillId="5" borderId="19" xfId="0" applyNumberFormat="1" applyFont="1" applyFill="1" applyBorder="1" applyAlignment="1">
      <alignment horizontal="center" vertical="center"/>
    </xf>
    <xf numFmtId="4" fontId="6" fillId="5" borderId="20" xfId="0" applyNumberFormat="1" applyFont="1" applyFill="1" applyBorder="1" applyAlignment="1">
      <alignment horizontal="center" vertical="center"/>
    </xf>
    <xf numFmtId="3" fontId="5" fillId="5" borderId="39" xfId="0" applyNumberFormat="1" applyFont="1" applyFill="1" applyBorder="1" applyAlignment="1">
      <alignment horizontal="center" vertical="center"/>
    </xf>
    <xf numFmtId="3" fontId="5" fillId="5" borderId="40" xfId="0" applyNumberFormat="1" applyFont="1" applyFill="1" applyBorder="1" applyAlignment="1">
      <alignment horizontal="center" vertical="center"/>
    </xf>
    <xf numFmtId="3" fontId="5" fillId="5" borderId="33" xfId="0" applyNumberFormat="1" applyFont="1" applyFill="1" applyBorder="1" applyAlignment="1">
      <alignment horizontal="center" vertical="center"/>
    </xf>
    <xf numFmtId="3" fontId="5" fillId="5" borderId="34" xfId="0" applyNumberFormat="1" applyFont="1" applyFill="1" applyBorder="1" applyAlignment="1">
      <alignment horizontal="center" vertical="center"/>
    </xf>
    <xf numFmtId="3" fontId="6" fillId="5" borderId="9" xfId="0" applyNumberFormat="1" applyFont="1" applyFill="1" applyBorder="1" applyAlignment="1">
      <alignment horizontal="center" vertical="center"/>
    </xf>
    <xf numFmtId="3" fontId="6" fillId="5" borderId="10" xfId="0" applyNumberFormat="1" applyFont="1" applyFill="1" applyBorder="1" applyAlignment="1">
      <alignment horizontal="center" vertical="center"/>
    </xf>
    <xf numFmtId="3" fontId="5" fillId="5" borderId="37" xfId="0" applyNumberFormat="1" applyFont="1" applyFill="1" applyBorder="1" applyAlignment="1">
      <alignment horizontal="center" vertical="center"/>
    </xf>
    <xf numFmtId="3" fontId="5" fillId="5" borderId="38" xfId="0" applyNumberFormat="1" applyFont="1" applyFill="1" applyBorder="1" applyAlignment="1">
      <alignment horizontal="center" vertical="center"/>
    </xf>
    <xf numFmtId="3" fontId="5" fillId="5" borderId="42" xfId="0" applyNumberFormat="1" applyFont="1" applyFill="1" applyBorder="1" applyAlignment="1">
      <alignment horizontal="center" vertical="center"/>
    </xf>
    <xf numFmtId="3" fontId="5" fillId="5" borderId="43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3" fontId="5" fillId="5" borderId="35" xfId="0" applyNumberFormat="1" applyFont="1" applyFill="1" applyBorder="1" applyAlignment="1">
      <alignment horizontal="center" vertical="center"/>
    </xf>
    <xf numFmtId="3" fontId="5" fillId="5" borderId="36" xfId="0" applyNumberFormat="1" applyFont="1" applyFill="1" applyBorder="1" applyAlignment="1">
      <alignment horizontal="center" vertical="center"/>
    </xf>
    <xf numFmtId="3" fontId="5" fillId="5" borderId="41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right" vertical="center"/>
    </xf>
    <xf numFmtId="3" fontId="5" fillId="5" borderId="0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  <xf numFmtId="3" fontId="5" fillId="3" borderId="4" xfId="0" applyNumberFormat="1" applyFont="1" applyFill="1" applyBorder="1" applyAlignment="1">
      <alignment horizontal="right" vertical="center"/>
    </xf>
    <xf numFmtId="4" fontId="6" fillId="3" borderId="9" xfId="0" applyNumberFormat="1" applyFont="1" applyFill="1" applyBorder="1" applyAlignment="1">
      <alignment horizontal="center" vertical="center"/>
    </xf>
    <xf numFmtId="4" fontId="6" fillId="3" borderId="10" xfId="0" applyNumberFormat="1" applyFont="1" applyFill="1" applyBorder="1" applyAlignment="1">
      <alignment horizontal="center" vertical="center"/>
    </xf>
    <xf numFmtId="4" fontId="5" fillId="3" borderId="15" xfId="0" applyNumberFormat="1" applyFont="1" applyFill="1" applyBorder="1" applyAlignment="1">
      <alignment horizontal="center" vertical="center"/>
    </xf>
    <xf numFmtId="4" fontId="5" fillId="3" borderId="16" xfId="0" applyNumberFormat="1" applyFont="1" applyFill="1" applyBorder="1" applyAlignment="1">
      <alignment horizontal="center" vertical="center"/>
    </xf>
    <xf numFmtId="4" fontId="5" fillId="3" borderId="17" xfId="0" applyNumberFormat="1" applyFont="1" applyFill="1" applyBorder="1" applyAlignment="1">
      <alignment horizontal="center" vertical="center"/>
    </xf>
    <xf numFmtId="4" fontId="5" fillId="3" borderId="18" xfId="0" applyNumberFormat="1" applyFont="1" applyFill="1" applyBorder="1" applyAlignment="1">
      <alignment horizontal="center" vertical="center"/>
    </xf>
    <xf numFmtId="4" fontId="5" fillId="3" borderId="19" xfId="0" applyNumberFormat="1" applyFont="1" applyFill="1" applyBorder="1" applyAlignment="1">
      <alignment horizontal="center" vertical="center"/>
    </xf>
    <xf numFmtId="4" fontId="5" fillId="3" borderId="20" xfId="0" applyNumberFormat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left" vertical="center"/>
    </xf>
    <xf numFmtId="3" fontId="4" fillId="2" borderId="2" xfId="0" applyNumberFormat="1" applyFont="1" applyFill="1" applyBorder="1" applyAlignment="1" applyProtection="1">
      <alignment horizontal="center" vertical="center"/>
      <protection locked="0" hidden="1"/>
    </xf>
    <xf numFmtId="3" fontId="4" fillId="2" borderId="3" xfId="0" applyNumberFormat="1" applyFont="1" applyFill="1" applyBorder="1" applyAlignment="1" applyProtection="1">
      <alignment horizontal="center" vertical="center"/>
      <protection locked="0" hidden="1"/>
    </xf>
    <xf numFmtId="4" fontId="1" fillId="2" borderId="2" xfId="0" applyNumberFormat="1" applyFont="1" applyFill="1" applyBorder="1" applyAlignment="1" applyProtection="1">
      <alignment horizontal="center" vertical="center"/>
      <protection locked="0" hidden="1"/>
    </xf>
    <xf numFmtId="4" fontId="1" fillId="2" borderId="4" xfId="0" applyNumberFormat="1" applyFont="1" applyFill="1" applyBorder="1" applyAlignment="1" applyProtection="1">
      <alignment horizontal="center" vertical="center"/>
      <protection locked="0" hidden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 applyProtection="1">
      <alignment horizontal="left" vertical="center"/>
      <protection locked="0"/>
    </xf>
    <xf numFmtId="3" fontId="4" fillId="2" borderId="3" xfId="0" applyNumberFormat="1" applyFont="1" applyFill="1" applyBorder="1" applyAlignment="1" applyProtection="1">
      <alignment horizontal="left" vertical="center"/>
      <protection locked="0"/>
    </xf>
    <xf numFmtId="4" fontId="1" fillId="2" borderId="5" xfId="0" applyNumberFormat="1" applyFont="1" applyFill="1" applyBorder="1" applyAlignment="1" applyProtection="1">
      <alignment horizontal="center" vertical="center"/>
      <protection locked="0" hidden="1"/>
    </xf>
    <xf numFmtId="14" fontId="1" fillId="2" borderId="1" xfId="0" applyNumberFormat="1" applyFont="1" applyFill="1" applyBorder="1" applyAlignment="1" applyProtection="1">
      <alignment horizontal="left" vertical="center"/>
      <protection locked="0" hidden="1"/>
    </xf>
    <xf numFmtId="14" fontId="1" fillId="2" borderId="50" xfId="0" applyNumberFormat="1" applyFont="1" applyFill="1" applyBorder="1" applyAlignment="1" applyProtection="1">
      <alignment horizontal="center" vertical="center"/>
      <protection locked="0" hidden="1"/>
    </xf>
    <xf numFmtId="0" fontId="6" fillId="6" borderId="1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4" fontId="6" fillId="3" borderId="60" xfId="0" applyNumberFormat="1" applyFont="1" applyFill="1" applyBorder="1" applyAlignment="1">
      <alignment horizontal="center" vertical="center"/>
    </xf>
    <xf numFmtId="4" fontId="6" fillId="3" borderId="52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 wrapText="1"/>
    </xf>
    <xf numFmtId="4" fontId="6" fillId="5" borderId="2" xfId="0" applyNumberFormat="1" applyFont="1" applyFill="1" applyBorder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0</xdr:row>
      <xdr:rowOff>0</xdr:rowOff>
    </xdr:from>
    <xdr:to>
      <xdr:col>10</xdr:col>
      <xdr:colOff>757291</xdr:colOff>
      <xdr:row>2</xdr:row>
      <xdr:rowOff>85725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33850" y="0"/>
          <a:ext cx="1919341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0</xdr:row>
      <xdr:rowOff>0</xdr:rowOff>
    </xdr:from>
    <xdr:to>
      <xdr:col>11</xdr:col>
      <xdr:colOff>466725</xdr:colOff>
      <xdr:row>2</xdr:row>
      <xdr:rowOff>102435</xdr:rowOff>
    </xdr:to>
    <xdr:pic>
      <xdr:nvPicPr>
        <xdr:cNvPr id="2051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62350" y="0"/>
          <a:ext cx="1600200" cy="597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9525</xdr:rowOff>
    </xdr:from>
    <xdr:to>
      <xdr:col>12</xdr:col>
      <xdr:colOff>4816</xdr:colOff>
      <xdr:row>2</xdr:row>
      <xdr:rowOff>95250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71900" y="9525"/>
          <a:ext cx="1843141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X25"/>
  <sheetViews>
    <sheetView showGridLines="0" workbookViewId="0">
      <selection activeCell="E13" sqref="E13"/>
    </sheetView>
  </sheetViews>
  <sheetFormatPr baseColWidth="10" defaultRowHeight="15" x14ac:dyDescent="0.25"/>
  <cols>
    <col min="1" max="1" width="20.140625" style="1" customWidth="1"/>
    <col min="2" max="2" width="4.7109375" style="1" bestFit="1" customWidth="1"/>
    <col min="3" max="3" width="6.7109375" style="1" customWidth="1"/>
    <col min="4" max="4" width="5.7109375" style="1" bestFit="1" customWidth="1"/>
    <col min="5" max="5" width="6.85546875" style="1" customWidth="1"/>
    <col min="6" max="6" width="13" style="1" customWidth="1"/>
    <col min="7" max="7" width="4.7109375" style="1" customWidth="1"/>
    <col min="8" max="8" width="6.42578125" style="1" customWidth="1"/>
    <col min="9" max="9" width="6" style="1" customWidth="1"/>
    <col min="10" max="10" width="5.140625" style="1" customWidth="1"/>
    <col min="11" max="11" width="16.5703125" style="1" bestFit="1" customWidth="1"/>
    <col min="12" max="12" width="3" style="1" bestFit="1" customWidth="1"/>
    <col min="13" max="13" width="22" style="79" bestFit="1" customWidth="1"/>
    <col min="14" max="14" width="26.28515625" style="79" customWidth="1"/>
    <col min="15" max="15" width="7.42578125" style="79" customWidth="1"/>
    <col min="16" max="16" width="4.140625" style="87" bestFit="1" customWidth="1"/>
    <col min="17" max="17" width="4.7109375" style="87" bestFit="1" customWidth="1"/>
    <col min="18" max="18" width="11.42578125" style="87"/>
    <col min="19" max="19" width="15" style="87" bestFit="1" customWidth="1"/>
    <col min="20" max="24" width="11.42578125" style="87"/>
    <col min="25" max="16384" width="11.42578125" style="1"/>
  </cols>
  <sheetData>
    <row r="1" spans="1:22" ht="20.100000000000001" customHeight="1" x14ac:dyDescent="0.25">
      <c r="A1" s="17"/>
      <c r="B1" s="117" t="s">
        <v>1</v>
      </c>
      <c r="C1" s="118"/>
      <c r="D1" s="118"/>
      <c r="E1" s="118"/>
      <c r="F1" s="119"/>
      <c r="G1" s="18"/>
      <c r="H1" s="18"/>
      <c r="I1" s="16"/>
      <c r="J1" s="16"/>
      <c r="K1" s="16"/>
      <c r="N1" s="80"/>
      <c r="P1" s="84">
        <v>0</v>
      </c>
      <c r="Q1" s="85" t="s">
        <v>19</v>
      </c>
      <c r="R1" s="58" t="s">
        <v>10</v>
      </c>
      <c r="S1" s="86" t="s">
        <v>53</v>
      </c>
      <c r="T1" s="87" t="s">
        <v>73</v>
      </c>
      <c r="U1" s="88">
        <v>0</v>
      </c>
      <c r="V1" s="87" t="s">
        <v>77</v>
      </c>
    </row>
    <row r="2" spans="1:22" ht="20.100000000000001" customHeight="1" thickBot="1" x14ac:dyDescent="0.3">
      <c r="A2" s="17"/>
      <c r="B2" s="120" t="s">
        <v>0</v>
      </c>
      <c r="C2" s="121"/>
      <c r="D2" s="121"/>
      <c r="E2" s="121"/>
      <c r="F2" s="122"/>
      <c r="G2" s="18"/>
      <c r="H2" s="18"/>
      <c r="I2" s="16"/>
      <c r="J2" s="16"/>
      <c r="K2" s="16"/>
      <c r="P2" s="84">
        <v>1</v>
      </c>
      <c r="Q2" s="89" t="s">
        <v>20</v>
      </c>
      <c r="R2" s="61" t="s">
        <v>52</v>
      </c>
      <c r="S2" s="90" t="s">
        <v>54</v>
      </c>
      <c r="T2" s="87" t="s">
        <v>75</v>
      </c>
      <c r="U2" s="91">
        <v>0.25</v>
      </c>
      <c r="V2" s="87" t="s">
        <v>78</v>
      </c>
    </row>
    <row r="3" spans="1:22" ht="20.100000000000001" customHeight="1" x14ac:dyDescent="0.25">
      <c r="A3" s="29" t="s">
        <v>2</v>
      </c>
      <c r="B3" s="129">
        <v>41399</v>
      </c>
      <c r="C3" s="129"/>
      <c r="D3" s="16"/>
      <c r="E3" s="16"/>
      <c r="F3" s="16"/>
      <c r="G3" s="16"/>
      <c r="H3" s="16"/>
      <c r="I3" s="16"/>
      <c r="J3" s="16"/>
      <c r="K3" s="16"/>
      <c r="P3" s="84">
        <v>2</v>
      </c>
      <c r="Q3" s="89"/>
      <c r="R3" s="61" t="s">
        <v>11</v>
      </c>
      <c r="S3" s="90" t="s">
        <v>31</v>
      </c>
      <c r="T3" s="87" t="s">
        <v>72</v>
      </c>
      <c r="U3" s="91">
        <v>0.33333333333333331</v>
      </c>
      <c r="V3" s="87" t="s">
        <v>79</v>
      </c>
    </row>
    <row r="4" spans="1:22" ht="20.100000000000001" customHeight="1" x14ac:dyDescent="0.25">
      <c r="A4" s="29" t="s">
        <v>23</v>
      </c>
      <c r="B4" s="126" t="s">
        <v>69</v>
      </c>
      <c r="C4" s="126"/>
      <c r="D4" s="126"/>
      <c r="E4" s="16"/>
      <c r="F4" s="130" t="str">
        <f>IF((B3-B6)/365.2425&lt;19,"ATTENTION VICTIME MINEURE","")</f>
        <v/>
      </c>
      <c r="G4" s="130"/>
      <c r="H4" s="130"/>
      <c r="I4" s="130"/>
      <c r="J4" s="130"/>
      <c r="K4" s="77"/>
      <c r="P4" s="84">
        <v>3</v>
      </c>
      <c r="Q4" s="92"/>
      <c r="R4" s="65" t="s">
        <v>12</v>
      </c>
      <c r="S4" s="93" t="s">
        <v>55</v>
      </c>
      <c r="T4" s="87" t="s">
        <v>76</v>
      </c>
      <c r="U4" s="88">
        <v>0.5</v>
      </c>
    </row>
    <row r="5" spans="1:22" ht="20.100000000000001" customHeight="1" x14ac:dyDescent="0.25">
      <c r="A5" s="29" t="s">
        <v>22</v>
      </c>
      <c r="B5" s="126" t="s">
        <v>70</v>
      </c>
      <c r="C5" s="126"/>
      <c r="D5" s="126"/>
      <c r="E5" s="16"/>
      <c r="F5" s="31"/>
      <c r="G5" s="31"/>
      <c r="H5" s="33" t="s">
        <v>6</v>
      </c>
      <c r="I5" s="3">
        <f>IF((B3-B6)/365.2425&lt;19,"!",(B3-B6)/365.2425)</f>
        <v>48.340486115389091</v>
      </c>
      <c r="J5" s="4" t="str">
        <f>IF((B3-B6)/365.23&lt;19,"","ans")</f>
        <v>ans</v>
      </c>
      <c r="K5" s="16"/>
      <c r="M5" s="29" t="s">
        <v>80</v>
      </c>
      <c r="N5" s="53" t="s">
        <v>77</v>
      </c>
      <c r="P5" s="84">
        <v>4</v>
      </c>
      <c r="T5" s="87" t="s">
        <v>74</v>
      </c>
      <c r="U5" s="91">
        <v>0.66666666666666663</v>
      </c>
    </row>
    <row r="6" spans="1:22" ht="20.100000000000001" customHeight="1" x14ac:dyDescent="0.25">
      <c r="A6" s="29" t="s">
        <v>5</v>
      </c>
      <c r="B6" s="129">
        <v>23743</v>
      </c>
      <c r="C6" s="129"/>
      <c r="D6" s="16"/>
      <c r="E6" s="16"/>
      <c r="F6" s="131" t="s">
        <v>3</v>
      </c>
      <c r="G6" s="132"/>
      <c r="H6" s="133"/>
      <c r="I6" s="107">
        <f>IF(B3&lt;39082,10000,IF(B3&lt;40178,12000,IF(B3&lt;40908,15000,18000)))</f>
        <v>18000</v>
      </c>
      <c r="J6" s="107"/>
      <c r="K6" s="16"/>
      <c r="M6" s="29" t="s">
        <v>71</v>
      </c>
      <c r="N6" s="53" t="s">
        <v>75</v>
      </c>
      <c r="P6" s="84">
        <v>5</v>
      </c>
      <c r="U6" s="91">
        <v>0.75</v>
      </c>
    </row>
    <row r="7" spans="1:22" ht="20.100000000000001" customHeight="1" thickBot="1" x14ac:dyDescent="0.3">
      <c r="A7" s="29" t="s">
        <v>7</v>
      </c>
      <c r="B7" s="125" t="s">
        <v>53</v>
      </c>
      <c r="C7" s="125"/>
      <c r="D7" s="125"/>
      <c r="E7" s="16"/>
      <c r="F7" s="131" t="s">
        <v>21</v>
      </c>
      <c r="G7" s="132"/>
      <c r="H7" s="133"/>
      <c r="I7" s="107">
        <f>IF(B7="","",IF(B7="Sans profession",I6*12,IF(B8&lt;I6,I6*12,IF(B8&gt;I6*8,I6*8*12,B8*12))))</f>
        <v>456000</v>
      </c>
      <c r="J7" s="107"/>
      <c r="K7" s="16"/>
      <c r="M7" s="82" t="s">
        <v>81</v>
      </c>
      <c r="N7" s="83">
        <v>0</v>
      </c>
      <c r="P7" s="84">
        <v>6</v>
      </c>
      <c r="U7" s="88">
        <v>1</v>
      </c>
    </row>
    <row r="8" spans="1:22" ht="20.100000000000001" customHeight="1" x14ac:dyDescent="0.25">
      <c r="A8" s="29" t="s">
        <v>8</v>
      </c>
      <c r="B8" s="127">
        <v>38000</v>
      </c>
      <c r="C8" s="128"/>
      <c r="D8" s="22" t="s">
        <v>36</v>
      </c>
      <c r="E8" s="16"/>
      <c r="F8" s="131" t="s">
        <v>4</v>
      </c>
      <c r="G8" s="132"/>
      <c r="H8" s="133"/>
      <c r="I8" s="108">
        <f>ROUND(((I7/50)+1740),0)</f>
        <v>10860</v>
      </c>
      <c r="J8" s="108"/>
      <c r="K8" s="16"/>
      <c r="M8" s="136" t="s">
        <v>82</v>
      </c>
      <c r="N8" s="134">
        <f>IF(N5="Collision",N7*K18,K18)</f>
        <v>1553700</v>
      </c>
      <c r="P8" s="84">
        <v>7</v>
      </c>
    </row>
    <row r="9" spans="1:22" ht="20.100000000000001" customHeight="1" thickBot="1" x14ac:dyDescent="0.3">
      <c r="A9" s="29" t="s">
        <v>9</v>
      </c>
      <c r="B9" s="125"/>
      <c r="C9" s="125"/>
      <c r="D9" s="16"/>
      <c r="E9" s="16"/>
      <c r="F9" s="16"/>
      <c r="G9" s="16"/>
      <c r="H9" s="16"/>
      <c r="I9" s="16"/>
      <c r="J9" s="16"/>
      <c r="K9" s="16"/>
      <c r="M9" s="137"/>
      <c r="N9" s="135"/>
      <c r="P9" s="84">
        <v>8</v>
      </c>
    </row>
    <row r="10" spans="1:22" ht="20.100000000000001" customHeight="1" x14ac:dyDescent="0.25">
      <c r="A10" s="16"/>
      <c r="B10" s="16"/>
      <c r="C10" s="16"/>
      <c r="D10" s="16"/>
      <c r="E10" s="123" t="s">
        <v>24</v>
      </c>
      <c r="F10" s="124"/>
      <c r="G10" s="111" t="s">
        <v>28</v>
      </c>
      <c r="H10" s="112"/>
      <c r="I10" s="111" t="s">
        <v>29</v>
      </c>
      <c r="J10" s="112"/>
      <c r="K10" s="138" t="s">
        <v>37</v>
      </c>
      <c r="M10" s="104"/>
      <c r="N10" s="106"/>
      <c r="P10" s="84">
        <v>9</v>
      </c>
    </row>
    <row r="11" spans="1:22" ht="20.100000000000001" customHeight="1" x14ac:dyDescent="0.25">
      <c r="A11" s="115" t="s">
        <v>30</v>
      </c>
      <c r="B11" s="116"/>
      <c r="C11" s="48" t="s">
        <v>26</v>
      </c>
      <c r="D11" s="16"/>
      <c r="E11" s="5" t="s">
        <v>25</v>
      </c>
      <c r="F11" s="6" t="s">
        <v>27</v>
      </c>
      <c r="G11" s="113"/>
      <c r="H11" s="114"/>
      <c r="I11" s="113"/>
      <c r="J11" s="114"/>
      <c r="K11" s="139"/>
      <c r="M11" s="104"/>
      <c r="N11" s="105"/>
      <c r="P11" s="84">
        <v>10</v>
      </c>
    </row>
    <row r="12" spans="1:22" ht="20.100000000000001" customHeight="1" x14ac:dyDescent="0.25">
      <c r="A12" s="29" t="s">
        <v>13</v>
      </c>
      <c r="B12" s="7" t="str">
        <f>IF(B9="Mariée","Oui","Non")</f>
        <v>Non</v>
      </c>
      <c r="C12" s="53">
        <v>1</v>
      </c>
      <c r="D12" s="16"/>
      <c r="E12" s="10">
        <f>IF(B12="oui",30,0)</f>
        <v>0</v>
      </c>
      <c r="F12" s="11">
        <f>IF(E$18&gt;100,E12*I$8*100/E$18,E12*I$8)</f>
        <v>0</v>
      </c>
      <c r="G12" s="142">
        <f>IF(B12="oui",C12*3*I$6,0)</f>
        <v>0</v>
      </c>
      <c r="H12" s="143"/>
      <c r="I12" s="142">
        <f>IF(B12="oui",5*I$6,0)</f>
        <v>0</v>
      </c>
      <c r="J12" s="143"/>
      <c r="K12" s="42" t="str">
        <f>IF(F12+G12+I12=0,"",F12+G12+I12)</f>
        <v/>
      </c>
      <c r="M12" s="104"/>
      <c r="N12" s="105"/>
      <c r="P12" s="84">
        <v>11</v>
      </c>
    </row>
    <row r="13" spans="1:22" ht="20.100000000000001" customHeight="1" x14ac:dyDescent="0.25">
      <c r="A13" s="29" t="s">
        <v>15</v>
      </c>
      <c r="B13" s="54" t="s">
        <v>19</v>
      </c>
      <c r="C13" s="53">
        <v>5</v>
      </c>
      <c r="D13" s="16"/>
      <c r="E13" s="12">
        <f>IF(B13="oui",C13*15,0)*IF(B9="Célibataire",0,1)</f>
        <v>75</v>
      </c>
      <c r="F13" s="13">
        <f>IF(E$18&gt;100,E13*I$8*100/E$18,E13*I$8)</f>
        <v>814500</v>
      </c>
      <c r="G13" s="109">
        <f>IF(B13="oui",C13*3*I$6,0)*IF(B$9="Célibataire",0,1)</f>
        <v>270000</v>
      </c>
      <c r="H13" s="110"/>
      <c r="I13" s="109">
        <f>IF(B13="oui",5*I$6,0)*IF(B$12="oui",0,1)*IF(B$15="oui",0,1)*IF(B$16="oui",0,1)*IF(B$14="oui",0,1)</f>
        <v>0</v>
      </c>
      <c r="J13" s="110"/>
      <c r="K13" s="43">
        <f t="shared" ref="K13:K17" si="0">IF(F13+G13+I13=0,"",F13+G13+I13)</f>
        <v>1084500</v>
      </c>
      <c r="M13" s="104"/>
      <c r="N13" s="106"/>
      <c r="P13" s="84">
        <v>12</v>
      </c>
    </row>
    <row r="14" spans="1:22" ht="20.100000000000001" customHeight="1" x14ac:dyDescent="0.25">
      <c r="A14" s="29" t="s">
        <v>14</v>
      </c>
      <c r="B14" s="54" t="s">
        <v>19</v>
      </c>
      <c r="C14" s="53">
        <v>1</v>
      </c>
      <c r="D14" s="16"/>
      <c r="E14" s="12"/>
      <c r="F14" s="13"/>
      <c r="G14" s="109">
        <f>IF(B14="oui",C14*3*I$6,0)*IF(B$9="Célibataire",0,1)</f>
        <v>54000</v>
      </c>
      <c r="H14" s="110"/>
      <c r="I14" s="109">
        <f>IF(B14="oui",5*I$6,0)*IF(B$12="oui",0,1)*IF(B$15="oui",0,1)*IF(B$16="oui",0,1)</f>
        <v>0</v>
      </c>
      <c r="J14" s="110"/>
      <c r="K14" s="43">
        <f t="shared" si="0"/>
        <v>54000</v>
      </c>
      <c r="M14" s="104"/>
      <c r="N14" s="105"/>
      <c r="P14" s="84">
        <v>13</v>
      </c>
    </row>
    <row r="15" spans="1:22" ht="20.100000000000001" customHeight="1" x14ac:dyDescent="0.25">
      <c r="A15" s="29" t="s">
        <v>16</v>
      </c>
      <c r="B15" s="54" t="s">
        <v>19</v>
      </c>
      <c r="C15" s="8">
        <f>IF(B15="oui",1,0)</f>
        <v>1</v>
      </c>
      <c r="D15" s="16"/>
      <c r="E15" s="12">
        <f>IF(B15="oui",1,0)*IF(B9="Célibataire",20,10)</f>
        <v>10</v>
      </c>
      <c r="F15" s="13">
        <f>IF(E$18&gt;100,E15*I$8*100/E$18,E15*I$8)</f>
        <v>108600</v>
      </c>
      <c r="G15" s="109">
        <f>IF(B15="oui",C15*3*I$6,0)</f>
        <v>54000</v>
      </c>
      <c r="H15" s="110"/>
      <c r="I15" s="109">
        <f>IF(B15="oui",5*I$6,0)*IF(B$12="oui",0,1)</f>
        <v>90000</v>
      </c>
      <c r="J15" s="110"/>
      <c r="K15" s="43">
        <f t="shared" si="0"/>
        <v>252600</v>
      </c>
      <c r="M15" s="104"/>
      <c r="N15" s="106"/>
      <c r="P15" s="84">
        <v>14</v>
      </c>
    </row>
    <row r="16" spans="1:22" ht="20.100000000000001" customHeight="1" x14ac:dyDescent="0.25">
      <c r="A16" s="29" t="s">
        <v>17</v>
      </c>
      <c r="B16" s="54" t="s">
        <v>19</v>
      </c>
      <c r="C16" s="8">
        <f>IF(B16="oui",1,0)</f>
        <v>1</v>
      </c>
      <c r="D16" s="16"/>
      <c r="E16" s="12">
        <f>IF(B16="oui",1,0)*IF(B9="Célibataire",20,10)</f>
        <v>10</v>
      </c>
      <c r="F16" s="13">
        <f>IF(E$18&gt;100,E16*I$8*100/E$18,E16*I$8)</f>
        <v>108600</v>
      </c>
      <c r="G16" s="109">
        <f>IF(B16="oui",C16*3*I$6,0)</f>
        <v>54000</v>
      </c>
      <c r="H16" s="110"/>
      <c r="I16" s="109">
        <f>IF(B16="oui",5*I$6,0)*IF(B$12="oui",0,1)*IF(B$15="oui",0,1)</f>
        <v>0</v>
      </c>
      <c r="J16" s="110"/>
      <c r="K16" s="43">
        <f t="shared" si="0"/>
        <v>162600</v>
      </c>
      <c r="M16" s="104"/>
      <c r="N16" s="105"/>
      <c r="O16" s="81"/>
      <c r="P16" s="84">
        <v>15</v>
      </c>
    </row>
    <row r="17" spans="1:14" ht="20.100000000000001" customHeight="1" x14ac:dyDescent="0.25">
      <c r="A17" s="29" t="s">
        <v>18</v>
      </c>
      <c r="B17" s="54" t="s">
        <v>20</v>
      </c>
      <c r="C17" s="53"/>
      <c r="D17" s="16"/>
      <c r="E17" s="14">
        <f>IF(B17="oui",C17*10,0)</f>
        <v>0</v>
      </c>
      <c r="F17" s="15">
        <f>IF(E$18&gt;100,E17*I$8*100/E$18,E17*I$8)</f>
        <v>0</v>
      </c>
      <c r="G17" s="144"/>
      <c r="H17" s="145"/>
      <c r="I17" s="144"/>
      <c r="J17" s="145"/>
      <c r="K17" s="44" t="str">
        <f t="shared" si="0"/>
        <v/>
      </c>
      <c r="M17" s="104"/>
      <c r="N17" s="105"/>
    </row>
    <row r="18" spans="1:14" ht="20.100000000000001" customHeight="1" thickBot="1" x14ac:dyDescent="0.3">
      <c r="A18" s="16"/>
      <c r="B18" s="16"/>
      <c r="C18" s="18"/>
      <c r="D18" s="25" t="s">
        <v>38</v>
      </c>
      <c r="E18" s="23">
        <f>SUM(E12:E17)</f>
        <v>95</v>
      </c>
      <c r="F18" s="24">
        <f>SUM(F12:F17)</f>
        <v>1031700</v>
      </c>
      <c r="G18" s="140">
        <f>SUM(G12:H16)</f>
        <v>432000</v>
      </c>
      <c r="H18" s="141"/>
      <c r="I18" s="140">
        <f>SUM(I12:J16)</f>
        <v>90000</v>
      </c>
      <c r="J18" s="141"/>
      <c r="K18" s="45">
        <f>SUM(K12:L17)</f>
        <v>1553700</v>
      </c>
    </row>
    <row r="19" spans="1:14" ht="20.100000000000001" customHeight="1" x14ac:dyDescent="0.25">
      <c r="C19" s="55"/>
    </row>
    <row r="20" spans="1:14" ht="20.100000000000001" customHeight="1" x14ac:dyDescent="0.25"/>
    <row r="21" spans="1:14" ht="20.100000000000001" customHeight="1" x14ac:dyDescent="0.25"/>
    <row r="22" spans="1:14" ht="20.100000000000001" customHeight="1" x14ac:dyDescent="0.25"/>
    <row r="23" spans="1:14" ht="20.100000000000001" customHeight="1" x14ac:dyDescent="0.25"/>
    <row r="24" spans="1:14" ht="20.100000000000001" customHeight="1" x14ac:dyDescent="0.25"/>
    <row r="25" spans="1:14" ht="20.100000000000001" customHeight="1" x14ac:dyDescent="0.25"/>
  </sheetData>
  <mergeCells count="37">
    <mergeCell ref="N8:N9"/>
    <mergeCell ref="M8:M9"/>
    <mergeCell ref="K10:K11"/>
    <mergeCell ref="G18:H18"/>
    <mergeCell ref="I18:J18"/>
    <mergeCell ref="I12:J12"/>
    <mergeCell ref="I15:J15"/>
    <mergeCell ref="I16:J16"/>
    <mergeCell ref="I17:J17"/>
    <mergeCell ref="I13:J13"/>
    <mergeCell ref="I14:J14"/>
    <mergeCell ref="G17:H17"/>
    <mergeCell ref="G12:H12"/>
    <mergeCell ref="G13:H13"/>
    <mergeCell ref="G14:H14"/>
    <mergeCell ref="A11:B11"/>
    <mergeCell ref="B1:F1"/>
    <mergeCell ref="B2:F2"/>
    <mergeCell ref="E10:F10"/>
    <mergeCell ref="G10:H11"/>
    <mergeCell ref="B7:D7"/>
    <mergeCell ref="B4:D4"/>
    <mergeCell ref="B5:D5"/>
    <mergeCell ref="B9:C9"/>
    <mergeCell ref="B8:C8"/>
    <mergeCell ref="B3:C3"/>
    <mergeCell ref="B6:C6"/>
    <mergeCell ref="F4:J4"/>
    <mergeCell ref="F6:H6"/>
    <mergeCell ref="F7:H7"/>
    <mergeCell ref="F8:H8"/>
    <mergeCell ref="I6:J6"/>
    <mergeCell ref="I7:J7"/>
    <mergeCell ref="I8:J8"/>
    <mergeCell ref="G15:H15"/>
    <mergeCell ref="G16:H16"/>
    <mergeCell ref="I10:J11"/>
  </mergeCells>
  <dataValidations count="9">
    <dataValidation type="list" allowBlank="1" showInputMessage="1" showErrorMessage="1" error="VEUILLEZ CHOISIR DANS LA LISTE" sqref="B9:C9">
      <formula1>$R$1:$R$4</formula1>
    </dataValidation>
    <dataValidation type="list" allowBlank="1" showInputMessage="1" showErrorMessage="1" error="VEUILLEZ CHOISIR DANS LA LISTE" sqref="B7:D7">
      <formula1>$S$1:$S$4</formula1>
    </dataValidation>
    <dataValidation type="list" allowBlank="1" showInputMessage="1" showErrorMessage="1" sqref="B13:B17">
      <formula1>$Q$1:$Q$2</formula1>
    </dataValidation>
    <dataValidation type="list" allowBlank="1" showInputMessage="1" showErrorMessage="1" sqref="C12">
      <formula1>$P$2:$P$5</formula1>
    </dataValidation>
    <dataValidation type="list" allowBlank="1" showInputMessage="1" showErrorMessage="1" sqref="C13:C14 C17">
      <formula1>$P$1:$P$13</formula1>
    </dataValidation>
    <dataValidation type="date" operator="greaterThan" allowBlank="1" showInputMessage="1" showErrorMessage="1" error="LA DATE NE PEUT ETRE ANTERIEURE AU 01/09/2005" sqref="B3:C3">
      <formula1>38595</formula1>
    </dataValidation>
    <dataValidation type="list" allowBlank="1" showInputMessage="1" showErrorMessage="1" sqref="N5">
      <formula1>$V$1:$V$3</formula1>
    </dataValidation>
    <dataValidation type="list" allowBlank="1" showInputMessage="1" showErrorMessage="1" sqref="N6">
      <formula1>$T$1:$T$5</formula1>
    </dataValidation>
    <dataValidation type="list" allowBlank="1" showInputMessage="1" showErrorMessage="1" sqref="N7">
      <formula1>$U$1:$U$7</formula1>
    </dataValidation>
  </dataValidations>
  <pageMargins left="0.70866141732283472" right="0.70866141732283472" top="0.74803149606299213" bottom="0.74803149606299213" header="0.31496062992125984" footer="0.31496062992125984"/>
  <pageSetup paperSize="9" scale="89" orientation="landscape" verticalDpi="0" r:id="rId1"/>
  <colBreaks count="1" manualBreakCount="1">
    <brk id="11" max="1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A18"/>
  <sheetViews>
    <sheetView showGridLines="0" workbookViewId="0">
      <selection activeCell="J5" sqref="J5"/>
    </sheetView>
  </sheetViews>
  <sheetFormatPr baseColWidth="10" defaultRowHeight="15" x14ac:dyDescent="0.25"/>
  <cols>
    <col min="1" max="1" width="20.140625" customWidth="1"/>
    <col min="2" max="2" width="4.7109375" bestFit="1" customWidth="1"/>
    <col min="3" max="3" width="6.7109375" customWidth="1"/>
    <col min="4" max="4" width="5.42578125" bestFit="1" customWidth="1"/>
    <col min="5" max="5" width="5.42578125" customWidth="1"/>
    <col min="6" max="6" width="3.85546875" customWidth="1"/>
    <col min="7" max="7" width="5.140625" customWidth="1"/>
    <col min="8" max="8" width="4.28515625" customWidth="1"/>
    <col min="9" max="9" width="6" customWidth="1"/>
    <col min="10" max="10" width="4" customWidth="1"/>
    <col min="11" max="11" width="4.85546875" customWidth="1"/>
    <col min="12" max="12" width="7.140625" customWidth="1"/>
    <col min="13" max="13" width="2.28515625" customWidth="1"/>
    <col min="14" max="14" width="23.28515625" style="2" customWidth="1"/>
    <col min="15" max="15" width="27.140625" style="2" bestFit="1" customWidth="1"/>
    <col min="16" max="16" width="11.42578125" style="2"/>
    <col min="17" max="17" width="11.42578125" style="94"/>
    <col min="18" max="18" width="4.7109375" style="84" bestFit="1" customWidth="1"/>
    <col min="19" max="19" width="2.5703125" style="84" customWidth="1"/>
    <col min="20" max="22" width="11.42578125" style="84"/>
  </cols>
  <sheetData>
    <row r="1" spans="1:27" ht="20.100000000000001" customHeight="1" x14ac:dyDescent="0.25">
      <c r="A1" s="17"/>
      <c r="B1" s="117" t="s">
        <v>32</v>
      </c>
      <c r="C1" s="118"/>
      <c r="D1" s="118"/>
      <c r="E1" s="118"/>
      <c r="F1" s="118"/>
      <c r="G1" s="119"/>
      <c r="H1" s="18"/>
      <c r="I1" s="16"/>
      <c r="J1" s="16"/>
      <c r="K1" s="26"/>
      <c r="L1" s="70"/>
      <c r="R1" s="67" t="s">
        <v>19</v>
      </c>
      <c r="S1" s="87"/>
      <c r="T1" s="87" t="s">
        <v>73</v>
      </c>
      <c r="U1" s="88">
        <v>0</v>
      </c>
      <c r="V1" s="87" t="s">
        <v>77</v>
      </c>
    </row>
    <row r="2" spans="1:27" ht="20.100000000000001" customHeight="1" thickBot="1" x14ac:dyDescent="0.3">
      <c r="A2" s="17"/>
      <c r="B2" s="120" t="s">
        <v>0</v>
      </c>
      <c r="C2" s="121"/>
      <c r="D2" s="121"/>
      <c r="E2" s="121"/>
      <c r="F2" s="121"/>
      <c r="G2" s="122"/>
      <c r="H2" s="18"/>
      <c r="I2" s="16"/>
      <c r="J2" s="16"/>
      <c r="K2" s="26"/>
      <c r="L2" s="26"/>
      <c r="R2" s="68" t="s">
        <v>20</v>
      </c>
      <c r="S2" s="87"/>
      <c r="T2" s="87" t="s">
        <v>75</v>
      </c>
      <c r="U2" s="91">
        <v>0.25</v>
      </c>
      <c r="V2" s="87" t="s">
        <v>78</v>
      </c>
    </row>
    <row r="3" spans="1:27" ht="20.100000000000001" customHeight="1" x14ac:dyDescent="0.25">
      <c r="A3" s="29" t="s">
        <v>2</v>
      </c>
      <c r="B3" s="129">
        <v>43466</v>
      </c>
      <c r="C3" s="129"/>
      <c r="D3" s="16"/>
      <c r="E3" s="16"/>
      <c r="F3" s="16"/>
      <c r="G3" s="16"/>
      <c r="H3" s="16"/>
      <c r="I3" s="16"/>
      <c r="J3" s="16"/>
      <c r="K3" s="26"/>
      <c r="L3" s="26"/>
      <c r="N3" s="29" t="s">
        <v>80</v>
      </c>
      <c r="O3" s="53" t="s">
        <v>77</v>
      </c>
      <c r="S3" s="87"/>
      <c r="T3" s="87" t="s">
        <v>72</v>
      </c>
      <c r="U3" s="91">
        <v>0.33333333333333331</v>
      </c>
      <c r="V3" s="87" t="s">
        <v>79</v>
      </c>
    </row>
    <row r="4" spans="1:27" ht="20.100000000000001" customHeight="1" x14ac:dyDescent="0.25">
      <c r="A4" s="29" t="s">
        <v>23</v>
      </c>
      <c r="B4" s="126" t="s">
        <v>69</v>
      </c>
      <c r="C4" s="126"/>
      <c r="D4" s="126"/>
      <c r="E4" s="16"/>
      <c r="F4" s="130" t="str">
        <f>IF((B3-B6)/365.2425&lt;19,"","ATTENTION VICTIME MAJEURE")</f>
        <v>ATTENTION VICTIME MAJEURE</v>
      </c>
      <c r="G4" s="130"/>
      <c r="H4" s="130"/>
      <c r="I4" s="130"/>
      <c r="J4" s="130"/>
      <c r="K4" s="130"/>
      <c r="L4" s="130"/>
      <c r="N4" s="29" t="s">
        <v>71</v>
      </c>
      <c r="O4" s="53" t="s">
        <v>73</v>
      </c>
      <c r="S4" s="87"/>
      <c r="T4" s="87" t="s">
        <v>76</v>
      </c>
      <c r="U4" s="88">
        <v>0.5</v>
      </c>
      <c r="V4" s="87"/>
    </row>
    <row r="5" spans="1:27" ht="20.100000000000001" customHeight="1" thickBot="1" x14ac:dyDescent="0.3">
      <c r="A5" s="29" t="s">
        <v>22</v>
      </c>
      <c r="B5" s="126" t="s">
        <v>70</v>
      </c>
      <c r="C5" s="126"/>
      <c r="D5" s="126"/>
      <c r="E5" s="16"/>
      <c r="F5" s="17"/>
      <c r="G5" s="17"/>
      <c r="H5" s="17"/>
      <c r="I5" s="69" t="s">
        <v>6</v>
      </c>
      <c r="J5" s="78" t="str">
        <f>IF((B3-B6)/365.2425&lt;19,(B3-B6)/365.2425,"!")</f>
        <v>!</v>
      </c>
      <c r="K5" s="4" t="str">
        <f>IF((B3-B6)/365.23&lt;19,"ans","")</f>
        <v/>
      </c>
      <c r="L5" s="26"/>
      <c r="N5" s="82" t="s">
        <v>81</v>
      </c>
      <c r="O5" s="83">
        <v>0.25</v>
      </c>
      <c r="S5" s="87"/>
      <c r="T5" s="87" t="s">
        <v>74</v>
      </c>
      <c r="U5" s="91">
        <v>0.66666666666666663</v>
      </c>
      <c r="V5" s="87"/>
    </row>
    <row r="6" spans="1:27" ht="20.100000000000001" customHeight="1" x14ac:dyDescent="0.25">
      <c r="A6" s="29" t="s">
        <v>5</v>
      </c>
      <c r="B6" s="129">
        <v>31048</v>
      </c>
      <c r="C6" s="129"/>
      <c r="D6" s="16"/>
      <c r="E6" s="16"/>
      <c r="F6" s="156" t="s">
        <v>3</v>
      </c>
      <c r="G6" s="157"/>
      <c r="H6" s="157"/>
      <c r="I6" s="158"/>
      <c r="J6" s="107">
        <f>IF(B3&lt;39082,10000,IF(B3&lt;40178,12000,IF(B3&lt;40908,15000,18000)))</f>
        <v>18000</v>
      </c>
      <c r="K6" s="107"/>
      <c r="L6" s="26"/>
      <c r="N6" s="136" t="s">
        <v>82</v>
      </c>
      <c r="O6" s="134">
        <f>IF(O3="Collision",O5*K13,K13)</f>
        <v>792000</v>
      </c>
      <c r="Q6" s="95"/>
      <c r="R6" s="98"/>
      <c r="S6" s="87"/>
      <c r="T6" s="87"/>
      <c r="U6" s="91">
        <v>0.75</v>
      </c>
      <c r="V6" s="87"/>
      <c r="W6" s="37"/>
    </row>
    <row r="7" spans="1:27" ht="20.100000000000001" customHeight="1" thickBot="1" x14ac:dyDescent="0.3">
      <c r="A7" s="29" t="s">
        <v>35</v>
      </c>
      <c r="B7" s="164">
        <f>IF(((B3-B6)/365.23)&lt;=6,J6*12*2,J6*12*3)</f>
        <v>648000</v>
      </c>
      <c r="C7" s="165" t="e">
        <f>IF(C4="victime majeure",(1740+#REF!/50),IF(((#REF!-#REF!)/365.23)&lt;6,#REF!*12*2,#REF!*12*3))</f>
        <v>#REF!</v>
      </c>
      <c r="D7" s="41" t="s">
        <v>36</v>
      </c>
      <c r="E7" s="16"/>
      <c r="F7" s="162"/>
      <c r="G7" s="162"/>
      <c r="H7" s="162"/>
      <c r="I7" s="163"/>
      <c r="J7" s="163"/>
      <c r="K7" s="26"/>
      <c r="L7" s="26"/>
      <c r="N7" s="137"/>
      <c r="O7" s="135"/>
      <c r="Q7" s="95"/>
      <c r="R7" s="98"/>
      <c r="S7" s="87"/>
      <c r="T7" s="87"/>
      <c r="U7" s="88">
        <v>1</v>
      </c>
      <c r="V7" s="87"/>
      <c r="W7" s="37"/>
    </row>
    <row r="8" spans="1:27" ht="20.100000000000001" customHeight="1" x14ac:dyDescent="0.25">
      <c r="A8" s="16"/>
      <c r="B8" s="16"/>
      <c r="C8" s="16"/>
      <c r="D8" s="16"/>
      <c r="E8" s="111" t="s">
        <v>24</v>
      </c>
      <c r="F8" s="112"/>
      <c r="G8" s="111" t="s">
        <v>28</v>
      </c>
      <c r="H8" s="112"/>
      <c r="I8" s="111" t="s">
        <v>29</v>
      </c>
      <c r="J8" s="112"/>
      <c r="K8" s="111" t="s">
        <v>37</v>
      </c>
      <c r="L8" s="112"/>
      <c r="Q8" s="96"/>
      <c r="R8" s="99"/>
      <c r="S8" s="99"/>
      <c r="T8" s="99"/>
      <c r="U8" s="99"/>
      <c r="V8" s="99"/>
      <c r="W8" s="38"/>
    </row>
    <row r="9" spans="1:27" ht="20.100000000000001" customHeight="1" x14ac:dyDescent="0.25">
      <c r="A9" s="115" t="s">
        <v>30</v>
      </c>
      <c r="B9" s="116"/>
      <c r="C9" s="9"/>
      <c r="D9" s="16"/>
      <c r="E9" s="113"/>
      <c r="F9" s="114"/>
      <c r="G9" s="113"/>
      <c r="H9" s="114"/>
      <c r="I9" s="113"/>
      <c r="J9" s="114"/>
      <c r="K9" s="113"/>
      <c r="L9" s="114"/>
      <c r="W9" s="2"/>
    </row>
    <row r="10" spans="1:27" ht="20.100000000000001" customHeight="1" x14ac:dyDescent="0.25">
      <c r="A10" s="29" t="s">
        <v>16</v>
      </c>
      <c r="B10" s="54" t="s">
        <v>19</v>
      </c>
      <c r="C10" s="21">
        <f>IF(B10="oui",1,0)</f>
        <v>1</v>
      </c>
      <c r="D10" s="16"/>
      <c r="E10" s="159">
        <f>IF(B10="oui",B$7/2,0)*IF(B11="non",2,1)</f>
        <v>648000</v>
      </c>
      <c r="F10" s="160"/>
      <c r="G10" s="159">
        <f>IF(B10="oui",3*J$6,0)</f>
        <v>54000</v>
      </c>
      <c r="H10" s="160"/>
      <c r="I10" s="159">
        <f>IF(B10="oui",5*J$6,0)</f>
        <v>90000</v>
      </c>
      <c r="J10" s="161"/>
      <c r="K10" s="168">
        <f>IF(E10+G10+I10=0,"",E10+G10+I10)</f>
        <v>792000</v>
      </c>
      <c r="L10" s="169"/>
    </row>
    <row r="11" spans="1:27" ht="20.100000000000001" customHeight="1" x14ac:dyDescent="0.25">
      <c r="A11" s="29" t="s">
        <v>34</v>
      </c>
      <c r="B11" s="54" t="s">
        <v>20</v>
      </c>
      <c r="C11" s="21">
        <f t="shared" ref="C11" si="0">IF(B11="oui",1,0)</f>
        <v>0</v>
      </c>
      <c r="D11" s="16"/>
      <c r="E11" s="152">
        <f>IF(B11="oui",B$7/2,0)*IF(B10="non",2,1)</f>
        <v>0</v>
      </c>
      <c r="F11" s="153"/>
      <c r="G11" s="152">
        <f>IF(B11="oui",3*J$6,0)</f>
        <v>0</v>
      </c>
      <c r="H11" s="153"/>
      <c r="I11" s="152">
        <f>IF(B11="oui",5*J$6,0)*IF(B10="oui",0,1)</f>
        <v>0</v>
      </c>
      <c r="J11" s="154"/>
      <c r="K11" s="170" t="str">
        <f t="shared" ref="K11" si="1">IF(E11+G11+I11=0,"",E11+G11+I11)</f>
        <v/>
      </c>
      <c r="L11" s="171"/>
    </row>
    <row r="12" spans="1:27" ht="20.100000000000001" customHeight="1" x14ac:dyDescent="0.25">
      <c r="A12" s="29" t="s">
        <v>33</v>
      </c>
      <c r="B12" s="54" t="s">
        <v>20</v>
      </c>
      <c r="C12" s="21">
        <f>IF(B12="oui",1,0)*IF(B10="oui",0,1)*IF(B11="oui",0,1)</f>
        <v>0</v>
      </c>
      <c r="D12" s="16"/>
      <c r="E12" s="146">
        <f>IF(B12="oui",B7,0)*IF(B10="oui",0,1)*IF(B11="oui",0,1)</f>
        <v>0</v>
      </c>
      <c r="F12" s="147"/>
      <c r="G12" s="146">
        <f>IF(B12="oui",3*J$6,0)*IF(B10="oui",0,1)*IF(B11="oui",0,1)</f>
        <v>0</v>
      </c>
      <c r="H12" s="147"/>
      <c r="I12" s="146">
        <f>IF(B12="oui",5*J$6,0)*IF(B10="oui",0,1)*IF(B11="oui",0,1)</f>
        <v>0</v>
      </c>
      <c r="J12" s="155"/>
      <c r="K12" s="172" t="str">
        <f t="shared" ref="K12" si="2">IF(E12+G12+I12=0,"",E12+G12+I12)</f>
        <v/>
      </c>
      <c r="L12" s="173"/>
    </row>
    <row r="13" spans="1:27" ht="20.100000000000001" customHeight="1" thickBot="1" x14ac:dyDescent="0.3">
      <c r="A13" s="16"/>
      <c r="B13" s="16"/>
      <c r="C13" s="16"/>
      <c r="D13" s="25" t="s">
        <v>38</v>
      </c>
      <c r="E13" s="148">
        <f>SUM(E10:E12)</f>
        <v>648000</v>
      </c>
      <c r="F13" s="149"/>
      <c r="G13" s="150">
        <f>SUM(G10:H12)</f>
        <v>54000</v>
      </c>
      <c r="H13" s="151"/>
      <c r="I13" s="150">
        <f>SUM(I10:J12)</f>
        <v>90000</v>
      </c>
      <c r="J13" s="151"/>
      <c r="K13" s="166">
        <f>SUM(K10:K12)</f>
        <v>792000</v>
      </c>
      <c r="L13" s="167"/>
    </row>
    <row r="14" spans="1:27" x14ac:dyDescent="0.25">
      <c r="M14" s="37"/>
      <c r="N14" s="37"/>
      <c r="O14" s="37"/>
      <c r="P14" s="37"/>
      <c r="Q14" s="95"/>
      <c r="R14" s="98"/>
      <c r="S14" s="98"/>
      <c r="T14" s="98"/>
      <c r="U14" s="98"/>
      <c r="V14" s="98"/>
      <c r="W14" s="37"/>
      <c r="X14" s="37"/>
      <c r="Y14" s="37"/>
      <c r="Z14" s="37"/>
      <c r="AA14" s="37"/>
    </row>
    <row r="15" spans="1:27" x14ac:dyDescent="0.25">
      <c r="M15" s="37"/>
      <c r="N15" s="37"/>
      <c r="O15" s="37"/>
      <c r="P15" s="37"/>
      <c r="Q15" s="95"/>
      <c r="R15" s="98"/>
      <c r="S15" s="98"/>
      <c r="T15" s="98"/>
      <c r="U15" s="98"/>
      <c r="V15" s="98"/>
      <c r="W15" s="37"/>
      <c r="X15" s="37"/>
      <c r="Y15" s="37"/>
      <c r="Z15" s="37"/>
      <c r="AA15" s="37"/>
    </row>
    <row r="16" spans="1:27" x14ac:dyDescent="0.25">
      <c r="M16" s="38"/>
      <c r="N16" s="38"/>
      <c r="O16" s="38"/>
      <c r="P16" s="38"/>
      <c r="Q16" s="96"/>
      <c r="R16" s="99"/>
      <c r="S16" s="100"/>
      <c r="T16" s="99"/>
      <c r="U16" s="99"/>
      <c r="V16" s="99"/>
      <c r="W16" s="40"/>
      <c r="X16" s="38"/>
      <c r="Y16" s="38"/>
      <c r="Z16" s="38"/>
      <c r="AA16" s="40"/>
    </row>
    <row r="17" spans="13:27" x14ac:dyDescent="0.25">
      <c r="M17" s="39"/>
      <c r="N17" s="39"/>
      <c r="O17" s="39"/>
      <c r="P17" s="39"/>
      <c r="Q17" s="97"/>
      <c r="R17" s="101"/>
      <c r="S17" s="101"/>
      <c r="T17" s="101"/>
      <c r="U17" s="101"/>
      <c r="V17" s="101"/>
      <c r="W17" s="39"/>
      <c r="X17" s="39"/>
      <c r="Y17" s="39"/>
      <c r="Z17" s="39"/>
      <c r="AA17" s="39"/>
    </row>
    <row r="18" spans="13:27" x14ac:dyDescent="0.25">
      <c r="M18" s="2"/>
      <c r="W18" s="2"/>
      <c r="X18" s="2"/>
      <c r="Y18" s="2"/>
      <c r="Z18" s="2"/>
      <c r="AA18" s="2"/>
    </row>
  </sheetData>
  <mergeCells count="35">
    <mergeCell ref="N6:N7"/>
    <mergeCell ref="O6:O7"/>
    <mergeCell ref="K13:L13"/>
    <mergeCell ref="J6:K6"/>
    <mergeCell ref="K8:L9"/>
    <mergeCell ref="K10:L10"/>
    <mergeCell ref="K11:L11"/>
    <mergeCell ref="K12:L12"/>
    <mergeCell ref="B1:G1"/>
    <mergeCell ref="B2:G2"/>
    <mergeCell ref="F7:H7"/>
    <mergeCell ref="I7:J7"/>
    <mergeCell ref="B7:C7"/>
    <mergeCell ref="B3:C3"/>
    <mergeCell ref="B4:D4"/>
    <mergeCell ref="B5:D5"/>
    <mergeCell ref="B6:C6"/>
    <mergeCell ref="F4:L4"/>
    <mergeCell ref="G8:H9"/>
    <mergeCell ref="I8:J9"/>
    <mergeCell ref="A9:B9"/>
    <mergeCell ref="F6:I6"/>
    <mergeCell ref="G10:H10"/>
    <mergeCell ref="I10:J10"/>
    <mergeCell ref="E8:F9"/>
    <mergeCell ref="E10:F10"/>
    <mergeCell ref="E12:F12"/>
    <mergeCell ref="E13:F13"/>
    <mergeCell ref="G13:H13"/>
    <mergeCell ref="I13:J13"/>
    <mergeCell ref="G11:H11"/>
    <mergeCell ref="I11:J11"/>
    <mergeCell ref="G12:H12"/>
    <mergeCell ref="I12:J12"/>
    <mergeCell ref="E11:F11"/>
  </mergeCells>
  <dataValidations count="5">
    <dataValidation type="date" operator="greaterThan" allowBlank="1" showInputMessage="1" showErrorMessage="1" sqref="B3:C3">
      <formula1>38595</formula1>
    </dataValidation>
    <dataValidation type="list" allowBlank="1" showInputMessage="1" showErrorMessage="1" sqref="B10:B12">
      <formula1>$R$1:$R$2</formula1>
    </dataValidation>
    <dataValidation type="list" allowBlank="1" showInputMessage="1" showErrorMessage="1" sqref="O5">
      <formula1>$U$1:$U$7</formula1>
    </dataValidation>
    <dataValidation type="list" allowBlank="1" showInputMessage="1" showErrorMessage="1" sqref="O4">
      <formula1>$T$1:$T$5</formula1>
    </dataValidation>
    <dataValidation type="list" allowBlank="1" showInputMessage="1" showErrorMessage="1" sqref="O3">
      <formula1>$V$1:$V$3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Z20"/>
  <sheetViews>
    <sheetView showGridLines="0" tabSelected="1" workbookViewId="0">
      <selection activeCell="S1" sqref="S1"/>
    </sheetView>
  </sheetViews>
  <sheetFormatPr baseColWidth="10" defaultRowHeight="15" x14ac:dyDescent="0.25"/>
  <cols>
    <col min="1" max="1" width="20.140625" customWidth="1"/>
    <col min="2" max="2" width="4.7109375" bestFit="1" customWidth="1"/>
    <col min="3" max="3" width="6.7109375" customWidth="1"/>
    <col min="4" max="4" width="4.28515625" customWidth="1"/>
    <col min="5" max="5" width="4.42578125" customWidth="1"/>
    <col min="6" max="6" width="6.140625" customWidth="1"/>
    <col min="7" max="7" width="5.7109375" customWidth="1"/>
    <col min="8" max="8" width="5.42578125" style="2" customWidth="1"/>
    <col min="9" max="9" width="4.28515625" customWidth="1"/>
    <col min="10" max="10" width="6" customWidth="1"/>
    <col min="11" max="11" width="5.42578125" customWidth="1"/>
    <col min="12" max="12" width="2.85546875" customWidth="1"/>
    <col min="13" max="13" width="3.140625" customWidth="1"/>
    <col min="14" max="14" width="22.42578125" style="2" customWidth="1"/>
    <col min="15" max="15" width="27.28515625" style="2" bestFit="1" customWidth="1"/>
    <col min="16" max="16" width="10.85546875" style="2" customWidth="1"/>
    <col min="17" max="17" width="11.42578125" style="84"/>
    <col min="18" max="18" width="4.7109375" style="84" bestFit="1" customWidth="1"/>
    <col min="19" max="19" width="6.28515625" style="84" bestFit="1" customWidth="1"/>
    <col min="20" max="20" width="5.140625" style="84" bestFit="1" customWidth="1"/>
    <col min="21" max="21" width="9.85546875" style="84" bestFit="1" customWidth="1"/>
    <col min="22" max="22" width="15" style="84" bestFit="1" customWidth="1"/>
    <col min="23" max="26" width="11.42578125" style="84"/>
  </cols>
  <sheetData>
    <row r="1" spans="1:26" ht="20.100000000000001" customHeight="1" x14ac:dyDescent="0.25">
      <c r="A1" s="17"/>
      <c r="B1" s="117" t="s">
        <v>39</v>
      </c>
      <c r="C1" s="118"/>
      <c r="D1" s="118"/>
      <c r="E1" s="118"/>
      <c r="F1" s="118"/>
      <c r="G1" s="118"/>
      <c r="H1" s="119"/>
      <c r="I1" s="18"/>
      <c r="J1" s="16"/>
      <c r="K1" s="16"/>
      <c r="L1" s="26"/>
      <c r="Q1" s="102" t="s">
        <v>57</v>
      </c>
      <c r="R1" s="56" t="s">
        <v>19</v>
      </c>
      <c r="S1" s="57">
        <v>0.05</v>
      </c>
      <c r="T1" s="58">
        <v>1</v>
      </c>
      <c r="U1" s="58" t="s">
        <v>48</v>
      </c>
      <c r="V1" s="71" t="s">
        <v>53</v>
      </c>
      <c r="W1" s="72" t="s">
        <v>58</v>
      </c>
      <c r="X1" s="87" t="s">
        <v>73</v>
      </c>
      <c r="Y1" s="88">
        <v>0</v>
      </c>
      <c r="Z1" s="87" t="s">
        <v>77</v>
      </c>
    </row>
    <row r="2" spans="1:26" ht="20.100000000000001" customHeight="1" thickBot="1" x14ac:dyDescent="0.3">
      <c r="A2" s="17"/>
      <c r="B2" s="120" t="s">
        <v>0</v>
      </c>
      <c r="C2" s="121"/>
      <c r="D2" s="121"/>
      <c r="E2" s="121"/>
      <c r="F2" s="121"/>
      <c r="G2" s="121"/>
      <c r="H2" s="122"/>
      <c r="I2" s="18"/>
      <c r="J2" s="16"/>
      <c r="K2" s="16"/>
      <c r="L2" s="26"/>
      <c r="R2" s="59" t="s">
        <v>20</v>
      </c>
      <c r="S2" s="60">
        <v>0.1</v>
      </c>
      <c r="T2" s="61">
        <v>3</v>
      </c>
      <c r="U2" s="61" t="s">
        <v>49</v>
      </c>
      <c r="V2" s="73" t="s">
        <v>54</v>
      </c>
      <c r="W2" s="72" t="s">
        <v>59</v>
      </c>
      <c r="X2" s="87" t="s">
        <v>75</v>
      </c>
      <c r="Y2" s="91">
        <v>0.25</v>
      </c>
      <c r="Z2" s="87" t="s">
        <v>78</v>
      </c>
    </row>
    <row r="3" spans="1:26" ht="20.100000000000001" customHeight="1" x14ac:dyDescent="0.25">
      <c r="A3" s="29" t="s">
        <v>2</v>
      </c>
      <c r="B3" s="129">
        <v>41399</v>
      </c>
      <c r="C3" s="129"/>
      <c r="D3" s="16"/>
      <c r="E3" s="16"/>
      <c r="F3" s="16"/>
      <c r="G3" s="16"/>
      <c r="H3" s="16"/>
      <c r="I3" s="16"/>
      <c r="J3" s="16"/>
      <c r="K3" s="16"/>
      <c r="L3" s="26"/>
      <c r="Q3" s="102" t="s">
        <v>64</v>
      </c>
      <c r="R3" s="59"/>
      <c r="S3" s="60">
        <v>0.15</v>
      </c>
      <c r="T3" s="61">
        <v>5</v>
      </c>
      <c r="U3" s="61" t="s">
        <v>50</v>
      </c>
      <c r="V3" s="73" t="s">
        <v>31</v>
      </c>
      <c r="W3" s="62" t="s">
        <v>60</v>
      </c>
      <c r="X3" s="87" t="s">
        <v>72</v>
      </c>
      <c r="Y3" s="91">
        <v>0.33333333333333331</v>
      </c>
      <c r="Z3" s="87" t="s">
        <v>79</v>
      </c>
    </row>
    <row r="4" spans="1:26" ht="20.100000000000001" customHeight="1" x14ac:dyDescent="0.25">
      <c r="A4" s="29" t="s">
        <v>23</v>
      </c>
      <c r="B4" s="126" t="s">
        <v>69</v>
      </c>
      <c r="C4" s="126"/>
      <c r="D4" s="126"/>
      <c r="E4" s="16"/>
      <c r="F4" s="16"/>
      <c r="G4" s="16"/>
      <c r="H4" s="16"/>
      <c r="I4" s="16"/>
      <c r="J4" s="16"/>
      <c r="K4" s="16"/>
      <c r="L4" s="26"/>
      <c r="R4" s="59"/>
      <c r="S4" s="60">
        <v>0.2</v>
      </c>
      <c r="T4" s="61">
        <v>7</v>
      </c>
      <c r="U4" s="61"/>
      <c r="V4" s="73" t="s">
        <v>55</v>
      </c>
      <c r="W4" s="62"/>
      <c r="X4" s="87" t="s">
        <v>76</v>
      </c>
      <c r="Y4" s="88">
        <v>0.5</v>
      </c>
      <c r="Z4" s="87"/>
    </row>
    <row r="5" spans="1:26" ht="20.100000000000001" customHeight="1" x14ac:dyDescent="0.25">
      <c r="A5" s="29" t="s">
        <v>22</v>
      </c>
      <c r="B5" s="126" t="s">
        <v>70</v>
      </c>
      <c r="C5" s="126"/>
      <c r="D5" s="126"/>
      <c r="E5" s="16"/>
      <c r="F5" s="31"/>
      <c r="G5" s="31"/>
      <c r="H5" s="31"/>
      <c r="I5" s="32" t="s">
        <v>6</v>
      </c>
      <c r="J5" s="3">
        <f>(B3-B6)/365.2425</f>
        <v>40.34032184096867</v>
      </c>
      <c r="K5" s="4" t="s">
        <v>56</v>
      </c>
      <c r="L5" s="26"/>
      <c r="N5" s="29" t="s">
        <v>80</v>
      </c>
      <c r="O5" s="53" t="s">
        <v>79</v>
      </c>
      <c r="R5" s="59"/>
      <c r="S5" s="60">
        <v>0.25</v>
      </c>
      <c r="T5" s="61">
        <v>10</v>
      </c>
      <c r="U5" s="61"/>
      <c r="V5" s="61"/>
      <c r="W5" s="62"/>
      <c r="X5" s="87" t="s">
        <v>74</v>
      </c>
      <c r="Y5" s="91">
        <v>0.66666666666666663</v>
      </c>
      <c r="Z5" s="87"/>
    </row>
    <row r="6" spans="1:26" ht="20.100000000000001" customHeight="1" x14ac:dyDescent="0.25">
      <c r="A6" s="29" t="s">
        <v>5</v>
      </c>
      <c r="B6" s="189">
        <v>26665</v>
      </c>
      <c r="C6" s="189"/>
      <c r="D6" s="16"/>
      <c r="E6" s="16"/>
      <c r="F6" s="190" t="s">
        <v>3</v>
      </c>
      <c r="G6" s="190"/>
      <c r="H6" s="190"/>
      <c r="I6" s="190"/>
      <c r="J6" s="107">
        <f>IF(B3&lt;39082,10000,IF(B3&lt;40178,12000,IF(B3&lt;40908,15000,18000)))</f>
        <v>18000</v>
      </c>
      <c r="K6" s="107"/>
      <c r="L6" s="26"/>
      <c r="N6" s="29" t="s">
        <v>71</v>
      </c>
      <c r="O6" s="53" t="s">
        <v>75</v>
      </c>
      <c r="R6" s="59"/>
      <c r="S6" s="60">
        <v>0.3</v>
      </c>
      <c r="T6" s="61">
        <v>15</v>
      </c>
      <c r="U6" s="61"/>
      <c r="V6" s="61"/>
      <c r="W6" s="62"/>
      <c r="X6" s="87"/>
      <c r="Y6" s="91">
        <v>0.75</v>
      </c>
      <c r="Z6" s="87"/>
    </row>
    <row r="7" spans="1:26" s="2" customFormat="1" ht="20.100000000000001" customHeight="1" thickBot="1" x14ac:dyDescent="0.3">
      <c r="A7" s="29" t="s">
        <v>7</v>
      </c>
      <c r="B7" s="188" t="s">
        <v>53</v>
      </c>
      <c r="C7" s="188"/>
      <c r="D7" s="188"/>
      <c r="E7" s="16"/>
      <c r="F7" s="19"/>
      <c r="G7" s="19"/>
      <c r="H7" s="19"/>
      <c r="I7" s="32" t="s">
        <v>21</v>
      </c>
      <c r="J7" s="107">
        <f>IF(B7="","",IF(B7="Sans profession",J6*12,IF(B8&lt;J6,J6*12,IF(B8&gt;J6*8,J6*8*12,B8*12))))</f>
        <v>390000</v>
      </c>
      <c r="K7" s="107"/>
      <c r="L7" s="26"/>
      <c r="N7" s="82" t="s">
        <v>81</v>
      </c>
      <c r="O7" s="83">
        <v>0.5</v>
      </c>
      <c r="Q7" s="84"/>
      <c r="R7" s="59"/>
      <c r="S7" s="60">
        <v>0.35</v>
      </c>
      <c r="T7" s="61">
        <v>20</v>
      </c>
      <c r="U7" s="61"/>
      <c r="V7" s="61"/>
      <c r="W7" s="62"/>
      <c r="X7" s="87"/>
      <c r="Y7" s="88">
        <v>1</v>
      </c>
      <c r="Z7" s="87"/>
    </row>
    <row r="8" spans="1:26" s="2" customFormat="1" ht="20.100000000000001" customHeight="1" x14ac:dyDescent="0.25">
      <c r="A8" s="29" t="s">
        <v>8</v>
      </c>
      <c r="B8" s="187">
        <v>32500</v>
      </c>
      <c r="C8" s="187"/>
      <c r="D8" s="22" t="s">
        <v>36</v>
      </c>
      <c r="E8" s="16"/>
      <c r="F8" s="131" t="s">
        <v>4</v>
      </c>
      <c r="G8" s="132"/>
      <c r="H8" s="132"/>
      <c r="I8" s="133"/>
      <c r="J8" s="108">
        <f>ROUND(((J7/50)+1740),0)</f>
        <v>9540</v>
      </c>
      <c r="K8" s="108"/>
      <c r="L8" s="26"/>
      <c r="N8" s="136" t="s">
        <v>82</v>
      </c>
      <c r="O8" s="134">
        <f>IF(O6="conducteur véhicule assuré",IF(MAX(F12,G12)&lt;0.5,(1-O7)*J17,J17),IF(O5="Collision",O7*J17,J17))</f>
        <v>610500</v>
      </c>
      <c r="Q8" s="84"/>
      <c r="R8" s="59"/>
      <c r="S8" s="60">
        <v>0.4</v>
      </c>
      <c r="T8" s="61">
        <v>30</v>
      </c>
      <c r="U8" s="61"/>
      <c r="V8" s="61"/>
      <c r="W8" s="62"/>
      <c r="X8" s="84"/>
      <c r="Y8" s="84"/>
      <c r="Z8" s="84"/>
    </row>
    <row r="9" spans="1:26" ht="20.100000000000001" customHeight="1" thickBot="1" x14ac:dyDescent="0.3">
      <c r="A9" s="29" t="s">
        <v>68</v>
      </c>
      <c r="B9" s="185" t="s">
        <v>60</v>
      </c>
      <c r="C9" s="186"/>
      <c r="D9" s="20"/>
      <c r="E9" s="16"/>
      <c r="F9" s="162"/>
      <c r="G9" s="162"/>
      <c r="H9" s="162"/>
      <c r="I9" s="162"/>
      <c r="J9" s="163"/>
      <c r="K9" s="163"/>
      <c r="L9" s="26"/>
      <c r="N9" s="137"/>
      <c r="O9" s="135"/>
      <c r="Q9" s="103"/>
      <c r="R9" s="59"/>
      <c r="S9" s="60">
        <v>0.45</v>
      </c>
      <c r="T9" s="61">
        <v>45</v>
      </c>
      <c r="U9" s="61"/>
      <c r="V9" s="61"/>
      <c r="W9" s="62"/>
    </row>
    <row r="10" spans="1:26" ht="20.100000000000001" customHeight="1" x14ac:dyDescent="0.25">
      <c r="A10" s="16"/>
      <c r="B10" s="16"/>
      <c r="C10" s="16"/>
      <c r="D10" s="18"/>
      <c r="E10" s="191" t="s">
        <v>62</v>
      </c>
      <c r="F10" s="192"/>
      <c r="G10" s="192"/>
      <c r="H10" s="193"/>
      <c r="I10" s="35"/>
      <c r="J10" s="111" t="s">
        <v>51</v>
      </c>
      <c r="K10" s="112"/>
      <c r="L10" s="196"/>
      <c r="R10" s="59"/>
      <c r="S10" s="60">
        <v>0.5</v>
      </c>
      <c r="T10" s="61">
        <v>60</v>
      </c>
      <c r="U10" s="61"/>
      <c r="V10" s="61"/>
      <c r="W10" s="62"/>
    </row>
    <row r="11" spans="1:26" ht="20.100000000000001" customHeight="1" x14ac:dyDescent="0.25">
      <c r="A11" s="181" t="s">
        <v>40</v>
      </c>
      <c r="B11" s="182"/>
      <c r="C11" s="182"/>
      <c r="D11" s="182"/>
      <c r="E11" s="183" t="s">
        <v>63</v>
      </c>
      <c r="F11" s="184"/>
      <c r="G11" s="179" t="s">
        <v>83</v>
      </c>
      <c r="H11" s="180"/>
      <c r="I11" s="35"/>
      <c r="J11" s="113"/>
      <c r="K11" s="114"/>
      <c r="L11" s="196"/>
      <c r="R11" s="59"/>
      <c r="S11" s="60">
        <v>0.55000000000000004</v>
      </c>
      <c r="T11" s="61">
        <v>90</v>
      </c>
      <c r="U11" s="61"/>
      <c r="V11" s="61"/>
      <c r="W11" s="62"/>
    </row>
    <row r="12" spans="1:26" ht="20.100000000000001" customHeight="1" x14ac:dyDescent="0.25">
      <c r="A12" s="29" t="s">
        <v>44</v>
      </c>
      <c r="B12" s="29"/>
      <c r="C12" s="29"/>
      <c r="D12" s="30"/>
      <c r="E12" s="34" t="s">
        <v>41</v>
      </c>
      <c r="F12" s="74">
        <f>IF(B9="Graves",60%,IF(B9="Moyennes",25%,IF(B9="légères",5%,"")))</f>
        <v>0.6</v>
      </c>
      <c r="G12" s="49">
        <v>0.5</v>
      </c>
      <c r="H12" s="28"/>
      <c r="I12" s="28"/>
      <c r="J12" s="168">
        <f>IF(G12="",J8*F12*100,G12*J8*100)</f>
        <v>477000</v>
      </c>
      <c r="K12" s="169"/>
      <c r="L12" s="47"/>
      <c r="R12" s="59"/>
      <c r="S12" s="60">
        <v>0.6</v>
      </c>
      <c r="T12" s="61">
        <v>120</v>
      </c>
      <c r="U12" s="61"/>
      <c r="V12" s="61"/>
      <c r="W12" s="62"/>
    </row>
    <row r="13" spans="1:26" s="2" customFormat="1" ht="20.100000000000001" customHeight="1" x14ac:dyDescent="0.25">
      <c r="A13" s="29" t="s">
        <v>46</v>
      </c>
      <c r="B13" s="29"/>
      <c r="C13" s="29"/>
      <c r="D13" s="30"/>
      <c r="E13" s="34" t="s">
        <v>67</v>
      </c>
      <c r="F13" s="75"/>
      <c r="G13" s="50"/>
      <c r="H13" s="28"/>
      <c r="I13" s="28"/>
      <c r="J13" s="170">
        <f>IF(G13="non",0,IF(G12&lt;80%,0,40*J8))</f>
        <v>0</v>
      </c>
      <c r="K13" s="171"/>
      <c r="L13" s="47"/>
      <c r="Q13" s="84"/>
      <c r="R13" s="59"/>
      <c r="S13" s="60">
        <v>0.65</v>
      </c>
      <c r="T13" s="61">
        <v>150</v>
      </c>
      <c r="U13" s="61"/>
      <c r="V13" s="61"/>
      <c r="W13" s="62"/>
      <c r="X13" s="84"/>
      <c r="Y13" s="84"/>
      <c r="Z13" s="84"/>
    </row>
    <row r="14" spans="1:26" s="2" customFormat="1" ht="20.100000000000001" customHeight="1" x14ac:dyDescent="0.25">
      <c r="A14" s="29" t="s">
        <v>61</v>
      </c>
      <c r="B14" s="29"/>
      <c r="C14" s="29"/>
      <c r="D14" s="30"/>
      <c r="E14" s="34" t="s">
        <v>42</v>
      </c>
      <c r="F14" s="76">
        <f>IF(B$9="Graves",60,IF(B$9="Moyennes",20,IF(B$9="légères",3,"")))</f>
        <v>60</v>
      </c>
      <c r="G14" s="51">
        <v>90</v>
      </c>
      <c r="H14" s="22" t="s">
        <v>47</v>
      </c>
      <c r="I14" s="28"/>
      <c r="J14" s="170">
        <f>IF(G14="",IF(B7&lt;&gt;"sans profession",IF(B8&gt;8*J6,8*J6*F14/30,IF(B8&lt;J6,J6*F14/30,B8*F14/30)),IF(F14&lt;30,0,J6*F14/30)),IF(B7&lt;&gt;"sans profession",IF(B8&gt;8*J6,8*J6*G14/30,IF(B8&lt;J6,J6*G14/30,B8*G14/30)),IF(G14&lt;30,0,J6*G14/30)))*IF(J5&lt;16,0,1)</f>
        <v>97500</v>
      </c>
      <c r="K14" s="171"/>
      <c r="L14" s="47"/>
      <c r="Q14" s="84"/>
      <c r="R14" s="59"/>
      <c r="S14" s="60">
        <v>0.7</v>
      </c>
      <c r="T14" s="61">
        <v>180</v>
      </c>
      <c r="U14" s="61"/>
      <c r="V14" s="61"/>
      <c r="W14" s="62"/>
      <c r="X14" s="84"/>
      <c r="Y14" s="84"/>
      <c r="Z14" s="84"/>
    </row>
    <row r="15" spans="1:26" ht="20.100000000000001" customHeight="1" x14ac:dyDescent="0.25">
      <c r="A15" s="115" t="s">
        <v>45</v>
      </c>
      <c r="B15" s="174"/>
      <c r="C15" s="174"/>
      <c r="D15" s="116"/>
      <c r="E15" s="34" t="s">
        <v>43</v>
      </c>
      <c r="F15" s="76">
        <f>IF(B$9="Graves",4,IF(B$9="Moyennes",2,IF(B$9="légères",0,"")))</f>
        <v>4</v>
      </c>
      <c r="G15" s="175" t="s">
        <v>49</v>
      </c>
      <c r="H15" s="176"/>
      <c r="I15" s="28"/>
      <c r="J15" s="170">
        <f>IF(G15="",IF(F15=2,2*J6,IF(F15=4,4*J6,0)),IF(G15="moyen",2*J6,IF(G15="important",4*J6,0)))</f>
        <v>36000</v>
      </c>
      <c r="K15" s="171"/>
      <c r="L15" s="47"/>
      <c r="R15" s="59"/>
      <c r="S15" s="60">
        <v>0.75</v>
      </c>
      <c r="T15" s="61">
        <v>360</v>
      </c>
      <c r="U15" s="61"/>
      <c r="V15" s="61"/>
      <c r="W15" s="62"/>
    </row>
    <row r="16" spans="1:26" ht="20.100000000000001" customHeight="1" x14ac:dyDescent="0.25">
      <c r="A16" s="115" t="s">
        <v>65</v>
      </c>
      <c r="B16" s="174"/>
      <c r="C16" s="174"/>
      <c r="D16" s="116"/>
      <c r="E16" s="34" t="s">
        <v>66</v>
      </c>
      <c r="F16" s="26"/>
      <c r="G16" s="52"/>
      <c r="H16" s="177"/>
      <c r="I16" s="178"/>
      <c r="J16" s="172">
        <f>IF(G16="oui",H16,0)</f>
        <v>0</v>
      </c>
      <c r="K16" s="173"/>
      <c r="L16" s="47"/>
      <c r="R16" s="59"/>
      <c r="S16" s="60">
        <v>0.8</v>
      </c>
      <c r="T16" s="61"/>
      <c r="U16" s="61"/>
      <c r="V16" s="61"/>
      <c r="W16" s="62"/>
    </row>
    <row r="17" spans="1:23" ht="20.100000000000001" customHeight="1" thickBot="1" x14ac:dyDescent="0.3">
      <c r="A17" s="16"/>
      <c r="B17" s="16"/>
      <c r="C17" s="16"/>
      <c r="D17" s="27"/>
      <c r="E17" s="163"/>
      <c r="F17" s="163"/>
      <c r="G17" s="36"/>
      <c r="H17" s="197" t="s">
        <v>38</v>
      </c>
      <c r="I17" s="198"/>
      <c r="J17" s="194">
        <f>SUM(J12:K16)</f>
        <v>610500</v>
      </c>
      <c r="K17" s="195"/>
      <c r="L17" s="46"/>
      <c r="R17" s="59"/>
      <c r="S17" s="60">
        <v>0.85</v>
      </c>
      <c r="T17" s="61"/>
      <c r="U17" s="61"/>
      <c r="V17" s="61"/>
      <c r="W17" s="62"/>
    </row>
    <row r="18" spans="1:23" x14ac:dyDescent="0.25">
      <c r="R18" s="59"/>
      <c r="S18" s="60">
        <v>0.9</v>
      </c>
      <c r="T18" s="61"/>
      <c r="U18" s="61"/>
      <c r="V18" s="61"/>
      <c r="W18" s="62"/>
    </row>
    <row r="19" spans="1:23" x14ac:dyDescent="0.25">
      <c r="R19" s="59"/>
      <c r="S19" s="60">
        <v>0.95</v>
      </c>
      <c r="T19" s="61"/>
      <c r="U19" s="61"/>
      <c r="V19" s="61"/>
      <c r="W19" s="62"/>
    </row>
    <row r="20" spans="1:23" x14ac:dyDescent="0.25">
      <c r="R20" s="63"/>
      <c r="S20" s="64">
        <v>1</v>
      </c>
      <c r="T20" s="65"/>
      <c r="U20" s="65"/>
      <c r="V20" s="65"/>
      <c r="W20" s="66"/>
    </row>
  </sheetData>
  <dataConsolidate/>
  <mergeCells count="36">
    <mergeCell ref="N8:N9"/>
    <mergeCell ref="O8:O9"/>
    <mergeCell ref="E17:F17"/>
    <mergeCell ref="J17:K17"/>
    <mergeCell ref="L10:L11"/>
    <mergeCell ref="J12:K12"/>
    <mergeCell ref="J15:K15"/>
    <mergeCell ref="J13:K13"/>
    <mergeCell ref="J14:K14"/>
    <mergeCell ref="J16:K16"/>
    <mergeCell ref="H17:I17"/>
    <mergeCell ref="J6:K6"/>
    <mergeCell ref="B9:C9"/>
    <mergeCell ref="F9:I9"/>
    <mergeCell ref="J9:K9"/>
    <mergeCell ref="J10:K11"/>
    <mergeCell ref="B8:C8"/>
    <mergeCell ref="B7:D7"/>
    <mergeCell ref="J7:K7"/>
    <mergeCell ref="J8:K8"/>
    <mergeCell ref="F8:I8"/>
    <mergeCell ref="B6:C6"/>
    <mergeCell ref="F6:I6"/>
    <mergeCell ref="E10:H10"/>
    <mergeCell ref="A16:D16"/>
    <mergeCell ref="G15:H15"/>
    <mergeCell ref="H16:I16"/>
    <mergeCell ref="G11:H11"/>
    <mergeCell ref="A11:D11"/>
    <mergeCell ref="E11:F11"/>
    <mergeCell ref="A15:D15"/>
    <mergeCell ref="B1:H1"/>
    <mergeCell ref="B2:H2"/>
    <mergeCell ref="B3:C3"/>
    <mergeCell ref="B4:D4"/>
    <mergeCell ref="B5:D5"/>
  </mergeCells>
  <dataValidations count="10">
    <dataValidation type="list" allowBlank="1" showInputMessage="1" showErrorMessage="1" sqref="G16 G13">
      <formula1>$R$1:$R$2</formula1>
    </dataValidation>
    <dataValidation type="list" allowBlank="1" showInputMessage="1" showErrorMessage="1" sqref="G15">
      <formula1>$U$1:$U$3</formula1>
    </dataValidation>
    <dataValidation type="list" allowBlank="1" showInputMessage="1" showErrorMessage="1" sqref="G14">
      <formula1>$T$1:$T$15</formula1>
    </dataValidation>
    <dataValidation type="list" allowBlank="1" showInputMessage="1" showErrorMessage="1" sqref="G12">
      <formula1>$S$1:$S$20</formula1>
    </dataValidation>
    <dataValidation type="date" operator="greaterThan" allowBlank="1" showInputMessage="1" showErrorMessage="1" sqref="B3:C3">
      <formula1>38595</formula1>
    </dataValidation>
    <dataValidation type="list" allowBlank="1" showInputMessage="1" showErrorMessage="1" sqref="B7:D7">
      <formula1>$V$1:$V$4</formula1>
    </dataValidation>
    <dataValidation type="list" allowBlank="1" showInputMessage="1" showErrorMessage="1" sqref="B9:C9">
      <formula1>$W$1:$W$3</formula1>
    </dataValidation>
    <dataValidation type="list" allowBlank="1" showInputMessage="1" showErrorMessage="1" sqref="O6">
      <formula1>$X$1:$X$5</formula1>
    </dataValidation>
    <dataValidation type="list" allowBlank="1" showInputMessage="1" showErrorMessage="1" sqref="O7">
      <formula1>$Y$1:$Y$7</formula1>
    </dataValidation>
    <dataValidation type="list" allowBlank="1" showInputMessage="1" showErrorMessage="1" sqref="O5">
      <formula1>$Z$1:$Z$3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verticalDpi="0" r:id="rId1"/>
  <colBreaks count="1" manualBreakCount="1">
    <brk id="12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13" sqref="B1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Vict Maj DCD</vt:lpstr>
      <vt:lpstr>Vict Min DCD</vt:lpstr>
      <vt:lpstr>Victime Blessée</vt:lpstr>
      <vt:lpstr>Feuil1</vt:lpstr>
      <vt:lpstr>Feuil2</vt:lpstr>
      <vt:lpstr>'Vict Maj DCD'!Zone_d_impression</vt:lpstr>
      <vt:lpstr>'Vict Min DCD'!Zone_d_impression</vt:lpstr>
      <vt:lpstr>'Victime Blessée'!Zone_d_impression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amahi</dc:creator>
  <cp:lastModifiedBy>Abderrahmane HAMADAS</cp:lastModifiedBy>
  <cp:lastPrinted>2016-03-03T16:00:53Z</cp:lastPrinted>
  <dcterms:created xsi:type="dcterms:W3CDTF">2011-07-24T10:57:09Z</dcterms:created>
  <dcterms:modified xsi:type="dcterms:W3CDTF">2019-12-19T17:58:48Z</dcterms:modified>
</cp:coreProperties>
</file>