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auto\"/>
    </mc:Choice>
  </mc:AlternateContent>
  <bookViews>
    <workbookView xWindow="0" yWindow="0" windowWidth="20490" windowHeight="7020" firstSheet="1" activeTab="2"/>
  </bookViews>
  <sheets>
    <sheet name="." sheetId="5" state="hidden" r:id="rId1"/>
    <sheet name="Base" sheetId="2" r:id="rId2"/>
    <sheet name="Modèle" sheetId="1" r:id="rId3"/>
    <sheet name="Autorisation" sheetId="3" r:id="rId4"/>
    <sheet name="Reseaux" sheetId="6" r:id="rId5"/>
    <sheet name="Récap" sheetId="8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>Base!$M$14:$M$17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Modèle!$A$1:$H$53</definedName>
  </definedNames>
  <calcPr calcId="162913"/>
</workbook>
</file>

<file path=xl/calcChain.xml><?xml version="1.0" encoding="utf-8"?>
<calcChain xmlns="http://schemas.openxmlformats.org/spreadsheetml/2006/main">
  <c r="G16" i="2" l="1"/>
  <c r="I21" i="2"/>
  <c r="H21" i="2"/>
  <c r="F14" i="2"/>
  <c r="G14" i="2" s="1"/>
  <c r="F13" i="2"/>
  <c r="G13" i="2" s="1"/>
  <c r="G12" i="2"/>
  <c r="G11" i="2"/>
  <c r="G10" i="2"/>
  <c r="F9" i="2"/>
  <c r="G8" i="2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" i="8"/>
  <c r="F15" i="2" l="1"/>
  <c r="F18" i="2" s="1"/>
  <c r="F22" i="2" s="1"/>
  <c r="F24" i="2" s="1"/>
  <c r="G15" i="2"/>
  <c r="F13" i="1"/>
  <c r="B5" i="5" s="1"/>
  <c r="C3" i="6"/>
  <c r="F5" i="6" s="1" a="1"/>
  <c r="F5" i="6" s="1"/>
  <c r="C2" i="6"/>
  <c r="E2" i="6" s="1"/>
  <c r="I21" i="8"/>
  <c r="B29" i="8"/>
  <c r="I5" i="8"/>
  <c r="H15" i="8"/>
  <c r="C11" i="8"/>
  <c r="G2" i="8"/>
  <c r="C12" i="8"/>
  <c r="B32" i="8"/>
  <c r="D30" i="8"/>
  <c r="B7" i="8"/>
  <c r="D23" i="8"/>
  <c r="F12" i="8"/>
  <c r="D36" i="8"/>
  <c r="E10" i="8"/>
  <c r="C9" i="8"/>
  <c r="I33" i="8"/>
  <c r="H35" i="8"/>
  <c r="C31" i="8"/>
  <c r="E5" i="8"/>
  <c r="C3" i="8"/>
  <c r="H10" i="8"/>
  <c r="D11" i="8"/>
  <c r="B24" i="8"/>
  <c r="C13" i="8"/>
  <c r="E22" i="8"/>
  <c r="B37" i="8"/>
  <c r="E24" i="8"/>
  <c r="D21" i="8"/>
  <c r="H23" i="8"/>
  <c r="I29" i="8"/>
  <c r="B34" i="8"/>
  <c r="B2" i="8"/>
  <c r="H37" i="8"/>
  <c r="E2" i="8"/>
  <c r="I26" i="8"/>
  <c r="D29" i="8"/>
  <c r="G15" i="8"/>
  <c r="I27" i="8"/>
  <c r="D32" i="8"/>
  <c r="C7" i="8"/>
  <c r="G20" i="8"/>
  <c r="E3" i="8"/>
  <c r="I17" i="8"/>
  <c r="E20" i="8"/>
  <c r="D9" i="8"/>
  <c r="F27" i="8"/>
  <c r="G18" i="8"/>
  <c r="D24" i="8"/>
  <c r="H33" i="8"/>
  <c r="B13" i="8"/>
  <c r="F6" i="8"/>
  <c r="I35" i="8"/>
  <c r="B9" i="8"/>
  <c r="G34" i="8"/>
  <c r="B25" i="8"/>
  <c r="E7" i="8"/>
  <c r="B12" i="8"/>
  <c r="H25" i="8"/>
  <c r="B15" i="8"/>
  <c r="H9" i="8"/>
  <c r="H32" i="8"/>
  <c r="D33" i="8"/>
  <c r="D37" i="8"/>
  <c r="G21" i="8"/>
  <c r="H11" i="8"/>
  <c r="I13" i="8"/>
  <c r="B31" i="8"/>
  <c r="D26" i="8"/>
  <c r="F17" i="8"/>
  <c r="I20" i="8"/>
  <c r="F34" i="8"/>
  <c r="I37" i="8"/>
  <c r="B4" i="8"/>
  <c r="E23" i="8"/>
  <c r="I10" i="8"/>
  <c r="I11" i="8"/>
  <c r="H36" i="8"/>
  <c r="B17" i="8"/>
  <c r="I6" i="8"/>
  <c r="C23" i="8"/>
  <c r="I24" i="8"/>
  <c r="D6" i="8"/>
  <c r="G37" i="8"/>
  <c r="C27" i="8"/>
  <c r="F10" i="8"/>
  <c r="F19" i="8"/>
  <c r="B16" i="8"/>
  <c r="E8" i="8"/>
  <c r="C24" i="8"/>
  <c r="F9" i="8"/>
  <c r="C25" i="8"/>
  <c r="H14" i="8"/>
  <c r="E33" i="8"/>
  <c r="G14" i="8"/>
  <c r="F13" i="8"/>
  <c r="D5" i="8"/>
  <c r="D15" i="8"/>
  <c r="H3" i="8"/>
  <c r="E32" i="8"/>
  <c r="G3" i="8"/>
  <c r="H12" i="8"/>
  <c r="I28" i="8"/>
  <c r="H27" i="8"/>
  <c r="G28" i="8"/>
  <c r="F16" i="8"/>
  <c r="H29" i="8"/>
  <c r="B23" i="8"/>
  <c r="C28" i="8"/>
  <c r="G13" i="8"/>
  <c r="C36" i="8"/>
  <c r="I12" i="8"/>
  <c r="F5" i="8"/>
  <c r="B36" i="8"/>
  <c r="E30" i="8"/>
  <c r="D12" i="8"/>
  <c r="H30" i="8"/>
  <c r="H17" i="8"/>
  <c r="I19" i="8"/>
  <c r="I32" i="8"/>
  <c r="C6" i="8"/>
  <c r="F3" i="8"/>
  <c r="H2" i="8"/>
  <c r="G32" i="8"/>
  <c r="C32" i="8"/>
  <c r="D20" i="8"/>
  <c r="G7" i="8"/>
  <c r="G10" i="8"/>
  <c r="B22" i="8"/>
  <c r="H5" i="8"/>
  <c r="H24" i="8"/>
  <c r="F18" i="8"/>
  <c r="C4" i="8"/>
  <c r="B30" i="8"/>
  <c r="I31" i="8"/>
  <c r="D8" i="8"/>
  <c r="E13" i="8"/>
  <c r="H6" i="8"/>
  <c r="I23" i="8"/>
  <c r="H20" i="8"/>
  <c r="E21" i="8"/>
  <c r="C8" i="8"/>
  <c r="D25" i="8"/>
  <c r="C18" i="8"/>
  <c r="F21" i="8"/>
  <c r="E29" i="8"/>
  <c r="I8" i="8"/>
  <c r="F15" i="8"/>
  <c r="I7" i="8"/>
  <c r="H7" i="8"/>
  <c r="D35" i="8"/>
  <c r="I2" i="8"/>
  <c r="D13" i="8"/>
  <c r="C30" i="8"/>
  <c r="B6" i="8"/>
  <c r="E18" i="8"/>
  <c r="B20" i="8"/>
  <c r="D31" i="8"/>
  <c r="C14" i="8"/>
  <c r="C35" i="8"/>
  <c r="C29" i="8"/>
  <c r="G5" i="8"/>
  <c r="G35" i="8"/>
  <c r="B28" i="8"/>
  <c r="G9" i="8"/>
  <c r="G25" i="8"/>
  <c r="G31" i="8"/>
  <c r="I4" i="8"/>
  <c r="E28" i="8"/>
  <c r="H22" i="8"/>
  <c r="G36" i="8"/>
  <c r="F4" i="8"/>
  <c r="D7" i="8"/>
  <c r="F7" i="8"/>
  <c r="F31" i="8"/>
  <c r="B35" i="8"/>
  <c r="I36" i="8"/>
  <c r="B33" i="8"/>
  <c r="D17" i="8"/>
  <c r="F33" i="8"/>
  <c r="E11" i="8"/>
  <c r="B11" i="8"/>
  <c r="H8" i="8"/>
  <c r="E31" i="8"/>
  <c r="G26" i="8"/>
  <c r="F25" i="8"/>
  <c r="I15" i="8"/>
  <c r="D3" i="8"/>
  <c r="E36" i="8"/>
  <c r="D4" i="8"/>
  <c r="C17" i="8"/>
  <c r="B3" i="8"/>
  <c r="D34" i="8"/>
  <c r="C20" i="8"/>
  <c r="H4" i="8"/>
  <c r="G6" i="8"/>
  <c r="G24" i="8"/>
  <c r="F30" i="8"/>
  <c r="C37" i="8"/>
  <c r="G33" i="8"/>
  <c r="H34" i="8"/>
  <c r="G16" i="8"/>
  <c r="B18" i="8"/>
  <c r="G30" i="8"/>
  <c r="C33" i="8"/>
  <c r="C34" i="8"/>
  <c r="E16" i="8"/>
  <c r="E14" i="8"/>
  <c r="C15" i="8"/>
  <c r="H31" i="8"/>
  <c r="I18" i="8"/>
  <c r="G4" i="8"/>
  <c r="D14" i="8"/>
  <c r="F37" i="8"/>
  <c r="B21" i="8"/>
  <c r="H16" i="8"/>
  <c r="G27" i="8"/>
  <c r="E4" i="8"/>
  <c r="F14" i="8"/>
  <c r="I22" i="8"/>
  <c r="B14" i="8"/>
  <c r="E6" i="8"/>
  <c r="E15" i="8"/>
  <c r="G22" i="8"/>
  <c r="D28" i="8"/>
  <c r="E34" i="8"/>
  <c r="H13" i="8"/>
  <c r="E26" i="8"/>
  <c r="E35" i="8"/>
  <c r="D10" i="8"/>
  <c r="I14" i="8"/>
  <c r="C26" i="8"/>
  <c r="B10" i="8"/>
  <c r="C2" i="8"/>
  <c r="B27" i="8"/>
  <c r="C22" i="8"/>
  <c r="C16" i="8"/>
  <c r="C19" i="8"/>
  <c r="E12" i="8"/>
  <c r="B26" i="8"/>
  <c r="F11" i="8"/>
  <c r="F28" i="8"/>
  <c r="D16" i="8"/>
  <c r="E25" i="8"/>
  <c r="F29" i="8"/>
  <c r="G29" i="8"/>
  <c r="F2" i="8"/>
  <c r="B8" i="8"/>
  <c r="C10" i="8"/>
  <c r="E27" i="8"/>
  <c r="I9" i="8"/>
  <c r="I30" i="8"/>
  <c r="B5" i="8"/>
  <c r="F35" i="8"/>
  <c r="H28" i="8"/>
  <c r="G17" i="8"/>
  <c r="C21" i="8"/>
  <c r="E37" i="8"/>
  <c r="E9" i="8"/>
  <c r="D27" i="8"/>
  <c r="F22" i="8"/>
  <c r="H21" i="8"/>
  <c r="F32" i="8"/>
  <c r="E17" i="8"/>
  <c r="D22" i="8"/>
  <c r="F20" i="8"/>
  <c r="G19" i="8"/>
  <c r="G23" i="8"/>
  <c r="B19" i="8"/>
  <c r="G11" i="8"/>
  <c r="D2" i="8"/>
  <c r="H19" i="8"/>
  <c r="G12" i="8"/>
  <c r="F36" i="8"/>
  <c r="F24" i="8"/>
  <c r="D19" i="8"/>
  <c r="I25" i="8"/>
  <c r="E19" i="8"/>
  <c r="F26" i="8"/>
  <c r="I3" i="8"/>
  <c r="H26" i="8"/>
  <c r="I16" i="8"/>
  <c r="D18" i="8"/>
  <c r="F23" i="8"/>
  <c r="H18" i="8"/>
  <c r="F8" i="8"/>
  <c r="I34" i="8"/>
  <c r="C5" i="8"/>
  <c r="G8" i="8"/>
  <c r="S20" i="2" l="1"/>
  <c r="F17" i="2"/>
  <c r="F21" i="2" s="1"/>
  <c r="F23" i="2" s="1"/>
  <c r="F25" i="2"/>
  <c r="G19" i="2"/>
  <c r="F259" i="6" a="1"/>
  <c r="F259" i="6" s="1"/>
  <c r="F256" i="6" a="1"/>
  <c r="F256" i="6" s="1"/>
  <c r="F251" i="6" a="1"/>
  <c r="F251" i="6" s="1"/>
  <c r="F223" i="6" a="1"/>
  <c r="F223" i="6" s="1"/>
  <c r="F231" i="6" a="1"/>
  <c r="F231" i="6" s="1"/>
  <c r="F262" i="6" a="1"/>
  <c r="F262" i="6" s="1"/>
  <c r="F246" i="6" a="1"/>
  <c r="F246" i="6" s="1"/>
  <c r="F207" i="6" a="1"/>
  <c r="F207" i="6" s="1"/>
  <c r="F239" i="6" a="1"/>
  <c r="F239" i="6" s="1"/>
  <c r="F187" i="6" a="1"/>
  <c r="F187" i="6" s="1"/>
  <c r="F258" i="6" a="1"/>
  <c r="F258" i="6" s="1"/>
  <c r="F247" i="6" a="1"/>
  <c r="F247" i="6" s="1"/>
  <c r="F232" i="6" a="1"/>
  <c r="F232" i="6" s="1"/>
  <c r="F216" i="6" a="1"/>
  <c r="F216" i="6" s="1"/>
  <c r="F200" i="6" a="1"/>
  <c r="F200" i="6" s="1"/>
  <c r="F171" i="6" a="1"/>
  <c r="F171" i="6" s="1"/>
  <c r="F215" i="6" a="1"/>
  <c r="F215" i="6" s="1"/>
  <c r="F154" i="6" a="1"/>
  <c r="F154" i="6" s="1"/>
  <c r="F199" i="6" a="1"/>
  <c r="F199" i="6" s="1"/>
  <c r="F260" i="6" a="1"/>
  <c r="F260" i="6" s="1"/>
  <c r="F252" i="6" a="1"/>
  <c r="F252" i="6" s="1"/>
  <c r="F240" i="6" a="1"/>
  <c r="F240" i="6" s="1"/>
  <c r="F224" i="6" a="1"/>
  <c r="F224" i="6" s="1"/>
  <c r="F208" i="6" a="1"/>
  <c r="F208" i="6" s="1"/>
  <c r="F188" i="6" a="1"/>
  <c r="F188" i="6" s="1"/>
  <c r="F255" i="6" a="1"/>
  <c r="F255" i="6" s="1"/>
  <c r="F250" i="6" a="1"/>
  <c r="F250" i="6" s="1"/>
  <c r="F244" i="6" a="1"/>
  <c r="F244" i="6" s="1"/>
  <c r="F236" i="6" a="1"/>
  <c r="F236" i="6" s="1"/>
  <c r="F228" i="6" a="1"/>
  <c r="F228" i="6" s="1"/>
  <c r="F220" i="6" a="1"/>
  <c r="F220" i="6" s="1"/>
  <c r="F212" i="6" a="1"/>
  <c r="F212" i="6" s="1"/>
  <c r="F204" i="6" a="1"/>
  <c r="F204" i="6" s="1"/>
  <c r="F196" i="6" a="1"/>
  <c r="F196" i="6" s="1"/>
  <c r="F180" i="6" a="1"/>
  <c r="F180" i="6" s="1"/>
  <c r="F164" i="6" a="1"/>
  <c r="F164" i="6" s="1"/>
  <c r="F138" i="6" a="1"/>
  <c r="F138" i="6" s="1"/>
  <c r="F254" i="6" a="1"/>
  <c r="F254" i="6" s="1"/>
  <c r="F248" i="6" a="1"/>
  <c r="F248" i="6" s="1"/>
  <c r="F243" i="6" a="1"/>
  <c r="F243" i="6" s="1"/>
  <c r="F235" i="6" a="1"/>
  <c r="F235" i="6" s="1"/>
  <c r="F227" i="6" a="1"/>
  <c r="F227" i="6" s="1"/>
  <c r="F219" i="6" a="1"/>
  <c r="F219" i="6" s="1"/>
  <c r="F211" i="6" a="1"/>
  <c r="F211" i="6" s="1"/>
  <c r="F203" i="6" a="1"/>
  <c r="F203" i="6" s="1"/>
  <c r="F195" i="6" a="1"/>
  <c r="F195" i="6" s="1"/>
  <c r="F179" i="6" a="1"/>
  <c r="F179" i="6" s="1"/>
  <c r="F163" i="6" a="1"/>
  <c r="F163" i="6" s="1"/>
  <c r="F114" i="6" a="1"/>
  <c r="F114" i="6" s="1"/>
  <c r="F172" i="6" a="1"/>
  <c r="F172" i="6" s="1"/>
  <c r="F155" i="6" a="1"/>
  <c r="F155" i="6" s="1"/>
  <c r="F192" i="6" a="1"/>
  <c r="F192" i="6" s="1"/>
  <c r="F184" i="6" a="1"/>
  <c r="F184" i="6" s="1"/>
  <c r="F176" i="6" a="1"/>
  <c r="F176" i="6" s="1"/>
  <c r="F168" i="6" a="1"/>
  <c r="F168" i="6" s="1"/>
  <c r="F160" i="6" a="1"/>
  <c r="F160" i="6" s="1"/>
  <c r="F148" i="6" a="1"/>
  <c r="F148" i="6" s="1"/>
  <c r="F132" i="6" a="1"/>
  <c r="F132" i="6" s="1"/>
  <c r="F106" i="6" a="1"/>
  <c r="F106" i="6" s="1"/>
  <c r="F191" i="6" a="1"/>
  <c r="F191" i="6" s="1"/>
  <c r="F183" i="6" a="1"/>
  <c r="F183" i="6" s="1"/>
  <c r="F175" i="6" a="1"/>
  <c r="F175" i="6" s="1"/>
  <c r="F167" i="6" a="1"/>
  <c r="F167" i="6" s="1"/>
  <c r="F159" i="6" a="1"/>
  <c r="F159" i="6" s="1"/>
  <c r="F146" i="6" a="1"/>
  <c r="F146" i="6" s="1"/>
  <c r="F130" i="6" a="1"/>
  <c r="F130" i="6" s="1"/>
  <c r="F90" i="6" a="1"/>
  <c r="F90" i="6" s="1"/>
  <c r="F140" i="6" a="1"/>
  <c r="F140" i="6" s="1"/>
  <c r="F122" i="6" a="1"/>
  <c r="F122" i="6" s="1"/>
  <c r="F242" i="6" a="1"/>
  <c r="F242" i="6" s="1"/>
  <c r="F238" i="6" a="1"/>
  <c r="F238" i="6" s="1"/>
  <c r="F234" i="6" a="1"/>
  <c r="F234" i="6" s="1"/>
  <c r="F230" i="6" a="1"/>
  <c r="F230" i="6" s="1"/>
  <c r="F226" i="6" a="1"/>
  <c r="F226" i="6" s="1"/>
  <c r="F222" i="6" a="1"/>
  <c r="F222" i="6" s="1"/>
  <c r="F218" i="6" a="1"/>
  <c r="F218" i="6" s="1"/>
  <c r="F214" i="6" a="1"/>
  <c r="F214" i="6" s="1"/>
  <c r="F210" i="6" a="1"/>
  <c r="F210" i="6" s="1"/>
  <c r="F206" i="6" a="1"/>
  <c r="F206" i="6" s="1"/>
  <c r="F202" i="6" a="1"/>
  <c r="F202" i="6" s="1"/>
  <c r="F198" i="6" a="1"/>
  <c r="F198" i="6" s="1"/>
  <c r="F194" i="6" a="1"/>
  <c r="F194" i="6" s="1"/>
  <c r="F190" i="6" a="1"/>
  <c r="F190" i="6" s="1"/>
  <c r="F186" i="6" a="1"/>
  <c r="F186" i="6" s="1"/>
  <c r="F182" i="6" a="1"/>
  <c r="F182" i="6" s="1"/>
  <c r="F178" i="6" a="1"/>
  <c r="F178" i="6" s="1"/>
  <c r="F174" i="6" a="1"/>
  <c r="F174" i="6" s="1"/>
  <c r="F170" i="6" a="1"/>
  <c r="F170" i="6" s="1"/>
  <c r="F166" i="6" a="1"/>
  <c r="F166" i="6" s="1"/>
  <c r="F162" i="6" a="1"/>
  <c r="F162" i="6" s="1"/>
  <c r="F158" i="6" a="1"/>
  <c r="F158" i="6" s="1"/>
  <c r="F152" i="6" a="1"/>
  <c r="F152" i="6" s="1"/>
  <c r="F144" i="6" a="1"/>
  <c r="F144" i="6" s="1"/>
  <c r="F136" i="6" a="1"/>
  <c r="F136" i="6" s="1"/>
  <c r="F128" i="6" a="1"/>
  <c r="F128" i="6" s="1"/>
  <c r="F120" i="6" a="1"/>
  <c r="F120" i="6" s="1"/>
  <c r="F112" i="6" a="1"/>
  <c r="F112" i="6" s="1"/>
  <c r="F104" i="6" a="1"/>
  <c r="F104" i="6" s="1"/>
  <c r="F82" i="6" a="1"/>
  <c r="F82" i="6" s="1"/>
  <c r="F261" i="6" a="1"/>
  <c r="F261" i="6" s="1"/>
  <c r="F257" i="6" a="1"/>
  <c r="F257" i="6" s="1"/>
  <c r="F253" i="6" a="1"/>
  <c r="F253" i="6" s="1"/>
  <c r="F249" i="6" a="1"/>
  <c r="F249" i="6" s="1"/>
  <c r="F245" i="6" a="1"/>
  <c r="F245" i="6" s="1"/>
  <c r="F241" i="6" a="1"/>
  <c r="F241" i="6" s="1"/>
  <c r="F237" i="6" a="1"/>
  <c r="F237" i="6" s="1"/>
  <c r="F233" i="6" a="1"/>
  <c r="F233" i="6" s="1"/>
  <c r="F229" i="6" a="1"/>
  <c r="F229" i="6" s="1"/>
  <c r="F225" i="6" a="1"/>
  <c r="F225" i="6" s="1"/>
  <c r="F221" i="6" a="1"/>
  <c r="F221" i="6" s="1"/>
  <c r="F217" i="6" a="1"/>
  <c r="F217" i="6" s="1"/>
  <c r="F213" i="6" a="1"/>
  <c r="F213" i="6" s="1"/>
  <c r="F209" i="6" a="1"/>
  <c r="F209" i="6" s="1"/>
  <c r="F205" i="6" a="1"/>
  <c r="F205" i="6" s="1"/>
  <c r="F201" i="6" a="1"/>
  <c r="F201" i="6" s="1"/>
  <c r="F197" i="6" a="1"/>
  <c r="F197" i="6" s="1"/>
  <c r="F193" i="6" a="1"/>
  <c r="F193" i="6" s="1"/>
  <c r="F189" i="6" a="1"/>
  <c r="F189" i="6" s="1"/>
  <c r="F185" i="6" a="1"/>
  <c r="F185" i="6" s="1"/>
  <c r="F181" i="6" a="1"/>
  <c r="F181" i="6" s="1"/>
  <c r="F177" i="6" a="1"/>
  <c r="F177" i="6" s="1"/>
  <c r="F173" i="6" a="1"/>
  <c r="F173" i="6" s="1"/>
  <c r="F169" i="6" a="1"/>
  <c r="F169" i="6" s="1"/>
  <c r="F165" i="6" a="1"/>
  <c r="F165" i="6" s="1"/>
  <c r="F161" i="6" a="1"/>
  <c r="F161" i="6" s="1"/>
  <c r="F156" i="6" a="1"/>
  <c r="F156" i="6" s="1"/>
  <c r="F150" i="6" a="1"/>
  <c r="F150" i="6" s="1"/>
  <c r="F142" i="6" a="1"/>
  <c r="F142" i="6" s="1"/>
  <c r="F134" i="6" a="1"/>
  <c r="F134" i="6" s="1"/>
  <c r="F126" i="6" a="1"/>
  <c r="F126" i="6" s="1"/>
  <c r="F118" i="6" a="1"/>
  <c r="F118" i="6" s="1"/>
  <c r="F110" i="6" a="1"/>
  <c r="F110" i="6" s="1"/>
  <c r="F100" i="6" a="1"/>
  <c r="F100" i="6" s="1"/>
  <c r="F70" i="6" a="1"/>
  <c r="F70" i="6" s="1"/>
  <c r="F124" i="6" a="1"/>
  <c r="F124" i="6" s="1"/>
  <c r="F116" i="6" a="1"/>
  <c r="F116" i="6" s="1"/>
  <c r="F108" i="6" a="1"/>
  <c r="F108" i="6" s="1"/>
  <c r="F96" i="6" a="1"/>
  <c r="F96" i="6" s="1"/>
  <c r="F151" i="6" a="1"/>
  <c r="F151" i="6" s="1"/>
  <c r="F147" i="6" a="1"/>
  <c r="F147" i="6" s="1"/>
  <c r="F143" i="6" a="1"/>
  <c r="F143" i="6" s="1"/>
  <c r="F139" i="6" a="1"/>
  <c r="F139" i="6" s="1"/>
  <c r="F135" i="6" a="1"/>
  <c r="F135" i="6" s="1"/>
  <c r="F131" i="6" a="1"/>
  <c r="F131" i="6" s="1"/>
  <c r="F127" i="6" a="1"/>
  <c r="F127" i="6" s="1"/>
  <c r="F123" i="6" a="1"/>
  <c r="F123" i="6" s="1"/>
  <c r="F119" i="6" a="1"/>
  <c r="F119" i="6" s="1"/>
  <c r="F115" i="6" a="1"/>
  <c r="F115" i="6" s="1"/>
  <c r="F111" i="6" a="1"/>
  <c r="F111" i="6" s="1"/>
  <c r="F107" i="6" a="1"/>
  <c r="F107" i="6" s="1"/>
  <c r="F103" i="6" a="1"/>
  <c r="F103" i="6" s="1"/>
  <c r="F99" i="6" a="1"/>
  <c r="F99" i="6" s="1"/>
  <c r="F95" i="6" a="1"/>
  <c r="F95" i="6" s="1"/>
  <c r="F89" i="6" a="1"/>
  <c r="F89" i="6" s="1"/>
  <c r="F81" i="6" a="1"/>
  <c r="F81" i="6" s="1"/>
  <c r="F68" i="6" a="1"/>
  <c r="F68" i="6" s="1"/>
  <c r="F60" i="6" a="1"/>
  <c r="F60" i="6" s="1"/>
  <c r="F56" i="6" a="1"/>
  <c r="F56" i="6" s="1"/>
  <c r="F52" i="6" a="1"/>
  <c r="F52" i="6" s="1"/>
  <c r="F48" i="6" a="1"/>
  <c r="F48" i="6" s="1"/>
  <c r="F44" i="6" a="1"/>
  <c r="F44" i="6" s="1"/>
  <c r="F40" i="6" a="1"/>
  <c r="F40" i="6" s="1"/>
  <c r="F36" i="6" a="1"/>
  <c r="F36" i="6" s="1"/>
  <c r="F32" i="6" a="1"/>
  <c r="F32" i="6" s="1"/>
  <c r="F28" i="6" a="1"/>
  <c r="F28" i="6" s="1"/>
  <c r="F24" i="6" a="1"/>
  <c r="F24" i="6" s="1"/>
  <c r="F20" i="6" a="1"/>
  <c r="F20" i="6" s="1"/>
  <c r="F16" i="6" a="1"/>
  <c r="F16" i="6" s="1"/>
  <c r="F12" i="6" a="1"/>
  <c r="F12" i="6" s="1"/>
  <c r="F8" i="6" a="1"/>
  <c r="F8" i="6" s="1"/>
  <c r="F4" i="6" a="1"/>
  <c r="F4" i="6" s="1"/>
  <c r="F102" i="6" a="1"/>
  <c r="F102" i="6" s="1"/>
  <c r="F98" i="6" a="1"/>
  <c r="F98" i="6" s="1"/>
  <c r="F94" i="6" a="1"/>
  <c r="F94" i="6" s="1"/>
  <c r="F86" i="6" a="1"/>
  <c r="F86" i="6" s="1"/>
  <c r="F78" i="6" a="1"/>
  <c r="F78" i="6" s="1"/>
  <c r="F62" i="6" a="1"/>
  <c r="F62" i="6" s="1"/>
  <c r="F59" i="6" a="1"/>
  <c r="F59" i="6" s="1"/>
  <c r="F55" i="6" a="1"/>
  <c r="F55" i="6" s="1"/>
  <c r="F51" i="6" a="1"/>
  <c r="F51" i="6" s="1"/>
  <c r="F47" i="6" a="1"/>
  <c r="F47" i="6" s="1"/>
  <c r="F43" i="6" a="1"/>
  <c r="F43" i="6" s="1"/>
  <c r="F39" i="6" a="1"/>
  <c r="F39" i="6" s="1"/>
  <c r="F35" i="6" a="1"/>
  <c r="F35" i="6" s="1"/>
  <c r="F31" i="6" a="1"/>
  <c r="F31" i="6" s="1"/>
  <c r="F27" i="6" a="1"/>
  <c r="F27" i="6" s="1"/>
  <c r="F23" i="6" a="1"/>
  <c r="F23" i="6" s="1"/>
  <c r="F19" i="6" a="1"/>
  <c r="F19" i="6" s="1"/>
  <c r="F15" i="6" a="1"/>
  <c r="F15" i="6" s="1"/>
  <c r="F11" i="6" a="1"/>
  <c r="F11" i="6" s="1"/>
  <c r="F7" i="6" a="1"/>
  <c r="F7" i="6" s="1"/>
  <c r="F3" i="6" a="1"/>
  <c r="F3" i="6" s="1"/>
  <c r="F157" i="6" a="1"/>
  <c r="F157" i="6" s="1"/>
  <c r="F153" i="6" a="1"/>
  <c r="F153" i="6" s="1"/>
  <c r="F149" i="6" a="1"/>
  <c r="F149" i="6" s="1"/>
  <c r="F145" i="6" a="1"/>
  <c r="F145" i="6" s="1"/>
  <c r="F141" i="6" a="1"/>
  <c r="F141" i="6" s="1"/>
  <c r="F137" i="6" a="1"/>
  <c r="F137" i="6" s="1"/>
  <c r="F133" i="6" a="1"/>
  <c r="F133" i="6" s="1"/>
  <c r="F129" i="6" a="1"/>
  <c r="F129" i="6" s="1"/>
  <c r="F125" i="6" a="1"/>
  <c r="F125" i="6" s="1"/>
  <c r="F121" i="6" a="1"/>
  <c r="F121" i="6" s="1"/>
  <c r="F117" i="6" a="1"/>
  <c r="F117" i="6" s="1"/>
  <c r="F113" i="6" a="1"/>
  <c r="F113" i="6" s="1"/>
  <c r="F109" i="6" a="1"/>
  <c r="F109" i="6" s="1"/>
  <c r="F105" i="6" a="1"/>
  <c r="F105" i="6" s="1"/>
  <c r="F101" i="6" a="1"/>
  <c r="F101" i="6" s="1"/>
  <c r="F97" i="6" a="1"/>
  <c r="F97" i="6" s="1"/>
  <c r="F93" i="6" a="1"/>
  <c r="F93" i="6" s="1"/>
  <c r="F85" i="6" a="1"/>
  <c r="F85" i="6" s="1"/>
  <c r="F76" i="6" a="1"/>
  <c r="F76" i="6" s="1"/>
  <c r="F58" i="6" a="1"/>
  <c r="F58" i="6" s="1"/>
  <c r="F54" i="6" a="1"/>
  <c r="F54" i="6" s="1"/>
  <c r="F50" i="6" a="1"/>
  <c r="F50" i="6" s="1"/>
  <c r="F46" i="6" a="1"/>
  <c r="F46" i="6" s="1"/>
  <c r="F42" i="6" a="1"/>
  <c r="F42" i="6" s="1"/>
  <c r="F38" i="6" a="1"/>
  <c r="F38" i="6" s="1"/>
  <c r="F34" i="6" a="1"/>
  <c r="F34" i="6" s="1"/>
  <c r="F30" i="6" a="1"/>
  <c r="F30" i="6" s="1"/>
  <c r="F26" i="6" a="1"/>
  <c r="F26" i="6" s="1"/>
  <c r="F22" i="6" a="1"/>
  <c r="F22" i="6" s="1"/>
  <c r="F18" i="6" a="1"/>
  <c r="F18" i="6" s="1"/>
  <c r="F14" i="6" a="1"/>
  <c r="F14" i="6" s="1"/>
  <c r="F10" i="6" a="1"/>
  <c r="F10" i="6" s="1"/>
  <c r="F6" i="6" a="1"/>
  <c r="F6" i="6" s="1"/>
  <c r="F2" i="6" a="1"/>
  <c r="F2" i="6" s="1"/>
  <c r="F57" i="6" a="1"/>
  <c r="F57" i="6" s="1"/>
  <c r="F53" i="6" a="1"/>
  <c r="F53" i="6" s="1"/>
  <c r="F49" i="6" a="1"/>
  <c r="F49" i="6" s="1"/>
  <c r="F45" i="6" a="1"/>
  <c r="F45" i="6" s="1"/>
  <c r="F41" i="6" a="1"/>
  <c r="F41" i="6" s="1"/>
  <c r="F37" i="6" a="1"/>
  <c r="F37" i="6" s="1"/>
  <c r="F33" i="6" a="1"/>
  <c r="F33" i="6" s="1"/>
  <c r="F29" i="6" a="1"/>
  <c r="F29" i="6" s="1"/>
  <c r="F25" i="6" a="1"/>
  <c r="F25" i="6" s="1"/>
  <c r="F21" i="6" a="1"/>
  <c r="F21" i="6" s="1"/>
  <c r="F17" i="6" a="1"/>
  <c r="F17" i="6" s="1"/>
  <c r="F13" i="6" a="1"/>
  <c r="F13" i="6" s="1"/>
  <c r="F9" i="6" a="1"/>
  <c r="F9" i="6" s="1"/>
  <c r="F92" i="6" a="1"/>
  <c r="F92" i="6" s="1"/>
  <c r="F88" i="6" a="1"/>
  <c r="F88" i="6" s="1"/>
  <c r="F84" i="6" a="1"/>
  <c r="F84" i="6" s="1"/>
  <c r="F80" i="6" a="1"/>
  <c r="F80" i="6" s="1"/>
  <c r="F74" i="6" a="1"/>
  <c r="F74" i="6" s="1"/>
  <c r="F66" i="6" a="1"/>
  <c r="F66" i="6" s="1"/>
  <c r="F91" i="6" a="1"/>
  <c r="F91" i="6" s="1"/>
  <c r="F87" i="6" a="1"/>
  <c r="F87" i="6" s="1"/>
  <c r="F83" i="6" a="1"/>
  <c r="F83" i="6" s="1"/>
  <c r="F79" i="6" a="1"/>
  <c r="F79" i="6" s="1"/>
  <c r="F72" i="6" a="1"/>
  <c r="F72" i="6" s="1"/>
  <c r="F64" i="6" a="1"/>
  <c r="F64" i="6" s="1"/>
  <c r="F75" i="6" a="1"/>
  <c r="F75" i="6" s="1"/>
  <c r="F71" i="6" a="1"/>
  <c r="F71" i="6" s="1"/>
  <c r="F67" i="6" a="1"/>
  <c r="F67" i="6" s="1"/>
  <c r="F63" i="6" a="1"/>
  <c r="F63" i="6" s="1"/>
  <c r="F77" i="6" a="1"/>
  <c r="F77" i="6" s="1"/>
  <c r="F73" i="6" a="1"/>
  <c r="F73" i="6" s="1"/>
  <c r="F69" i="6" a="1"/>
  <c r="F69" i="6" s="1"/>
  <c r="F65" i="6" a="1"/>
  <c r="F65" i="6" s="1"/>
  <c r="F61" i="6" a="1"/>
  <c r="F61" i="6" s="1"/>
  <c r="G17" i="2" l="1"/>
  <c r="G21" i="2" s="1"/>
  <c r="G23" i="2" s="1"/>
  <c r="G18" i="2"/>
  <c r="G22" i="2" s="1"/>
  <c r="G24" i="2" s="1"/>
  <c r="G25" i="2"/>
  <c r="G1" i="1"/>
  <c r="D5" i="5" l="1"/>
  <c r="E5" i="5" s="1"/>
  <c r="F5" i="5" l="1"/>
  <c r="G5" i="5" s="1"/>
  <c r="P5" i="5"/>
  <c r="J5" i="5" s="1"/>
  <c r="AG5" i="5"/>
  <c r="M5" i="5"/>
  <c r="H5" i="5" s="1"/>
  <c r="AB5" i="5"/>
  <c r="Q5" i="5" l="1"/>
  <c r="R5" i="5" s="1"/>
  <c r="V5" i="5"/>
  <c r="L5" i="5"/>
  <c r="AM5" i="5"/>
  <c r="S5" i="5"/>
  <c r="AQ5" i="5"/>
  <c r="AP5" i="5"/>
  <c r="X5" i="5"/>
  <c r="Y5" i="5"/>
  <c r="AR5" i="5"/>
  <c r="AV5" i="5"/>
  <c r="AD5" i="5" s="1"/>
  <c r="AU5" i="5"/>
  <c r="AC5" i="5" s="1"/>
  <c r="N5" i="5"/>
  <c r="O5" i="5" s="1"/>
  <c r="AY5" i="5" l="1"/>
  <c r="AH5" i="5" s="1"/>
  <c r="BX5" i="5"/>
  <c r="BP5" i="5" s="1"/>
  <c r="BH5" i="5" s="1"/>
  <c r="AX5" i="5" s="1"/>
  <c r="AF5" i="5" s="1"/>
  <c r="CE5" i="5"/>
  <c r="CQ5" i="5"/>
  <c r="CM5" i="5" s="1"/>
  <c r="CI5" i="5" s="1"/>
  <c r="CD5" i="5" s="1"/>
  <c r="CS5" i="5"/>
  <c r="CO5" i="5" s="1"/>
  <c r="CK5" i="5" s="1"/>
  <c r="CG5" i="5" s="1"/>
  <c r="CA5" i="5" s="1"/>
  <c r="BS5" i="5" s="1"/>
  <c r="BK5" i="5" s="1"/>
  <c r="BC5" i="5" s="1"/>
  <c r="K5" i="5"/>
  <c r="AZ5" i="5" s="1"/>
  <c r="AI5" i="5" s="1"/>
  <c r="T5" i="5"/>
  <c r="W5" i="5"/>
  <c r="CB5" i="5" s="1"/>
  <c r="BN5" i="5"/>
  <c r="BF5" i="5" s="1"/>
  <c r="AT5" i="5" s="1"/>
  <c r="AA5" i="5" s="1"/>
  <c r="BV5" i="5"/>
  <c r="CP5" i="5"/>
  <c r="CL5" i="5" s="1"/>
  <c r="CH5" i="5" s="1"/>
  <c r="CC5" i="5" s="1"/>
  <c r="BU5" i="5" s="1"/>
  <c r="BM5" i="5" s="1"/>
  <c r="BE5" i="5" s="1"/>
  <c r="AS5" i="5" s="1"/>
  <c r="BW5" i="5" l="1"/>
  <c r="BO5" i="5" s="1"/>
  <c r="BG5" i="5" s="1"/>
  <c r="AW5" i="5" s="1"/>
  <c r="Z5" i="5"/>
  <c r="AN5" i="5"/>
  <c r="CR5" i="5"/>
  <c r="CN5" i="5" s="1"/>
  <c r="U5" i="5"/>
  <c r="BZ5" i="5" s="1"/>
  <c r="BT5" i="5"/>
  <c r="BL5" i="5" s="1"/>
  <c r="BD5" i="5" s="1"/>
  <c r="AO5" i="5" s="1"/>
  <c r="AE5" i="5" l="1"/>
  <c r="CJ5" i="5"/>
  <c r="CF5" i="5" s="1"/>
  <c r="BY5" i="5" s="1"/>
  <c r="BQ5" i="5" s="1"/>
  <c r="BI5" i="5" s="1"/>
  <c r="BA5" i="5" s="1"/>
  <c r="AJ5" i="5" s="1"/>
  <c r="BR5" i="5"/>
  <c r="BJ5" i="5" s="1"/>
  <c r="BB5" i="5" s="1"/>
  <c r="AK5" i="5" s="1"/>
  <c r="CU5" i="5" l="1"/>
  <c r="C5" i="5" s="1"/>
  <c r="B14" i="1" l="1"/>
</calcChain>
</file>

<file path=xl/sharedStrings.xml><?xml version="1.0" encoding="utf-8"?>
<sst xmlns="http://schemas.openxmlformats.org/spreadsheetml/2006/main" count="513" uniqueCount="172">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</sst>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sz val="11"/>
      <color theme="1"/>
      <name val="Footlight MT Light"/>
      <family val="1"/>
    </font>
    <font>
      <b/>
      <sz val="12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</cellStyleXfs>
  <cellXfs count="173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7" fillId="4" borderId="0" xfId="2" applyFill="1"/>
    <xf numFmtId="0" fontId="7" fillId="0" borderId="0" xfId="2"/>
    <xf numFmtId="0" fontId="8" fillId="4" borderId="0" xfId="2" applyFont="1" applyFill="1" applyAlignment="1">
      <alignment vertical="center"/>
    </xf>
    <xf numFmtId="4" fontId="8" fillId="0" borderId="0" xfId="2" applyNumberFormat="1" applyFont="1" applyAlignment="1">
      <alignment horizontal="center" vertical="center"/>
    </xf>
    <xf numFmtId="0" fontId="8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1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10" fillId="5" borderId="0" xfId="0" applyFont="1" applyFill="1" applyBorder="1"/>
    <xf numFmtId="0" fontId="0" fillId="0" borderId="0" xfId="0" applyAlignment="1"/>
    <xf numFmtId="0" fontId="12" fillId="0" borderId="0" xfId="0" applyFont="1" applyAlignment="1">
      <alignment horizontal="left"/>
    </xf>
    <xf numFmtId="0" fontId="9" fillId="0" borderId="0" xfId="0" applyFont="1" applyAlignment="1"/>
    <xf numFmtId="49" fontId="9" fillId="6" borderId="0" xfId="0" applyNumberFormat="1" applyFont="1" applyFill="1" applyAlignment="1"/>
    <xf numFmtId="0" fontId="9" fillId="0" borderId="0" xfId="0" applyFont="1"/>
    <xf numFmtId="0" fontId="9" fillId="0" borderId="12" xfId="0" applyFont="1" applyBorder="1"/>
    <xf numFmtId="0" fontId="9" fillId="0" borderId="13" xfId="0" applyFont="1" applyBorder="1"/>
    <xf numFmtId="0" fontId="9" fillId="0" borderId="0" xfId="0" applyFont="1" applyBorder="1" applyAlignment="1"/>
    <xf numFmtId="43" fontId="9" fillId="0" borderId="0" xfId="1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3" fillId="0" borderId="5" xfId="0" applyFont="1" applyBorder="1" applyAlignment="1"/>
    <xf numFmtId="0" fontId="13" fillId="0" borderId="7" xfId="0" applyFont="1" applyBorder="1" applyAlignment="1"/>
    <xf numFmtId="0" fontId="13" fillId="0" borderId="9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9" fillId="0" borderId="4" xfId="0" applyFont="1" applyBorder="1" applyAlignment="1"/>
    <xf numFmtId="0" fontId="9" fillId="0" borderId="4" xfId="0" applyFont="1" applyBorder="1"/>
    <xf numFmtId="0" fontId="13" fillId="0" borderId="8" xfId="0" applyFont="1" applyBorder="1" applyAlignment="1"/>
    <xf numFmtId="0" fontId="13" fillId="0" borderId="22" xfId="0" applyFont="1" applyBorder="1" applyAlignment="1"/>
    <xf numFmtId="0" fontId="9" fillId="0" borderId="10" xfId="0" applyFont="1" applyBorder="1" applyAlignment="1"/>
    <xf numFmtId="43" fontId="9" fillId="0" borderId="10" xfId="1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9" fillId="0" borderId="14" xfId="0" applyFont="1" applyBorder="1"/>
    <xf numFmtId="0" fontId="14" fillId="5" borderId="12" xfId="0" applyFont="1" applyFill="1" applyBorder="1" applyAlignment="1">
      <alignment vertical="center" wrapText="1"/>
    </xf>
    <xf numFmtId="0" fontId="15" fillId="5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Alignment="1"/>
    <xf numFmtId="43" fontId="9" fillId="0" borderId="5" xfId="1" applyFont="1" applyBorder="1" applyAlignment="1"/>
    <xf numFmtId="43" fontId="9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3" fillId="0" borderId="26" xfId="0" applyFont="1" applyBorder="1" applyProtection="1">
      <protection locked="0"/>
    </xf>
    <xf numFmtId="9" fontId="18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0" fontId="13" fillId="0" borderId="17" xfId="0" applyFont="1" applyBorder="1" applyProtection="1">
      <protection locked="0"/>
    </xf>
    <xf numFmtId="0" fontId="19" fillId="3" borderId="1" xfId="3" applyNumberFormat="1" applyFont="1" applyFill="1" applyBorder="1" applyAlignment="1" applyProtection="1">
      <alignment horizontal="center" vertical="center"/>
      <protection locked="0"/>
    </xf>
    <xf numFmtId="0" fontId="13" fillId="10" borderId="17" xfId="0" applyFont="1" applyFill="1" applyBorder="1" applyProtection="1">
      <protection locked="0"/>
    </xf>
    <xf numFmtId="9" fontId="18" fillId="10" borderId="1" xfId="3" applyFont="1" applyFill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17" xfId="0" applyFont="1" applyBorder="1" applyProtection="1">
      <protection locked="0"/>
    </xf>
    <xf numFmtId="9" fontId="19" fillId="0" borderId="1" xfId="3" applyFont="1" applyBorder="1" applyAlignment="1" applyProtection="1">
      <alignment horizontal="center" vertical="center"/>
      <protection locked="0"/>
    </xf>
    <xf numFmtId="43" fontId="21" fillId="11" borderId="1" xfId="0" applyNumberFormat="1" applyFont="1" applyFill="1" applyBorder="1" applyAlignment="1" applyProtection="1">
      <alignment horizontal="center" vertical="center"/>
    </xf>
    <xf numFmtId="43" fontId="10" fillId="11" borderId="1" xfId="0" applyNumberFormat="1" applyFont="1" applyFill="1" applyBorder="1" applyAlignment="1" applyProtection="1">
      <alignment horizontal="center" vertical="center"/>
      <protection locked="0"/>
    </xf>
    <xf numFmtId="43" fontId="21" fillId="11" borderId="1" xfId="0" applyNumberFormat="1" applyFont="1" applyFill="1" applyBorder="1" applyAlignment="1" applyProtection="1">
      <alignment horizontal="center" vertical="center"/>
      <protection locked="0"/>
    </xf>
    <xf numFmtId="43" fontId="23" fillId="12" borderId="1" xfId="0" applyNumberFormat="1" applyFont="1" applyFill="1" applyBorder="1" applyAlignment="1" applyProtection="1">
      <alignment horizontal="center" vertical="center"/>
      <protection locked="0"/>
    </xf>
    <xf numFmtId="0" fontId="22" fillId="0" borderId="21" xfId="0" applyFont="1" applyBorder="1" applyAlignment="1" applyProtection="1">
      <alignment vertical="center"/>
      <protection locked="0"/>
    </xf>
    <xf numFmtId="0" fontId="22" fillId="3" borderId="1" xfId="0" applyFont="1" applyFill="1" applyBorder="1" applyAlignment="1" applyProtection="1">
      <alignment horizontal="center"/>
      <protection locked="0"/>
    </xf>
    <xf numFmtId="43" fontId="24" fillId="5" borderId="1" xfId="0" applyNumberFormat="1" applyFont="1" applyFill="1" applyBorder="1" applyAlignment="1" applyProtection="1">
      <alignment horizontal="center" vertical="center"/>
      <protection locked="0"/>
    </xf>
    <xf numFmtId="0" fontId="22" fillId="9" borderId="17" xfId="0" applyFont="1" applyFill="1" applyBorder="1" applyAlignment="1" applyProtection="1">
      <alignment vertical="center"/>
      <protection locked="0"/>
    </xf>
    <xf numFmtId="43" fontId="24" fillId="9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17" xfId="0" applyFont="1" applyBorder="1" applyAlignment="1" applyProtection="1">
      <alignment vertical="center"/>
      <protection locked="0"/>
    </xf>
    <xf numFmtId="0" fontId="13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9" fillId="3" borderId="18" xfId="0" applyNumberFormat="1" applyFont="1" applyFill="1" applyBorder="1" applyProtection="1">
      <protection locked="0"/>
    </xf>
    <xf numFmtId="43" fontId="9" fillId="3" borderId="28" xfId="0" applyNumberFormat="1" applyFont="1" applyFill="1" applyBorder="1" applyProtection="1">
      <protection locked="0"/>
    </xf>
    <xf numFmtId="43" fontId="2" fillId="11" borderId="2" xfId="0" applyNumberFormat="1" applyFont="1" applyFill="1" applyBorder="1" applyAlignment="1" applyProtection="1">
      <alignment horizontal="center" vertical="center"/>
      <protection locked="0"/>
    </xf>
    <xf numFmtId="0" fontId="13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43" fontId="25" fillId="13" borderId="1" xfId="0" applyNumberFormat="1" applyFont="1" applyFill="1" applyBorder="1" applyAlignment="1" applyProtection="1">
      <alignment horizontal="center" vertical="center"/>
      <protection locked="0"/>
    </xf>
    <xf numFmtId="43" fontId="25" fillId="13" borderId="2" xfId="0" applyNumberFormat="1" applyFont="1" applyFill="1" applyBorder="1" applyAlignment="1" applyProtection="1">
      <alignment horizontal="center" vertical="center"/>
      <protection locked="0"/>
    </xf>
    <xf numFmtId="0" fontId="13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5" fillId="12" borderId="18" xfId="0" applyNumberFormat="1" applyFont="1" applyFill="1" applyBorder="1" applyAlignment="1" applyProtection="1">
      <alignment horizontal="center" vertical="center"/>
      <protection locked="0"/>
    </xf>
    <xf numFmtId="43" fontId="25" fillId="12" borderId="28" xfId="0" applyNumberFormat="1" applyFont="1" applyFill="1" applyBorder="1" applyAlignment="1" applyProtection="1">
      <alignment horizontal="center" vertic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23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22" fillId="10" borderId="21" xfId="0" applyFont="1" applyFill="1" applyBorder="1" applyAlignment="1" applyProtection="1">
      <alignment horizontal="center" vertical="center"/>
      <protection locked="0"/>
    </xf>
    <xf numFmtId="0" fontId="22" fillId="10" borderId="17" xfId="0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1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0" fontId="0" fillId="8" borderId="15" xfId="0" applyFill="1" applyBorder="1" applyAlignment="1" applyProtection="1">
      <alignment horizontal="right"/>
      <protection locked="0"/>
    </xf>
    <xf numFmtId="0" fontId="9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4" fillId="5" borderId="9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43" fontId="17" fillId="5" borderId="10" xfId="0" applyNumberFormat="1" applyFont="1" applyFill="1" applyBorder="1" applyAlignment="1">
      <alignment horizontal="left" vertical="center" wrapText="1"/>
    </xf>
    <xf numFmtId="43" fontId="17" fillId="5" borderId="11" xfId="0" applyNumberFormat="1" applyFont="1" applyFill="1" applyBorder="1" applyAlignment="1">
      <alignment horizontal="left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3" fillId="0" borderId="14" xfId="0" applyFont="1" applyBorder="1" applyAlignment="1"/>
    <xf numFmtId="0" fontId="13" fillId="0" borderId="15" xfId="0" applyFont="1" applyBorder="1" applyAlignment="1"/>
    <xf numFmtId="43" fontId="9" fillId="0" borderId="9" xfId="1" applyFont="1" applyBorder="1" applyAlignment="1">
      <alignment horizontal="left"/>
    </xf>
    <xf numFmtId="43" fontId="9" fillId="0" borderId="11" xfId="1" applyFont="1" applyBorder="1" applyAlignment="1">
      <alignment horizontal="left"/>
    </xf>
    <xf numFmtId="43" fontId="13" fillId="0" borderId="9" xfId="1" applyFont="1" applyBorder="1" applyAlignment="1">
      <alignment horizontal="left" vertical="center"/>
    </xf>
    <xf numFmtId="43" fontId="13" fillId="0" borderId="11" xfId="1" applyFont="1" applyBorder="1" applyAlignment="1">
      <alignment horizontal="left" vertical="center"/>
    </xf>
    <xf numFmtId="43" fontId="13" fillId="0" borderId="14" xfId="1" applyFont="1" applyBorder="1" applyAlignment="1">
      <alignment horizontal="left" vertical="center"/>
    </xf>
    <xf numFmtId="43" fontId="13" fillId="0" borderId="15" xfId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9" fillId="3" borderId="0" xfId="0" applyFont="1" applyFill="1" applyAlignment="1"/>
    <xf numFmtId="0" fontId="9" fillId="0" borderId="0" xfId="0" applyFont="1" applyAlignment="1"/>
    <xf numFmtId="0" fontId="13" fillId="0" borderId="5" xfId="0" applyFont="1" applyBorder="1" applyAlignment="1"/>
    <xf numFmtId="0" fontId="13" fillId="0" borderId="7" xfId="0" applyFont="1" applyBorder="1" applyAlignment="1"/>
    <xf numFmtId="0" fontId="13" fillId="0" borderId="6" xfId="0" applyFont="1" applyBorder="1" applyAlignment="1"/>
    <xf numFmtId="0" fontId="13" fillId="0" borderId="25" xfId="0" applyFont="1" applyBorder="1" applyAlignment="1"/>
    <xf numFmtId="0" fontId="13" fillId="0" borderId="11" xfId="0" applyFont="1" applyBorder="1" applyAlignment="1"/>
    <xf numFmtId="0" fontId="9" fillId="0" borderId="9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8" xfId="0" applyFont="1" applyBorder="1" applyAlignment="1"/>
    <xf numFmtId="0" fontId="9" fillId="0" borderId="22" xfId="0" applyFont="1" applyBorder="1" applyAlignment="1"/>
    <xf numFmtId="0" fontId="9" fillId="0" borderId="23" xfId="0" applyFont="1" applyBorder="1" applyAlignment="1"/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4" fillId="5" borderId="12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left" vertical="center" wrapText="1"/>
    </xf>
    <xf numFmtId="0" fontId="14" fillId="5" borderId="13" xfId="0" applyFont="1" applyFill="1" applyBorder="1" applyAlignment="1">
      <alignment horizontal="left" vertical="center" wrapText="1"/>
    </xf>
    <xf numFmtId="43" fontId="9" fillId="0" borderId="5" xfId="1" applyFont="1" applyBorder="1" applyAlignment="1">
      <alignment horizontal="left"/>
    </xf>
    <xf numFmtId="43" fontId="9" fillId="0" borderId="7" xfId="1" applyFont="1" applyBorder="1" applyAlignment="1">
      <alignment horizontal="left"/>
    </xf>
    <xf numFmtId="43" fontId="9" fillId="0" borderId="12" xfId="1" applyFont="1" applyBorder="1" applyAlignment="1">
      <alignment horizontal="left"/>
    </xf>
    <xf numFmtId="43" fontId="9" fillId="0" borderId="13" xfId="1" applyFont="1" applyBorder="1" applyAlignment="1">
      <alignment horizontal="left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4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/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473076</xdr:colOff>
      <xdr:row>3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/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B6" sqref="B6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Modèle!F13</f>
        <v>0</v>
      </c>
      <c r="C5" s="8" t="str">
        <f>UPPER(MID(CU5,1,1))&amp;MID(CU5,2,168)</f>
        <v xml:space="preserve">Zéro Dinars </v>
      </c>
      <c r="D5" s="8">
        <f>INT(B5/1000000)</f>
        <v>0</v>
      </c>
      <c r="E5" s="8">
        <f>INT((B5-D5*1000000)/1000)</f>
        <v>0</v>
      </c>
      <c r="F5" s="8">
        <f>INT(B5-D5*1000000-E5*1000)</f>
        <v>0</v>
      </c>
      <c r="G5" s="8">
        <f>ROUND(B5-D5*1000000-E5*1000-F5,2)*100</f>
        <v>0</v>
      </c>
      <c r="H5" s="8">
        <f>D5-M5*100</f>
        <v>0</v>
      </c>
      <c r="J5" s="8">
        <f>E5-P5*100</f>
        <v>0</v>
      </c>
      <c r="K5" s="8">
        <f>ROUND(F5-S5*100,0)</f>
        <v>0</v>
      </c>
      <c r="L5" s="8">
        <f>G5</f>
        <v>0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0</v>
      </c>
      <c r="R5" s="8">
        <f>E5-P5*100-Q5*10</f>
        <v>0</v>
      </c>
      <c r="S5" s="8">
        <f>INT(F5/100)</f>
        <v>0</v>
      </c>
      <c r="T5" s="8">
        <f>INT((F5-S5*100)/10)</f>
        <v>0</v>
      </c>
      <c r="U5" s="8">
        <f>F5-S5*100-T5*10</f>
        <v>0</v>
      </c>
      <c r="V5" s="8">
        <f>INT(G5/10)</f>
        <v>0</v>
      </c>
      <c r="W5" s="8">
        <f>ROUND(G5-V5*10,0)</f>
        <v>0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/>
      </c>
      <c r="AF5" s="8" t="str">
        <f>IF(E5=1,"",AX5)</f>
        <v/>
      </c>
      <c r="AG5" s="8" t="str">
        <f>IF(E5&gt;0,"mille ","")</f>
        <v/>
      </c>
      <c r="AH5" s="8" t="str">
        <f>IF(INT(B5)=0,"zéro ",IF(S5=0,"",IF(S5=1,"",IF(S5=2,"deux ",IF(S5=3,"trois ",IF(S5=4,"quatre ",IF(S5=5,"cinq ",AY5)))))))</f>
        <v xml:space="preserve">zéro </v>
      </c>
      <c r="AI5" s="8" t="str">
        <f>IF(S5=0,"",IF(S5&lt;2,"cent ",AZ5))</f>
        <v/>
      </c>
      <c r="AJ5" s="8" t="str">
        <f>IF(T5=1,BA5,IF(T5=7,BQ5,IF(T5=9,CF5,CN5)))</f>
        <v/>
      </c>
      <c r="AK5" s="8" t="str">
        <f>IF(K5=11,"",IF(K5=12,"",IF(K5=13,"",IF(K5=14,"",IF(K5=15,"",IF(K5=16,"",BB5))))))</f>
        <v/>
      </c>
      <c r="AL5" s="8" t="s">
        <v>38</v>
      </c>
      <c r="AM5" s="8" t="str">
        <f>IF(G5&gt;0," et ","")</f>
        <v/>
      </c>
      <c r="AN5" s="8" t="str">
        <f>IF(V5=1,BC5,IF(V5=7,BS5,IF(V5=9,CG5,CO5)))</f>
        <v/>
      </c>
      <c r="AO5" s="8" t="str">
        <f>IF(L5=11,"",IF(L5=12,"",IF(L5=13,"",IF(L5=14,"",IF(L5=15,"",IF(L5=16,"",BD5))))))</f>
        <v/>
      </c>
      <c r="AP5" s="8" t="str">
        <f>IF(G5=0," ",IF(G5&lt;2," cent"," cents"))</f>
        <v xml:space="preserve"> 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cents </v>
      </c>
      <c r="AW5" s="8" t="str">
        <f>IF(J5=10,"dix ",IF(J5=11,"onze ",IF(J5=12,"douze ",IF(J5=13,"treize ",IF(J5=14,"quatorze ",IF(J5=15,"quinze ",BG5))))))</f>
        <v/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cents </v>
      </c>
      <c r="BA5" s="8" t="str">
        <f>IF(K5=10,"dix ",IF(K5=11,"onze ",IF(K5=12,"douze ",IF(K5=13,"treize ",IF(K5=14,"quatorze ",IF(K5=15,"quinze ",BI5))))))</f>
        <v/>
      </c>
      <c r="BB5" s="8" t="str">
        <f>IF(K5=17,"",IF(K5=18,"",IF(K5=19,"",BJ5)))</f>
        <v/>
      </c>
      <c r="BC5" s="8" t="str">
        <f>IF(L5=10,"dix ",IF(L5=11,"onze ",IF(L5=12,"douze ",IF(L5=13,"treize ",IF(L5=14,"quatorze ",IF(L5=15,"quinze ",BK5))))))</f>
        <v/>
      </c>
      <c r="BD5" s="8" t="str">
        <f>IF(L5=17,"",IF(L5=18,"",IF(L5=19,"",BL5)))</f>
        <v/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/>
      </c>
      <c r="BH5" s="8" t="str">
        <f>IF(J5=17,"",IF(J5=18,"",IF(J5=19,"",BP5)))</f>
        <v/>
      </c>
      <c r="BI5" s="8" t="str">
        <f>IF(K5=16,"seize ",IF(K5=17,"dix-sept ",IF(K5=18,"dix-huit ",IF(K5=19,"dix-neuf ",BQ5))))</f>
        <v/>
      </c>
      <c r="BJ5" s="8" t="str">
        <f>IF(K5=21,"et un ",IF(K5=31,"et un ",IF(K5=41,"et un ",IF(K5=51,"et un ",IF(K5=61,"et un ",BR5)))))</f>
        <v/>
      </c>
      <c r="BK5" s="8" t="str">
        <f>IF(L5=16,"seize ",IF(L5=17,"dix-sept ",IF(L5=18,"dix-huit ",IF(L5=19,"dix-neuf ",BS5))))</f>
        <v/>
      </c>
      <c r="BL5" s="8" t="str">
        <f>IF(L5=21,"et un ",IF(L5=31,"et un ",IF(L5=41,"et un ",IF(L5=51,"et un ",IF(L5=61,"et un ",BT5)))))</f>
        <v/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/>
      </c>
      <c r="BQ5" s="8" t="str">
        <f>IF(K5=70,"soixante-dix ",IF(K5=71,"soixante et onze ",IF(K5=72,"soixante-douze ",IF(K5=73,"soixante-treize ",IF(K5=74,"soixante-quatorze ",IF(K5=75,"soixante-quinze ",BY5))))))</f>
        <v/>
      </c>
      <c r="BR5" s="8" t="str">
        <f>IF(T5=9,"",IF(T5=7,"",IF(U5=0,"",IF(U5=1,"un ",IF(U5=2,"deux ",IF(U5=3,"trois ",IF(U5=4,"quatre ",IF(U5=5,"cinq ",BZ5))))))))</f>
        <v/>
      </c>
      <c r="BS5" s="8" t="str">
        <f>IF(L5=70,"soixante-dix ",IF(L5=71,"soixante et onze ",IF(L5=72,"soixante-douze ",IF(L5=73,"soixante-treize ",IF(L5=74,"soixante-quatorze ",IF(L5=75,"soixante-quinze ",CA5))))))</f>
        <v/>
      </c>
      <c r="BT5" s="8" t="str">
        <f>IF(V5=9,"",IF(V5=7,"",IF(W5=0,"",IF(W5=1,"un ",IF(W5=2,"deux ",IF(W5=3,"trois ",IF(W5=4,"quatre ",IF(W5=5,"cinq ",CB5))))))))</f>
        <v/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/>
      </c>
      <c r="BY5" s="8" t="str">
        <f>IF(K5=76,"soixante-seize ",IF(K5=77,"soixante-dix-sept ",IF(K5=78,"soixante-dix-huit ",IF(K5=79,"soixante-dix-neuf ",CF5))))</f>
        <v/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/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>
        <f>IF(Q5=9,"",IF(R5=6,"six ",IF(R5=7,"sept ",IF(R5=8,"huit ",IF(R5=9,"neuf ",)))))</f>
        <v>0</v>
      </c>
      <c r="CF5" s="8" t="str">
        <f>IF(K5=90,"quatre-vingt-dix ",IF(K5=91,"quatre-vingt-onze ",IF(K5=92,"quatre-vingt-douze ",IF(K5=93,"quatre-vingt-treize ",IF(K5=94,"quatre-vingt-quatorze ",IF(K5=95,"quatre-vingt-quinze ",CJ5))))))</f>
        <v/>
      </c>
      <c r="CG5" s="8" t="str">
        <f>IF(L5=90,"quatre-vingt-dix ",IF(L5=91,"quatre-vingt-onze ",IF(L5=92,"quatre-vingt-douze ",IF(L5=93,"quatre-vingt-treize ",IF(L5=94,"quatre-vingt-quatorze ",IF(L5=95,"quatre-vingt-quinze ",CK5))))))</f>
        <v/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/>
      </c>
      <c r="CK5" s="8" t="str">
        <f>IF(L5=96,"quatre-vingt-seize ",IF(L5=97,"quatre-vingt-dix-sept ",IF(L5=98,"quatre-vingt-dix-huit ",IF(L5=99,"quatre-vingt-dix-neuf ",CO5))))</f>
        <v/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/>
      </c>
      <c r="CO5" s="8" t="str">
        <f>IF(V5=2,"vingt ",IF(V5=3,"trente ",IF(V5=4,"quarante ",IF(V5=5,"cinquante ",CS5))))</f>
        <v/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 xml:space="preserve">zéro Dinars 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S27"/>
  <sheetViews>
    <sheetView topLeftCell="B4" workbookViewId="0">
      <selection activeCell="F9" sqref="F9"/>
    </sheetView>
  </sheetViews>
  <sheetFormatPr baseColWidth="10" defaultRowHeight="15" x14ac:dyDescent="0.25"/>
  <cols>
    <col min="1" max="2" width="11.42578125" style="50"/>
    <col min="3" max="3" width="16" style="51" customWidth="1"/>
    <col min="4" max="4" width="26.140625" style="50" customWidth="1"/>
    <col min="5" max="5" width="10.7109375" style="50" customWidth="1"/>
    <col min="6" max="7" width="29.42578125" style="50" customWidth="1"/>
    <col min="8" max="8" width="24.85546875" style="50" customWidth="1"/>
    <col min="9" max="9" width="27.140625" style="50" customWidth="1"/>
    <col min="10" max="10" width="20.5703125" style="50" customWidth="1"/>
    <col min="11" max="18" width="11.42578125" style="50"/>
    <col min="19" max="19" width="11.85546875" style="50" bestFit="1" customWidth="1"/>
    <col min="20" max="16384" width="11.42578125" style="50"/>
  </cols>
  <sheetData>
    <row r="2" spans="3:10" ht="15.75" thickBot="1" x14ac:dyDescent="0.3"/>
    <row r="3" spans="3:10" x14ac:dyDescent="0.25">
      <c r="C3" s="92"/>
      <c r="D3" s="95"/>
      <c r="E3" s="96"/>
      <c r="F3" s="96"/>
      <c r="G3" s="96"/>
      <c r="H3" s="96"/>
      <c r="I3" s="97"/>
      <c r="J3" s="92" t="s">
        <v>147</v>
      </c>
    </row>
    <row r="4" spans="3:10" x14ac:dyDescent="0.25">
      <c r="C4" s="93"/>
      <c r="D4" s="98"/>
      <c r="E4" s="99"/>
      <c r="F4" s="99"/>
      <c r="G4" s="99"/>
      <c r="H4" s="99"/>
      <c r="I4" s="100"/>
      <c r="J4" s="93"/>
    </row>
    <row r="5" spans="3:10" x14ac:dyDescent="0.25">
      <c r="C5" s="93"/>
      <c r="D5" s="98"/>
      <c r="E5" s="99"/>
      <c r="F5" s="99"/>
      <c r="G5" s="99"/>
      <c r="H5" s="99"/>
      <c r="I5" s="100"/>
      <c r="J5" s="93"/>
    </row>
    <row r="6" spans="3:10" ht="15.75" thickBot="1" x14ac:dyDescent="0.3">
      <c r="C6" s="93"/>
      <c r="D6" s="101"/>
      <c r="E6" s="102"/>
      <c r="F6" s="102"/>
      <c r="G6" s="102"/>
      <c r="H6" s="102"/>
      <c r="I6" s="103"/>
      <c r="J6" s="93"/>
    </row>
    <row r="7" spans="3:10" ht="15.75" thickBot="1" x14ac:dyDescent="0.3">
      <c r="C7" s="93"/>
      <c r="D7" s="52"/>
      <c r="E7" s="53" t="s">
        <v>148</v>
      </c>
      <c r="F7" s="54" t="s">
        <v>149</v>
      </c>
      <c r="G7" s="54" t="s">
        <v>150</v>
      </c>
      <c r="H7" s="55" t="s">
        <v>151</v>
      </c>
      <c r="I7" s="56" t="s">
        <v>152</v>
      </c>
      <c r="J7" s="93"/>
    </row>
    <row r="8" spans="3:10" ht="15.75" x14ac:dyDescent="0.25">
      <c r="C8" s="93"/>
      <c r="D8" s="57" t="s">
        <v>153</v>
      </c>
      <c r="E8" s="58"/>
      <c r="F8" s="59">
        <v>106764.15</v>
      </c>
      <c r="G8" s="59">
        <f>F8/1.19</f>
        <v>89717.773109243702</v>
      </c>
      <c r="H8" s="59"/>
      <c r="I8" s="60"/>
      <c r="J8" s="93"/>
    </row>
    <row r="9" spans="3:10" ht="15.75" x14ac:dyDescent="0.25">
      <c r="C9" s="93"/>
      <c r="D9" s="61" t="s">
        <v>154</v>
      </c>
      <c r="E9" s="62">
        <v>84</v>
      </c>
      <c r="F9" s="59">
        <f>E9*250</f>
        <v>21000</v>
      </c>
      <c r="G9" s="59">
        <v>21000</v>
      </c>
      <c r="H9" s="59"/>
      <c r="I9" s="60"/>
      <c r="J9" s="93"/>
    </row>
    <row r="10" spans="3:10" ht="15.75" x14ac:dyDescent="0.25">
      <c r="C10" s="93"/>
      <c r="D10" s="61" t="s">
        <v>155</v>
      </c>
      <c r="E10" s="58"/>
      <c r="F10" s="59">
        <v>17000</v>
      </c>
      <c r="G10" s="59">
        <f>F10</f>
        <v>17000</v>
      </c>
      <c r="H10" s="59"/>
      <c r="I10" s="60"/>
      <c r="J10" s="93"/>
    </row>
    <row r="11" spans="3:10" ht="15.75" x14ac:dyDescent="0.25">
      <c r="C11" s="93"/>
      <c r="D11" s="63" t="s">
        <v>156</v>
      </c>
      <c r="E11" s="64"/>
      <c r="F11" s="65">
        <v>0</v>
      </c>
      <c r="G11" s="65">
        <f>F11/1.19</f>
        <v>0</v>
      </c>
      <c r="H11" s="59"/>
      <c r="I11" s="60"/>
      <c r="J11" s="93"/>
    </row>
    <row r="12" spans="3:10" ht="15.75" x14ac:dyDescent="0.25">
      <c r="C12" s="93"/>
      <c r="D12" s="63" t="s">
        <v>157</v>
      </c>
      <c r="E12" s="64"/>
      <c r="F12" s="65">
        <v>0</v>
      </c>
      <c r="G12" s="65">
        <f>F12/1.19</f>
        <v>0</v>
      </c>
      <c r="H12" s="59"/>
      <c r="I12" s="60"/>
      <c r="J12" s="93"/>
    </row>
    <row r="13" spans="3:10" ht="15.75" x14ac:dyDescent="0.25">
      <c r="C13" s="93"/>
      <c r="D13" s="66" t="s">
        <v>158</v>
      </c>
      <c r="E13" s="67">
        <v>0.1</v>
      </c>
      <c r="F13" s="68">
        <f>F8*E13</f>
        <v>10676.415000000001</v>
      </c>
      <c r="G13" s="68">
        <f>F13/1.19</f>
        <v>8971.7773109243717</v>
      </c>
      <c r="H13" s="59"/>
      <c r="I13" s="60"/>
      <c r="J13" s="93"/>
    </row>
    <row r="14" spans="3:10" ht="15.75" x14ac:dyDescent="0.25">
      <c r="C14" s="93"/>
      <c r="D14" s="66" t="s">
        <v>159</v>
      </c>
      <c r="E14" s="67">
        <v>0.25</v>
      </c>
      <c r="F14" s="69">
        <f>E14*F12</f>
        <v>0</v>
      </c>
      <c r="G14" s="70">
        <f>F14/1.19</f>
        <v>0</v>
      </c>
      <c r="H14" s="59"/>
      <c r="I14" s="60"/>
      <c r="J14" s="93"/>
    </row>
    <row r="15" spans="3:10" ht="18.75" x14ac:dyDescent="0.25">
      <c r="C15" s="93"/>
      <c r="D15" s="104" t="s">
        <v>160</v>
      </c>
      <c r="E15" s="105"/>
      <c r="F15" s="71">
        <f>(F8+F9+F10+F12+F11)-(F13+F14)</f>
        <v>134087.73499999999</v>
      </c>
      <c r="G15" s="71">
        <f>(G8+G9+G10+G12+G11)-(G13+G14)</f>
        <v>118745.99579831933</v>
      </c>
      <c r="H15" s="59"/>
      <c r="I15" s="60"/>
      <c r="J15" s="93"/>
    </row>
    <row r="16" spans="3:10" ht="15.75" x14ac:dyDescent="0.25">
      <c r="C16" s="93"/>
      <c r="D16" s="72" t="s">
        <v>161</v>
      </c>
      <c r="E16" s="73"/>
      <c r="F16" s="74">
        <v>2500</v>
      </c>
      <c r="G16" s="74">
        <f>F16</f>
        <v>2500</v>
      </c>
      <c r="H16" s="59"/>
      <c r="I16" s="60"/>
      <c r="J16" s="93"/>
    </row>
    <row r="17" spans="3:19" ht="15.75" x14ac:dyDescent="0.25">
      <c r="C17" s="93"/>
      <c r="D17" s="75" t="s">
        <v>162</v>
      </c>
      <c r="E17" s="67">
        <v>0.15</v>
      </c>
      <c r="F17" s="76">
        <f>(F19-F15)*F16/(F16+(ROUND(F16*E17,2)))</f>
        <v>-113989.33478260867</v>
      </c>
      <c r="G17" s="76">
        <f>(G19-G15)*G16/(G16+(ROUND(G16*E17,2)))</f>
        <v>-92931.648885641218</v>
      </c>
      <c r="H17" s="59"/>
      <c r="I17" s="60"/>
      <c r="J17" s="93"/>
    </row>
    <row r="18" spans="3:19" ht="15.75" x14ac:dyDescent="0.25">
      <c r="C18" s="93"/>
      <c r="D18" s="75" t="s">
        <v>163</v>
      </c>
      <c r="E18" s="67">
        <v>0.25</v>
      </c>
      <c r="F18" s="76">
        <f>(F19-F15)*F16/(F16+ROUND(F16*E18,2))</f>
        <v>-104870.18799999998</v>
      </c>
      <c r="G18" s="76">
        <f>(G19-G15)*G16/(G16+ROUND(G16*E18,2))</f>
        <v>-85497.116974789911</v>
      </c>
      <c r="H18" s="59"/>
      <c r="I18" s="60"/>
      <c r="J18" s="93"/>
    </row>
    <row r="19" spans="3:19" ht="15.75" x14ac:dyDescent="0.25">
      <c r="C19" s="93"/>
      <c r="D19" s="77" t="s">
        <v>140</v>
      </c>
      <c r="E19" s="67">
        <v>0.1</v>
      </c>
      <c r="F19" s="70">
        <v>3000</v>
      </c>
      <c r="G19" s="70">
        <f>G15*E19</f>
        <v>11874.599579831935</v>
      </c>
      <c r="H19" s="59"/>
      <c r="I19" s="60"/>
      <c r="J19" s="93"/>
      <c r="S19" s="50" t="s">
        <v>164</v>
      </c>
    </row>
    <row r="20" spans="3:19" ht="15.75" x14ac:dyDescent="0.25">
      <c r="C20" s="93"/>
      <c r="D20" s="78" t="s">
        <v>165</v>
      </c>
      <c r="E20" s="58"/>
      <c r="F20" s="59">
        <v>200</v>
      </c>
      <c r="G20" s="59">
        <v>200</v>
      </c>
      <c r="H20" s="59"/>
      <c r="I20" s="60"/>
      <c r="J20" s="93"/>
      <c r="S20" s="79">
        <f>F15*E19</f>
        <v>13408.773499999999</v>
      </c>
    </row>
    <row r="21" spans="3:19" ht="16.5" thickBot="1" x14ac:dyDescent="0.3">
      <c r="C21" s="93"/>
      <c r="D21" s="78" t="s">
        <v>166</v>
      </c>
      <c r="E21" s="58"/>
      <c r="F21" s="80">
        <f>(F15-F19)+F17</f>
        <v>17098.400217391318</v>
      </c>
      <c r="G21" s="80">
        <f>(G15-G19)+G17</f>
        <v>13939.747332846178</v>
      </c>
      <c r="H21" s="81">
        <f>SUM(H8:H20)</f>
        <v>0</v>
      </c>
      <c r="I21" s="82">
        <f>SUM(I8:I20)</f>
        <v>0</v>
      </c>
      <c r="J21" s="93"/>
      <c r="S21" s="50">
        <v>2500</v>
      </c>
    </row>
    <row r="22" spans="3:19" ht="15.75" x14ac:dyDescent="0.25">
      <c r="C22" s="93"/>
      <c r="D22" s="78" t="s">
        <v>167</v>
      </c>
      <c r="E22" s="58"/>
      <c r="F22" s="80">
        <f>(F15-F19)+F18</f>
        <v>26217.547000000006</v>
      </c>
      <c r="G22" s="83">
        <f>(G15-G19)+G18</f>
        <v>21374.279243697485</v>
      </c>
      <c r="H22" s="106"/>
      <c r="I22" s="107"/>
      <c r="J22" s="93"/>
      <c r="S22" s="50">
        <v>3000</v>
      </c>
    </row>
    <row r="23" spans="3:19" ht="18.75" x14ac:dyDescent="0.25">
      <c r="C23" s="93"/>
      <c r="D23" s="84" t="s">
        <v>168</v>
      </c>
      <c r="E23" s="85"/>
      <c r="F23" s="86">
        <f>F15-F19+F20-F21</f>
        <v>114189.33478260867</v>
      </c>
      <c r="G23" s="87">
        <f>G15-G19+G20-G21</f>
        <v>93131.648885641218</v>
      </c>
      <c r="H23" s="108"/>
      <c r="I23" s="109"/>
      <c r="J23" s="93"/>
      <c r="S23" s="50">
        <v>10000</v>
      </c>
    </row>
    <row r="24" spans="3:19" ht="18.75" x14ac:dyDescent="0.25">
      <c r="C24" s="93"/>
      <c r="D24" s="84" t="s">
        <v>169</v>
      </c>
      <c r="E24" s="85"/>
      <c r="F24" s="86">
        <f>F15-F19+F20-F22</f>
        <v>105070.18799999998</v>
      </c>
      <c r="G24" s="87">
        <f>G15-G19+G20-G22</f>
        <v>85697.116974789911</v>
      </c>
      <c r="H24" s="108"/>
      <c r="I24" s="109"/>
      <c r="J24" s="93"/>
      <c r="S24" s="50">
        <v>50000</v>
      </c>
    </row>
    <row r="25" spans="3:19" ht="19.5" thickBot="1" x14ac:dyDescent="0.3">
      <c r="C25" s="93"/>
      <c r="D25" s="88" t="s">
        <v>170</v>
      </c>
      <c r="E25" s="89"/>
      <c r="F25" s="90">
        <f>F15-F19+F20</f>
        <v>131287.73499999999</v>
      </c>
      <c r="G25" s="91">
        <f>G15-G19+G20</f>
        <v>107071.3962184874</v>
      </c>
      <c r="H25" s="108"/>
      <c r="I25" s="109"/>
      <c r="J25" s="94"/>
    </row>
    <row r="26" spans="3:19" x14ac:dyDescent="0.25">
      <c r="C26" s="93"/>
      <c r="D26" s="110" t="s">
        <v>171</v>
      </c>
      <c r="E26" s="111"/>
      <c r="F26" s="111"/>
      <c r="G26" s="111"/>
      <c r="H26" s="111"/>
      <c r="I26" s="111"/>
      <c r="J26" s="112"/>
    </row>
    <row r="27" spans="3:19" ht="15.75" thickBot="1" x14ac:dyDescent="0.3">
      <c r="C27" s="94"/>
      <c r="D27" s="113"/>
      <c r="E27" s="114"/>
      <c r="F27" s="114"/>
      <c r="G27" s="114"/>
      <c r="H27" s="114"/>
      <c r="I27" s="114"/>
      <c r="J27" s="115"/>
    </row>
  </sheetData>
  <mergeCells count="6">
    <mergeCell ref="C3:C27"/>
    <mergeCell ref="D3:I6"/>
    <mergeCell ref="J3:J25"/>
    <mergeCell ref="D15:E15"/>
    <mergeCell ref="H22:I25"/>
    <mergeCell ref="D26:J27"/>
  </mergeCells>
  <conditionalFormatting sqref="E13">
    <cfRule type="dataBar" priority="5">
      <dataBar>
        <cfvo type="min"/>
        <cfvo type="max"/>
        <color rgb="FF638EC6"/>
      </dataBar>
    </cfRule>
  </conditionalFormatting>
  <conditionalFormatting sqref="E14">
    <cfRule type="dataBar" priority="4">
      <dataBar>
        <cfvo type="min"/>
        <cfvo type="max"/>
        <color rgb="FF638EC6"/>
      </dataBar>
    </cfRule>
  </conditionalFormatting>
  <conditionalFormatting sqref="E17:E18">
    <cfRule type="dataBar" priority="3">
      <dataBar>
        <cfvo type="min"/>
        <cfvo type="max"/>
        <color rgb="FF63C384"/>
      </dataBar>
    </cfRule>
  </conditionalFormatting>
  <conditionalFormatting sqref="E13:E14">
    <cfRule type="dataBar" priority="2">
      <dataBar>
        <cfvo type="min"/>
        <cfvo type="max"/>
        <color rgb="FFFFB628"/>
      </dataBar>
    </cfRule>
  </conditionalFormatting>
  <conditionalFormatting sqref="E19">
    <cfRule type="dataBar" priority="1">
      <dataBar>
        <cfvo type="min"/>
        <cfvo type="max"/>
        <color rgb="FFFF555A"/>
      </dataBar>
    </cfRule>
  </conditionalFormatting>
  <dataValidations count="1">
    <dataValidation type="list" allowBlank="1" showInputMessage="1" showErrorMessage="1" sqref="F19">
      <formula1>$S$20:$S$24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55"/>
  <sheetViews>
    <sheetView tabSelected="1" workbookViewId="0">
      <selection activeCell="I9" sqref="I9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2.7109375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135"/>
      <c r="C1" s="135"/>
      <c r="F1" s="18" t="s">
        <v>9</v>
      </c>
      <c r="G1" s="9">
        <f ca="1">TODAY()</f>
        <v>43736</v>
      </c>
    </row>
    <row r="2" spans="2:30" x14ac:dyDescent="0.25">
      <c r="B2" s="135"/>
      <c r="C2" s="135"/>
      <c r="D2" s="138" t="s">
        <v>11</v>
      </c>
      <c r="E2" s="138"/>
    </row>
    <row r="3" spans="2:30" x14ac:dyDescent="0.25">
      <c r="B3" s="135"/>
      <c r="C3" s="135"/>
      <c r="D3" s="138" t="s">
        <v>12</v>
      </c>
      <c r="E3" s="138"/>
      <c r="AD3" t="s">
        <v>32</v>
      </c>
    </row>
    <row r="4" spans="2:30" ht="24" thickBot="1" x14ac:dyDescent="0.4">
      <c r="B4" s="135"/>
      <c r="C4" s="135"/>
      <c r="D4" s="139" t="s">
        <v>29</v>
      </c>
      <c r="E4" s="139"/>
      <c r="F4" s="139"/>
      <c r="AD4" s="45" t="s">
        <v>33</v>
      </c>
    </row>
    <row r="5" spans="2:30" ht="18.75" x14ac:dyDescent="0.3">
      <c r="B5" s="140" t="s">
        <v>13</v>
      </c>
      <c r="C5" s="141"/>
      <c r="D5" s="141"/>
      <c r="E5" s="141"/>
      <c r="F5" s="141"/>
      <c r="G5" s="142"/>
      <c r="AD5" s="45" t="s">
        <v>34</v>
      </c>
    </row>
    <row r="6" spans="2:30" ht="19.5" thickBot="1" x14ac:dyDescent="0.35">
      <c r="B6" s="143" t="s">
        <v>20</v>
      </c>
      <c r="C6" s="144"/>
      <c r="D6" s="144"/>
      <c r="E6" s="144"/>
      <c r="F6" s="144"/>
      <c r="G6" s="145"/>
      <c r="AD6" s="45" t="s">
        <v>35</v>
      </c>
    </row>
    <row r="8" spans="2:30" ht="15.75" x14ac:dyDescent="0.25">
      <c r="B8" s="19" t="s">
        <v>14</v>
      </c>
      <c r="C8" s="146">
        <v>250</v>
      </c>
      <c r="D8" s="146"/>
      <c r="E8" s="20" t="s">
        <v>18</v>
      </c>
      <c r="F8" s="21" t="s">
        <v>91</v>
      </c>
      <c r="G8" s="22"/>
    </row>
    <row r="9" spans="2:30" ht="15.75" x14ac:dyDescent="0.25">
      <c r="B9" s="19" t="s">
        <v>15</v>
      </c>
      <c r="C9" s="147"/>
      <c r="D9" s="147"/>
      <c r="E9" s="20" t="s">
        <v>19</v>
      </c>
      <c r="F9" s="21"/>
      <c r="G9" s="22"/>
    </row>
    <row r="10" spans="2:30" ht="15.75" x14ac:dyDescent="0.25">
      <c r="B10" s="19" t="s">
        <v>16</v>
      </c>
      <c r="C10" s="147"/>
      <c r="D10" s="147"/>
      <c r="E10" s="20"/>
      <c r="F10" s="20"/>
      <c r="G10" s="22"/>
    </row>
    <row r="11" spans="2:30" ht="15.75" x14ac:dyDescent="0.25">
      <c r="B11" s="19" t="s">
        <v>17</v>
      </c>
      <c r="C11" s="147"/>
      <c r="D11" s="147"/>
      <c r="E11" s="20"/>
      <c r="F11" s="47"/>
      <c r="G11" s="22"/>
    </row>
    <row r="12" spans="2:30" ht="15.75" thickBot="1" x14ac:dyDescent="0.3"/>
    <row r="13" spans="2:30" ht="15" customHeight="1" x14ac:dyDescent="0.25">
      <c r="B13" s="120" t="s">
        <v>142</v>
      </c>
      <c r="C13" s="121"/>
      <c r="D13" s="121"/>
      <c r="E13" s="121"/>
      <c r="F13" s="122">
        <f>Base!G28</f>
        <v>0</v>
      </c>
      <c r="G13" s="123"/>
    </row>
    <row r="14" spans="2:30" ht="15" customHeight="1" x14ac:dyDescent="0.25">
      <c r="B14" s="124" t="str">
        <f>'.'!C5</f>
        <v xml:space="preserve">Zéro Dinars </v>
      </c>
      <c r="C14" s="125"/>
      <c r="D14" s="125"/>
      <c r="E14" s="125"/>
      <c r="F14" s="125"/>
      <c r="G14" s="126"/>
    </row>
    <row r="15" spans="2:30" ht="15" customHeight="1" x14ac:dyDescent="0.25">
      <c r="B15" s="124"/>
      <c r="C15" s="125"/>
      <c r="D15" s="125"/>
      <c r="E15" s="125"/>
      <c r="F15" s="125"/>
      <c r="G15" s="126"/>
    </row>
    <row r="16" spans="2:30" ht="15.75" customHeight="1" x14ac:dyDescent="0.25">
      <c r="B16" s="164" t="s">
        <v>30</v>
      </c>
      <c r="C16" s="165"/>
      <c r="D16" s="165"/>
      <c r="E16" s="165"/>
      <c r="F16" s="165"/>
      <c r="G16" s="166"/>
    </row>
    <row r="17" spans="2:7" ht="20.25" customHeight="1" thickBot="1" x14ac:dyDescent="0.3">
      <c r="B17" s="43" t="s">
        <v>31</v>
      </c>
      <c r="C17" s="44" t="s">
        <v>35</v>
      </c>
      <c r="D17" s="167" t="s">
        <v>36</v>
      </c>
      <c r="E17" s="167"/>
      <c r="F17" s="167"/>
      <c r="G17" s="168"/>
    </row>
    <row r="18" spans="2:7" ht="16.5" thickBot="1" x14ac:dyDescent="0.3">
      <c r="B18" s="23"/>
      <c r="C18" s="148" t="s">
        <v>8</v>
      </c>
      <c r="D18" s="149"/>
      <c r="E18" s="169">
        <v>21000</v>
      </c>
      <c r="F18" s="170"/>
      <c r="G18" s="24"/>
    </row>
    <row r="19" spans="2:7" ht="16.5" thickBot="1" x14ac:dyDescent="0.3">
      <c r="B19" s="23"/>
      <c r="C19" s="148" t="s">
        <v>0</v>
      </c>
      <c r="D19" s="149"/>
      <c r="E19" s="169">
        <v>17000</v>
      </c>
      <c r="F19" s="170"/>
      <c r="G19" s="24"/>
    </row>
    <row r="20" spans="2:7" ht="16.5" thickBot="1" x14ac:dyDescent="0.3">
      <c r="B20" s="23"/>
      <c r="C20" s="148" t="s">
        <v>3</v>
      </c>
      <c r="D20" s="149"/>
      <c r="E20" s="169">
        <v>89717.773109243702</v>
      </c>
      <c r="F20" s="170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48" t="s">
        <v>4</v>
      </c>
      <c r="D22" s="149"/>
      <c r="E22" s="169"/>
      <c r="F22" s="170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48" t="s">
        <v>5</v>
      </c>
      <c r="D24" s="149"/>
      <c r="E24" s="169">
        <v>8971.7773109243717</v>
      </c>
      <c r="F24" s="170"/>
      <c r="G24" s="24"/>
    </row>
    <row r="25" spans="2:7" ht="16.5" thickBot="1" x14ac:dyDescent="0.3">
      <c r="B25" s="23"/>
      <c r="C25" s="127" t="s">
        <v>6</v>
      </c>
      <c r="D25" s="128"/>
      <c r="E25" s="171">
        <v>0</v>
      </c>
      <c r="F25" s="172"/>
      <c r="G25" s="24"/>
    </row>
    <row r="26" spans="2:7" ht="16.5" thickBot="1" x14ac:dyDescent="0.3">
      <c r="B26" s="23"/>
      <c r="C26" s="148" t="s">
        <v>37</v>
      </c>
      <c r="D26" s="149"/>
      <c r="E26" s="48"/>
      <c r="F26" s="49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148" t="s">
        <v>4</v>
      </c>
      <c r="D28" s="150"/>
      <c r="E28" s="169">
        <v>118745.99579831933</v>
      </c>
      <c r="F28" s="170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169">
        <v>11874.599579831935</v>
      </c>
      <c r="F30" s="170"/>
      <c r="G30" s="24"/>
    </row>
    <row r="31" spans="2:7" ht="16.5" thickBot="1" x14ac:dyDescent="0.3">
      <c r="B31" s="23"/>
      <c r="C31" s="151" t="s">
        <v>141</v>
      </c>
      <c r="D31" s="152"/>
      <c r="E31" s="129">
        <v>200</v>
      </c>
      <c r="F31" s="130"/>
      <c r="G31" s="24"/>
    </row>
    <row r="32" spans="2:7" ht="16.5" thickBot="1" x14ac:dyDescent="0.3">
      <c r="B32" s="23"/>
      <c r="C32" s="39"/>
      <c r="D32" s="39"/>
      <c r="E32" s="40"/>
      <c r="F32" s="41"/>
      <c r="G32" s="24"/>
    </row>
    <row r="33" spans="1:8" ht="15.75" x14ac:dyDescent="0.25">
      <c r="A33" s="1"/>
      <c r="B33" s="23"/>
      <c r="C33" s="31" t="s">
        <v>7</v>
      </c>
      <c r="D33" s="32"/>
      <c r="E33" s="131">
        <v>107071.3962184874</v>
      </c>
      <c r="F33" s="132"/>
      <c r="G33" s="24"/>
    </row>
    <row r="34" spans="1:8" ht="16.5" thickBot="1" x14ac:dyDescent="0.3">
      <c r="A34" s="1"/>
      <c r="B34" s="23"/>
      <c r="C34" s="33"/>
      <c r="D34" s="34"/>
      <c r="E34" s="133"/>
      <c r="F34" s="134"/>
      <c r="G34" s="24"/>
      <c r="H34" s="1"/>
    </row>
    <row r="35" spans="1:8" ht="15.75" x14ac:dyDescent="0.25">
      <c r="A35" s="1"/>
      <c r="B35" s="23"/>
      <c r="C35" s="25"/>
      <c r="D35" s="116"/>
      <c r="E35" s="116"/>
      <c r="F35" s="116"/>
      <c r="G35" s="117"/>
      <c r="H35" s="1"/>
    </row>
    <row r="36" spans="1:8" ht="15.75" x14ac:dyDescent="0.25">
      <c r="A36" s="1"/>
      <c r="B36" s="136" t="s">
        <v>10</v>
      </c>
      <c r="C36" s="137"/>
      <c r="D36" s="116"/>
      <c r="E36" s="116"/>
      <c r="F36" s="116"/>
      <c r="G36" s="117"/>
      <c r="H36" s="1"/>
    </row>
    <row r="37" spans="1:8" ht="15.75" x14ac:dyDescent="0.25">
      <c r="A37" s="1"/>
      <c r="B37" s="23"/>
      <c r="C37" s="25"/>
      <c r="D37" s="116"/>
      <c r="E37" s="116"/>
      <c r="F37" s="116"/>
      <c r="G37" s="117"/>
      <c r="H37" s="1"/>
    </row>
    <row r="38" spans="1:8" ht="15.75" x14ac:dyDescent="0.25">
      <c r="A38" s="1"/>
      <c r="B38" s="23"/>
      <c r="C38" s="25"/>
      <c r="D38" s="116"/>
      <c r="E38" s="116"/>
      <c r="F38" s="116"/>
      <c r="G38" s="117"/>
      <c r="H38" s="1"/>
    </row>
    <row r="39" spans="1:8" ht="16.5" thickBot="1" x14ac:dyDescent="0.3">
      <c r="A39" s="1"/>
      <c r="B39" s="42"/>
      <c r="C39" s="35"/>
      <c r="D39" s="118"/>
      <c r="E39" s="118"/>
      <c r="F39" s="118"/>
      <c r="G39" s="119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6.5" thickBot="1" x14ac:dyDescent="0.3">
      <c r="B41" s="162" t="s">
        <v>21</v>
      </c>
      <c r="C41" s="163"/>
      <c r="D41" s="37" t="s">
        <v>22</v>
      </c>
      <c r="E41" s="37" t="s">
        <v>23</v>
      </c>
      <c r="F41" s="162" t="s">
        <v>24</v>
      </c>
      <c r="G41" s="163"/>
    </row>
    <row r="42" spans="1:8" x14ac:dyDescent="0.25">
      <c r="B42" s="153"/>
      <c r="C42" s="154"/>
      <c r="D42" s="157"/>
      <c r="E42" s="157"/>
      <c r="F42" s="153"/>
      <c r="G42" s="154"/>
    </row>
    <row r="43" spans="1:8" x14ac:dyDescent="0.25">
      <c r="B43" s="155"/>
      <c r="C43" s="117"/>
      <c r="D43" s="158"/>
      <c r="E43" s="158"/>
      <c r="F43" s="155"/>
      <c r="G43" s="117"/>
    </row>
    <row r="44" spans="1:8" x14ac:dyDescent="0.25">
      <c r="B44" s="155"/>
      <c r="C44" s="117"/>
      <c r="D44" s="158"/>
      <c r="E44" s="158"/>
      <c r="F44" s="155"/>
      <c r="G44" s="117"/>
    </row>
    <row r="45" spans="1:8" x14ac:dyDescent="0.25">
      <c r="B45" s="155"/>
      <c r="C45" s="117"/>
      <c r="D45" s="158"/>
      <c r="E45" s="158"/>
      <c r="F45" s="155"/>
      <c r="G45" s="117"/>
    </row>
    <row r="46" spans="1:8" ht="15.75" thickBot="1" x14ac:dyDescent="0.3">
      <c r="B46" s="156"/>
      <c r="C46" s="119"/>
      <c r="D46" s="159"/>
      <c r="E46" s="159"/>
      <c r="F46" s="156"/>
      <c r="G46" s="119"/>
    </row>
    <row r="47" spans="1:8" ht="16.5" thickBot="1" x14ac:dyDescent="0.3">
      <c r="B47" s="160" t="s">
        <v>28</v>
      </c>
      <c r="C47" s="161"/>
      <c r="D47" s="38" t="s">
        <v>25</v>
      </c>
      <c r="E47" s="38" t="s">
        <v>26</v>
      </c>
      <c r="F47" s="160" t="s">
        <v>27</v>
      </c>
      <c r="G47" s="161"/>
    </row>
    <row r="48" spans="1:8" x14ac:dyDescent="0.25">
      <c r="B48" s="153"/>
      <c r="C48" s="154"/>
      <c r="D48" s="157"/>
      <c r="E48" s="157"/>
      <c r="F48" s="153"/>
      <c r="G48" s="154"/>
    </row>
    <row r="49" spans="1:7" x14ac:dyDescent="0.25">
      <c r="B49" s="155"/>
      <c r="C49" s="117"/>
      <c r="D49" s="158"/>
      <c r="E49" s="158"/>
      <c r="F49" s="155"/>
      <c r="G49" s="117"/>
    </row>
    <row r="50" spans="1:7" x14ac:dyDescent="0.25">
      <c r="B50" s="155"/>
      <c r="C50" s="117"/>
      <c r="D50" s="158"/>
      <c r="E50" s="158"/>
      <c r="F50" s="155"/>
      <c r="G50" s="117"/>
    </row>
    <row r="51" spans="1:7" x14ac:dyDescent="0.25">
      <c r="B51" s="155"/>
      <c r="C51" s="117"/>
      <c r="D51" s="158"/>
      <c r="E51" s="158"/>
      <c r="F51" s="155"/>
      <c r="G51" s="117"/>
    </row>
    <row r="52" spans="1:7" x14ac:dyDescent="0.25">
      <c r="B52" s="155"/>
      <c r="C52" s="117"/>
      <c r="D52" s="158"/>
      <c r="E52" s="158"/>
      <c r="F52" s="155"/>
      <c r="G52" s="117"/>
    </row>
    <row r="53" spans="1:7" s="3" customFormat="1" ht="15.75" thickBot="1" x14ac:dyDescent="0.3">
      <c r="A53" s="17">
        <v>11</v>
      </c>
      <c r="B53" s="156"/>
      <c r="C53" s="119"/>
      <c r="D53" s="159"/>
      <c r="E53" s="159"/>
      <c r="F53" s="156"/>
      <c r="G53" s="119"/>
    </row>
    <row r="54" spans="1:7" x14ac:dyDescent="0.25">
      <c r="A54" s="1"/>
    </row>
    <row r="55" spans="1:7" x14ac:dyDescent="0.25">
      <c r="B55" s="1"/>
    </row>
  </sheetData>
  <mergeCells count="52"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</mergeCells>
  <conditionalFormatting sqref="F8">
    <cfRule type="expression" dxfId="3" priority="1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OptionButton2">
          <controlPr defaultSize="0" autoLine="0" r:id="rId5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4" name="OptionButton2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autoPict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30" r:id="rId8" name="ToggleButton1">
          <controlPr defaultSize="0" autoLine="0" r:id="rId9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8" name="Toggle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Modèle!$F$9</f>
        <v>0</v>
      </c>
      <c r="E2" t="str">
        <f>IFERROR(VLOOKUP($C$2,$A$2:$B$262,2,FALSE),"")</f>
        <v/>
      </c>
      <c r="F2" s="13">
        <f t="array" ref="F2">IF(ROW()-1&gt;COUNTIF($B$1:$B$262,$C$3),"",INDEX($A$1:$A$262,SMALL(IF($B$1:$B$262=$C$3,ROW($A$1:$A$262),""),ROW()-1)))</f>
        <v>16001</v>
      </c>
      <c r="H2" s="12" t="s">
        <v>42</v>
      </c>
    </row>
    <row r="3" spans="1:9" x14ac:dyDescent="0.25">
      <c r="A3" s="11" t="s">
        <v>43</v>
      </c>
      <c r="B3" s="12" t="s">
        <v>42</v>
      </c>
      <c r="C3" s="16" t="str">
        <f>Modèle!$F$8</f>
        <v xml:space="preserve">DR - Centre Ouest </v>
      </c>
      <c r="F3" s="13">
        <f t="array" ref="F3">IF(ROW()-1&gt;COUNTIF($B$1:$B$262,$C$3),"",INDEX($A$1:$A$262,SMALL(IF($B$1:$B$262=$C$3,ROW($A$1:$A$262),""),ROW()-1)))</f>
        <v>16083</v>
      </c>
      <c r="H3" s="12" t="s">
        <v>54</v>
      </c>
    </row>
    <row r="4" spans="1:9" x14ac:dyDescent="0.25">
      <c r="A4" s="11" t="s">
        <v>44</v>
      </c>
      <c r="B4" s="12" t="s">
        <v>42</v>
      </c>
      <c r="F4" s="13">
        <f t="array" ref="F4">IF(ROW()-1&gt;COUNTIF($B$1:$B$262,$C$3),"",INDEX($A$1:$A$262,SMALL(IF($B$1:$B$262=$C$3,ROW($A$1:$A$262),""),ROW()-1)))</f>
        <v>16108</v>
      </c>
      <c r="H4" s="12" t="s">
        <v>82</v>
      </c>
    </row>
    <row r="5" spans="1:9" x14ac:dyDescent="0.25">
      <c r="A5" s="11">
        <v>12053</v>
      </c>
      <c r="B5" s="12" t="s">
        <v>42</v>
      </c>
      <c r="F5" s="13">
        <f t="array" ref="F5">IF(ROW()-1&gt;COUNTIF($B$1:$B$262,$C$3),"",INDEX($A$1:$A$262,SMALL(IF($B$1:$B$262=$C$3,ROW($A$1:$A$262),""),ROW()-1)))</f>
        <v>16113</v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>16113.1</v>
      </c>
      <c r="H6" s="12" t="s">
        <v>98</v>
      </c>
    </row>
    <row r="7" spans="1:9" x14ac:dyDescent="0.25">
      <c r="A7" s="11" t="s">
        <v>46</v>
      </c>
      <c r="B7" s="12" t="s">
        <v>42</v>
      </c>
      <c r="F7" s="13">
        <f t="array" ref="F7">IF(ROW()-1&gt;COUNTIF($B$1:$B$262,$C$3),"",INDEX($A$1:$A$262,SMALL(IF($B$1:$B$262=$C$3,ROW($A$1:$A$262),""),ROW()-1)))</f>
        <v>16117</v>
      </c>
      <c r="H7" s="12" t="s">
        <v>117</v>
      </c>
    </row>
    <row r="8" spans="1:9" x14ac:dyDescent="0.25">
      <c r="A8" s="11">
        <v>12185</v>
      </c>
      <c r="B8" s="12" t="s">
        <v>42</v>
      </c>
      <c r="F8" s="13">
        <f t="array" ref="F8">IF(ROW()-1&gt;COUNTIF($B$1:$B$262,$C$3),"",INDEX($A$1:$A$262,SMALL(IF($B$1:$B$262=$C$3,ROW($A$1:$A$262),""),ROW()-1)))</f>
        <v>16135</v>
      </c>
      <c r="H8" s="12" t="s">
        <v>127</v>
      </c>
    </row>
    <row r="9" spans="1:9" x14ac:dyDescent="0.25">
      <c r="A9" s="11">
        <v>21060</v>
      </c>
      <c r="B9" s="12" t="s">
        <v>42</v>
      </c>
      <c r="F9" s="13">
        <f t="array" ref="F9">IF(ROW()-1&gt;COUNTIF($B$1:$B$262,$C$3),"",INDEX($A$1:$A$262,SMALL(IF($B$1:$B$262=$C$3,ROW($A$1:$A$262),""),ROW()-1)))</f>
        <v>16140</v>
      </c>
    </row>
    <row r="10" spans="1:9" x14ac:dyDescent="0.25">
      <c r="A10" s="11">
        <v>21085</v>
      </c>
      <c r="B10" s="12" t="s">
        <v>42</v>
      </c>
      <c r="F10" s="13">
        <f t="array" ref="F10">IF(ROW()-1&gt;COUNTIF($B$1:$B$262,$C$3),"",INDEX($A$1:$A$262,SMALL(IF($B$1:$B$262=$C$3,ROW($A$1:$A$262),""),ROW()-1)))</f>
        <v>16148</v>
      </c>
    </row>
    <row r="11" spans="1:9" x14ac:dyDescent="0.25">
      <c r="A11" s="11" t="s">
        <v>47</v>
      </c>
      <c r="B11" s="12" t="s">
        <v>42</v>
      </c>
      <c r="F11" s="13">
        <f t="array" ref="F11">IF(ROW()-1&gt;COUNTIF($B$1:$B$262,$C$3),"",INDEX($A$1:$A$262,SMALL(IF($B$1:$B$262=$C$3,ROW($A$1:$A$262),""),ROW()-1)))</f>
        <v>16306</v>
      </c>
    </row>
    <row r="12" spans="1:9" x14ac:dyDescent="0.25">
      <c r="A12" s="11">
        <v>21177</v>
      </c>
      <c r="B12" s="12" t="s">
        <v>42</v>
      </c>
      <c r="F12" s="13">
        <f t="array" ref="F12">IF(ROW()-1&gt;COUNTIF($B$1:$B$262,$C$3),"",INDEX($A$1:$A$262,SMALL(IF($B$1:$B$262=$C$3,ROW($A$1:$A$262),""),ROW()-1)))</f>
        <v>16150</v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>16150.2</v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>
        <f t="array" ref="F14">IF(ROW()-1&gt;COUNTIF($B$1:$B$262,$C$3),"",INDEX($A$1:$A$262,SMALL(IF($B$1:$B$262=$C$3,ROW($A$1:$A$262),""),ROW()-1)))</f>
        <v>16170</v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>
        <f t="array" ref="F15">IF(ROW()-1&gt;COUNTIF($B$1:$B$262,$C$3),"",INDEX($A$1:$A$262,SMALL(IF($B$1:$B$262=$C$3,ROW($A$1:$A$262),""),ROW()-1)))</f>
        <v>16194</v>
      </c>
    </row>
    <row r="16" spans="1:9" x14ac:dyDescent="0.25">
      <c r="A16" s="11">
        <v>23179</v>
      </c>
      <c r="B16" s="12" t="s">
        <v>42</v>
      </c>
      <c r="F16" s="13">
        <f t="array" ref="F16">IF(ROW()-1&gt;COUNTIF($B$1:$B$262,$C$3),"",INDEX($A$1:$A$262,SMALL(IF($B$1:$B$262=$C$3,ROW($A$1:$A$262),""),ROW()-1)))</f>
        <v>16206</v>
      </c>
    </row>
    <row r="17" spans="1:6" x14ac:dyDescent="0.25">
      <c r="A17" s="11">
        <v>23203</v>
      </c>
      <c r="B17" s="12" t="s">
        <v>42</v>
      </c>
      <c r="F17" s="13">
        <f t="array" ref="F17">IF(ROW()-1&gt;COUNTIF($B$1:$B$262,$C$3),"",INDEX($A$1:$A$262,SMALL(IF($B$1:$B$262=$C$3,ROW($A$1:$A$262),""),ROW()-1)))</f>
        <v>16708</v>
      </c>
    </row>
    <row r="18" spans="1:6" x14ac:dyDescent="0.25">
      <c r="A18" s="11">
        <v>23252</v>
      </c>
      <c r="B18" s="12" t="s">
        <v>42</v>
      </c>
      <c r="F18" s="13">
        <f t="array" ref="F18">IF(ROW()-1&gt;COUNTIF($B$1:$B$262,$C$3),"",INDEX($A$1:$A$262,SMALL(IF($B$1:$B$262=$C$3,ROW($A$1:$A$262),""),ROW()-1)))</f>
        <v>16211</v>
      </c>
    </row>
    <row r="19" spans="1:6" x14ac:dyDescent="0.25">
      <c r="A19" s="11" t="s">
        <v>48</v>
      </c>
      <c r="B19" s="12" t="s">
        <v>42</v>
      </c>
      <c r="F19" s="13">
        <f t="array" ref="F19">IF(ROW()-1&gt;COUNTIF($B$1:$B$262,$C$3),"",INDEX($A$1:$A$262,SMALL(IF($B$1:$B$262=$C$3,ROW($A$1:$A$262),""),ROW()-1)))</f>
        <v>16237</v>
      </c>
    </row>
    <row r="20" spans="1:6" x14ac:dyDescent="0.25">
      <c r="A20" s="11">
        <v>23277</v>
      </c>
      <c r="B20" s="12" t="s">
        <v>42</v>
      </c>
      <c r="F20" s="13">
        <f t="array" ref="F20">IF(ROW()-1&gt;COUNTIF($B$1:$B$262,$C$3),"",INDEX($A$1:$A$262,SMALL(IF($B$1:$B$262=$C$3,ROW($A$1:$A$262),""),ROW()-1)))</f>
        <v>16249</v>
      </c>
    </row>
    <row r="21" spans="1:6" x14ac:dyDescent="0.25">
      <c r="A21" s="11">
        <v>23549</v>
      </c>
      <c r="B21" s="12" t="s">
        <v>42</v>
      </c>
      <c r="F21" s="13">
        <f t="array" ref="F21">IF(ROW()-1&gt;COUNTIF($B$1:$B$262,$C$3),"",INDEX($A$1:$A$262,SMALL(IF($B$1:$B$262=$C$3,ROW($A$1:$A$262),""),ROW()-1)))</f>
        <v>16762</v>
      </c>
    </row>
    <row r="22" spans="1:6" x14ac:dyDescent="0.25">
      <c r="A22" s="11" t="s">
        <v>49</v>
      </c>
      <c r="B22" s="12" t="s">
        <v>42</v>
      </c>
      <c r="F22" s="13">
        <f t="array" ref="F22">IF(ROW()-1&gt;COUNTIF($B$1:$B$262,$C$3),"",INDEX($A$1:$A$262,SMALL(IF($B$1:$B$262=$C$3,ROW($A$1:$A$262),""),ROW()-1)))</f>
        <v>16281</v>
      </c>
    </row>
    <row r="23" spans="1:6" x14ac:dyDescent="0.25">
      <c r="A23" s="11">
        <v>23719</v>
      </c>
      <c r="B23" s="12" t="s">
        <v>42</v>
      </c>
      <c r="F23" s="13">
        <f t="array" ref="F23">IF(ROW()-1&gt;COUNTIF($B$1:$B$262,$C$3),"",INDEX($A$1:$A$262,SMALL(IF($B$1:$B$262=$C$3,ROW($A$1:$A$262),""),ROW()-1)))</f>
        <v>16507</v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>16507.1</v>
      </c>
    </row>
    <row r="25" spans="1:6" x14ac:dyDescent="0.25">
      <c r="A25" s="11">
        <v>23302</v>
      </c>
      <c r="B25" s="12" t="s">
        <v>42</v>
      </c>
      <c r="F25" s="13">
        <f t="array" ref="F25">IF(ROW()-1&gt;COUNTIF($B$1:$B$262,$C$3),"",INDEX($A$1:$A$262,SMALL(IF($B$1:$B$262=$C$3,ROW($A$1:$A$262),""),ROW()-1)))</f>
        <v>16531</v>
      </c>
    </row>
    <row r="26" spans="1:6" x14ac:dyDescent="0.25">
      <c r="A26" s="11">
        <v>24065</v>
      </c>
      <c r="B26" s="12" t="s">
        <v>42</v>
      </c>
      <c r="F26" s="13">
        <f t="array" ref="F26">IF(ROW()-1&gt;COUNTIF($B$1:$B$262,$C$3),"",INDEX($A$1:$A$262,SMALL(IF($B$1:$B$262=$C$3,ROW($A$1:$A$262),""),ROW()-1)))</f>
        <v>16570</v>
      </c>
    </row>
    <row r="27" spans="1:6" x14ac:dyDescent="0.25">
      <c r="A27" s="11" t="s">
        <v>50</v>
      </c>
      <c r="B27" s="12" t="s">
        <v>42</v>
      </c>
      <c r="F27" s="13">
        <f t="array" ref="F27">IF(ROW()-1&gt;COUNTIF($B$1:$B$262,$C$3),"",INDEX($A$1:$A$262,SMALL(IF($B$1:$B$262=$C$3,ROW($A$1:$A$262),""),ROW()-1)))</f>
        <v>16584</v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>16584.1</v>
      </c>
    </row>
    <row r="29" spans="1:6" x14ac:dyDescent="0.25">
      <c r="A29" s="11" t="s">
        <v>51</v>
      </c>
      <c r="B29" s="12" t="s">
        <v>42</v>
      </c>
      <c r="F29" s="13">
        <f t="array" ref="F29">IF(ROW()-1&gt;COUNTIF($B$1:$B$262,$C$3),"",INDEX($A$1:$A$262,SMALL(IF($B$1:$B$262=$C$3,ROW($A$1:$A$262),""),ROW()-1)))</f>
        <v>16638</v>
      </c>
    </row>
    <row r="30" spans="1:6" x14ac:dyDescent="0.25">
      <c r="A30" s="11">
        <v>24192</v>
      </c>
      <c r="B30" s="12" t="s">
        <v>42</v>
      </c>
      <c r="F30" s="13">
        <f t="array" ref="F30">IF(ROW()-1&gt;COUNTIF($B$1:$B$262,$C$3),"",INDEX($A$1:$A$262,SMALL(IF($B$1:$B$262=$C$3,ROW($A$1:$A$262),""),ROW()-1)))</f>
        <v>16645</v>
      </c>
    </row>
    <row r="31" spans="1:6" x14ac:dyDescent="0.25">
      <c r="A31" s="11" t="s">
        <v>52</v>
      </c>
      <c r="B31" s="12" t="s">
        <v>42</v>
      </c>
      <c r="F31" s="13">
        <f t="array" ref="F31">IF(ROW()-1&gt;COUNTIF($B$1:$B$262,$C$3),"",INDEX($A$1:$A$262,SMALL(IF($B$1:$B$262=$C$3,ROW($A$1:$A$262),""),ROW()-1)))</f>
        <v>16656</v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>16656.1</v>
      </c>
    </row>
    <row r="33" spans="1:6" x14ac:dyDescent="0.25">
      <c r="A33" s="11">
        <v>24287</v>
      </c>
      <c r="B33" s="12" t="s">
        <v>42</v>
      </c>
      <c r="F33" s="13">
        <f t="array" ref="F33">IF(ROW()-1&gt;COUNTIF($B$1:$B$262,$C$3),"",INDEX($A$1:$A$262,SMALL(IF($B$1:$B$262=$C$3,ROW($A$1:$A$262),""),ROW()-1)))</f>
        <v>42273</v>
      </c>
    </row>
    <row r="34" spans="1:6" x14ac:dyDescent="0.25">
      <c r="A34" s="11">
        <v>39037</v>
      </c>
      <c r="B34" s="12" t="s">
        <v>42</v>
      </c>
      <c r="F34" s="13">
        <f t="array" ref="F34">IF(ROW()-1&gt;COUNTIF($B$1:$B$262,$C$3),"",INDEX($A$1:$A$262,SMALL(IF($B$1:$B$262=$C$3,ROW($A$1:$A$262),""),ROW()-1)))</f>
        <v>42775</v>
      </c>
    </row>
    <row r="35" spans="1:6" x14ac:dyDescent="0.25">
      <c r="A35" s="11">
        <v>40664</v>
      </c>
      <c r="B35" s="12" t="s">
        <v>42</v>
      </c>
      <c r="F35" s="13">
        <f t="array" ref="F35">IF(ROW()-1&gt;COUNTIF($B$1:$B$262,$C$3),"",INDEX($A$1:$A$262,SMALL(IF($B$1:$B$262=$C$3,ROW($A$1:$A$262),""),ROW()-1)))</f>
        <v>42506</v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6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.</vt:lpstr>
      <vt:lpstr>Base</vt:lpstr>
      <vt:lpstr>Modèle</vt:lpstr>
      <vt:lpstr>Autorisation</vt:lpstr>
      <vt:lpstr>Reseaux</vt:lpstr>
      <vt:lpstr>Récap</vt:lpstr>
      <vt:lpstr>codeagence</vt:lpstr>
      <vt:lpstr>dr</vt:lpstr>
      <vt:lpstr>Fourniture</vt:lpstr>
      <vt:lpstr>listeagence</vt:lpstr>
      <vt:lpstr>listeDR</vt:lpstr>
      <vt:lpstr>Modèle!Zone_d_impression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Abderrahmane HAMADAS</cp:lastModifiedBy>
  <cp:lastPrinted>2019-08-22T13:02:23Z</cp:lastPrinted>
  <dcterms:created xsi:type="dcterms:W3CDTF">2018-11-07T08:15:07Z</dcterms:created>
  <dcterms:modified xsi:type="dcterms:W3CDTF">2019-09-28T21:12:19Z</dcterms:modified>
</cp:coreProperties>
</file>