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hamadas\Desktop\"/>
    </mc:Choice>
  </mc:AlternateContent>
  <bookViews>
    <workbookView xWindow="240" yWindow="135" windowWidth="19935" windowHeight="8385"/>
  </bookViews>
  <sheets>
    <sheet name="Vict Maj DCD" sheetId="1" r:id="rId1"/>
    <sheet name="Vict Min DCD" sheetId="2" r:id="rId2"/>
    <sheet name="Victime Blessée" sheetId="3" r:id="rId3"/>
    <sheet name="Feuil1" sheetId="4" r:id="rId4"/>
    <sheet name="Feuil2" sheetId="5" r:id="rId5"/>
  </sheets>
  <definedNames>
    <definedName name="_xlnm.Print_Area" localSheetId="0">'Vict Maj DCD'!$A$1:$N$18</definedName>
    <definedName name="_xlnm.Print_Area" localSheetId="1">'Vict Min DCD'!$A$1:$O$13</definedName>
    <definedName name="_xlnm.Print_Area" localSheetId="2">'Victime Blessée'!$A$1:$L$20</definedName>
  </definedNames>
  <calcPr calcId="162913"/>
</workbook>
</file>

<file path=xl/calcChain.xml><?xml version="1.0" encoding="utf-8"?>
<calcChain xmlns="http://schemas.openxmlformats.org/spreadsheetml/2006/main">
  <c r="E20" i="1" l="1"/>
  <c r="E18" i="1"/>
  <c r="M13" i="1"/>
  <c r="B7" i="2" l="1"/>
  <c r="J6" i="3"/>
  <c r="J6" i="2"/>
  <c r="I6" i="1"/>
  <c r="F12" i="3"/>
  <c r="F4" i="1"/>
  <c r="F4" i="2"/>
  <c r="J5" i="2"/>
  <c r="K5" i="2"/>
  <c r="F14" i="3"/>
  <c r="F15" i="3" l="1"/>
  <c r="J5" i="3"/>
  <c r="J16" i="3"/>
  <c r="I5" i="1"/>
  <c r="E16" i="1"/>
  <c r="E15" i="1"/>
  <c r="E13" i="1"/>
  <c r="C12" i="2"/>
  <c r="C11" i="2"/>
  <c r="C10" i="2"/>
  <c r="C7" i="2"/>
  <c r="E17" i="1"/>
  <c r="J14" i="3" l="1"/>
  <c r="J15" i="3"/>
  <c r="J7" i="3"/>
  <c r="E10" i="2"/>
  <c r="G10" i="2"/>
  <c r="I12" i="2"/>
  <c r="I11" i="2"/>
  <c r="G11" i="2"/>
  <c r="G12" i="2"/>
  <c r="E12" i="2"/>
  <c r="I10" i="2"/>
  <c r="K12" i="2" l="1"/>
  <c r="E11" i="2"/>
  <c r="K11" i="2" s="1"/>
  <c r="J8" i="3"/>
  <c r="K10" i="2"/>
  <c r="G13" i="2"/>
  <c r="I13" i="2"/>
  <c r="C16" i="1"/>
  <c r="B12" i="1"/>
  <c r="J5" i="1"/>
  <c r="E13" i="2" l="1"/>
  <c r="K13" i="2"/>
  <c r="O6" i="2" s="1"/>
  <c r="J13" i="3"/>
  <c r="J12" i="3"/>
  <c r="G13" i="1"/>
  <c r="G14" i="1"/>
  <c r="I7" i="1"/>
  <c r="I8" i="1" s="1"/>
  <c r="G15" i="1"/>
  <c r="G16" i="1"/>
  <c r="I14" i="1"/>
  <c r="I12" i="1"/>
  <c r="I13" i="1"/>
  <c r="I16" i="1"/>
  <c r="I15" i="1"/>
  <c r="E12" i="1"/>
  <c r="G12" i="1"/>
  <c r="J17" i="3" l="1"/>
  <c r="O8" i="3" s="1"/>
  <c r="K14" i="1"/>
  <c r="I18" i="1"/>
  <c r="G18" i="1"/>
  <c r="F17" i="1"/>
  <c r="K17" i="1" s="1"/>
  <c r="F15" i="1"/>
  <c r="K15" i="1" s="1"/>
  <c r="F16" i="1"/>
  <c r="K16" i="1" s="1"/>
  <c r="F12" i="1"/>
  <c r="K12" i="1" s="1"/>
  <c r="F13" i="1"/>
  <c r="K13" i="1" s="1"/>
  <c r="K18" i="1" l="1"/>
  <c r="N8" i="1" s="1"/>
  <c r="F18" i="1"/>
</calcChain>
</file>

<file path=xl/sharedStrings.xml><?xml version="1.0" encoding="utf-8"?>
<sst xmlns="http://schemas.openxmlformats.org/spreadsheetml/2006/main" count="168" uniqueCount="84">
  <si>
    <t>EVALUATION DE L'INDEMNITE</t>
  </si>
  <si>
    <t>VICTIME MAJEURE DECEDEE</t>
  </si>
  <si>
    <t>Date d'accident</t>
  </si>
  <si>
    <t>S.N.M.G en vigueur</t>
  </si>
  <si>
    <t>Valeur de point</t>
  </si>
  <si>
    <t>Date de naissance</t>
  </si>
  <si>
    <t>Age</t>
  </si>
  <si>
    <t>Activité</t>
  </si>
  <si>
    <t>Revenu mensuel réel</t>
  </si>
  <si>
    <t>Situation familiale</t>
  </si>
  <si>
    <t>Mariée</t>
  </si>
  <si>
    <t>Veuve</t>
  </si>
  <si>
    <t>Divorcée</t>
  </si>
  <si>
    <t>Conjoint (s)</t>
  </si>
  <si>
    <t>Enfants majeurs</t>
  </si>
  <si>
    <t>Enfants mineurs</t>
  </si>
  <si>
    <t>Père</t>
  </si>
  <si>
    <t>mère</t>
  </si>
  <si>
    <t>Autres pers à charge</t>
  </si>
  <si>
    <t>Oui</t>
  </si>
  <si>
    <t>Non</t>
  </si>
  <si>
    <t>Revenu annuel de réf.</t>
  </si>
  <si>
    <t>Prénom de la victime</t>
  </si>
  <si>
    <t>Nom de la victime</t>
  </si>
  <si>
    <t>Préjudice matériel</t>
  </si>
  <si>
    <t>Coeff</t>
  </si>
  <si>
    <t>Nbre</t>
  </si>
  <si>
    <t>Montant</t>
  </si>
  <si>
    <t>Préjudice moral</t>
  </si>
  <si>
    <t>Frais funéraires</t>
  </si>
  <si>
    <t>AYANTS DROIT</t>
  </si>
  <si>
    <t>Sans profession</t>
  </si>
  <si>
    <t>VICTIME MINEURE DECEDEE</t>
  </si>
  <si>
    <t>Tuteur légal</t>
  </si>
  <si>
    <t>Mère</t>
  </si>
  <si>
    <t>Capital constitutif</t>
  </si>
  <si>
    <t>DZD</t>
  </si>
  <si>
    <t xml:space="preserve">Total </t>
  </si>
  <si>
    <t>Total</t>
  </si>
  <si>
    <t>VICTIME BLESSEE</t>
  </si>
  <si>
    <t>NATURE DU PREJUDICE</t>
  </si>
  <si>
    <t>IPP</t>
  </si>
  <si>
    <t>ITT</t>
  </si>
  <si>
    <t>PD</t>
  </si>
  <si>
    <t>INCAPACITE PERMANENTE PARTIELLE</t>
  </si>
  <si>
    <t>PRETIUM DOLORIS</t>
  </si>
  <si>
    <t>ASSISTANCE D'UNE TIERCE PERSONNE</t>
  </si>
  <si>
    <t>Jours</t>
  </si>
  <si>
    <t>Léger</t>
  </si>
  <si>
    <t>Moyen</t>
  </si>
  <si>
    <t>Important</t>
  </si>
  <si>
    <t>Montant de l'indemnité</t>
  </si>
  <si>
    <t>Célibataire</t>
  </si>
  <si>
    <t>Salariée</t>
  </si>
  <si>
    <t>Profession libre</t>
  </si>
  <si>
    <t>Retraitée</t>
  </si>
  <si>
    <t>ans</t>
  </si>
  <si>
    <t>&lt;</t>
  </si>
  <si>
    <t>Légères</t>
  </si>
  <si>
    <t>Moyennes</t>
  </si>
  <si>
    <t>Graves</t>
  </si>
  <si>
    <t>INCAPACITE TEMPORAIRE DU TRAVAIL</t>
  </si>
  <si>
    <t>EVALUATION</t>
  </si>
  <si>
    <t>INITIALE</t>
  </si>
  <si>
    <t>&gt;</t>
  </si>
  <si>
    <t>FRAIS MEDICAUX &amp; PHARMACEUTIQUES</t>
  </si>
  <si>
    <t>FMP</t>
  </si>
  <si>
    <t>ATP</t>
  </si>
  <si>
    <t xml:space="preserve">Degré des blessures </t>
  </si>
  <si>
    <t>AAA</t>
  </si>
  <si>
    <t>BB</t>
  </si>
  <si>
    <t>Qualité de la victime</t>
  </si>
  <si>
    <t>Passager véhicule assuré</t>
  </si>
  <si>
    <t>Piéton</t>
  </si>
  <si>
    <t>Passager véhicule adverse</t>
  </si>
  <si>
    <t>Conducteur véhicule assuré</t>
  </si>
  <si>
    <t>Conducteur véhicule adverse</t>
  </si>
  <si>
    <t>Contre Piéton</t>
  </si>
  <si>
    <t>Seul</t>
  </si>
  <si>
    <t>Collision</t>
  </si>
  <si>
    <t>Nature de l'accident</t>
  </si>
  <si>
    <t>Taux de responsabilité</t>
  </si>
  <si>
    <t>Montant à provisionner DZD</t>
  </si>
  <si>
    <t>FINALE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</si>
</sst>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2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theme="8" tint="-0.499984740745262"/>
      <name val="Calibri"/>
      <family val="2"/>
    </font>
    <font>
      <b/>
      <sz val="11"/>
      <color theme="8" tint="-0.499984740745262"/>
      <name val="Calibri"/>
      <family val="2"/>
      <scheme val="minor"/>
    </font>
    <font>
      <b/>
      <sz val="20"/>
      <color theme="8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8" tint="-0.499984740745262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97">
    <xf numFmtId="0" fontId="0" fillId="0" borderId="0" xfId="0"/>
    <xf numFmtId="0" fontId="0" fillId="0" borderId="0" xfId="0" applyAlignment="1">
      <alignment vertical="center"/>
    </xf>
    <xf numFmtId="0" fontId="0" fillId="0" borderId="0" xfId="0"/>
    <xf numFmtId="1" fontId="7" fillId="3" borderId="2" xfId="0" applyNumberFormat="1" applyFont="1" applyFill="1" applyBorder="1" applyAlignment="1">
      <alignment horizontal="right" vertical="center"/>
    </xf>
    <xf numFmtId="1" fontId="6" fillId="3" borderId="3" xfId="0" applyNumberFormat="1" applyFont="1" applyFill="1" applyBorder="1" applyAlignment="1">
      <alignment horizontal="left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4" fontId="5" fillId="5" borderId="24" xfId="0" applyNumberFormat="1" applyFont="1" applyFill="1" applyBorder="1" applyAlignment="1">
      <alignment horizontal="center" vertical="center"/>
    </xf>
    <xf numFmtId="0" fontId="6" fillId="5" borderId="25" xfId="0" applyFont="1" applyFill="1" applyBorder="1" applyAlignment="1">
      <alignment horizontal="center" vertical="center"/>
    </xf>
    <xf numFmtId="4" fontId="5" fillId="5" borderId="26" xfId="0" applyNumberFormat="1" applyFont="1" applyFill="1" applyBorder="1" applyAlignment="1">
      <alignment horizontal="center" vertical="center"/>
    </xf>
    <xf numFmtId="0" fontId="6" fillId="5" borderId="27" xfId="0" applyFont="1" applyFill="1" applyBorder="1" applyAlignment="1">
      <alignment horizontal="center" vertical="center"/>
    </xf>
    <xf numFmtId="4" fontId="5" fillId="5" borderId="28" xfId="0" applyNumberFormat="1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2" fillId="5" borderId="0" xfId="0" applyFont="1" applyFill="1" applyAlignment="1">
      <alignment vertical="center"/>
    </xf>
    <xf numFmtId="0" fontId="0" fillId="5" borderId="0" xfId="0" applyFill="1" applyBorder="1" applyAlignment="1">
      <alignment vertical="center"/>
    </xf>
    <xf numFmtId="0" fontId="2" fillId="6" borderId="1" xfId="0" applyFont="1" applyFill="1" applyBorder="1" applyAlignment="1">
      <alignment horizontal="right" vertical="center"/>
    </xf>
    <xf numFmtId="3" fontId="5" fillId="5" borderId="0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vertical="center"/>
    </xf>
    <xf numFmtId="0" fontId="6" fillId="5" borderId="29" xfId="0" applyFont="1" applyFill="1" applyBorder="1" applyAlignment="1">
      <alignment horizontal="center" vertical="center"/>
    </xf>
    <xf numFmtId="4" fontId="6" fillId="5" borderId="30" xfId="0" applyNumberFormat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vertical="center"/>
    </xf>
    <xf numFmtId="0" fontId="0" fillId="5" borderId="0" xfId="0" applyFill="1"/>
    <xf numFmtId="0" fontId="6" fillId="5" borderId="0" xfId="0" applyFont="1" applyFill="1" applyBorder="1" applyAlignment="1">
      <alignment vertical="center"/>
    </xf>
    <xf numFmtId="3" fontId="5" fillId="5" borderId="0" xfId="0" applyNumberFormat="1" applyFont="1" applyFill="1" applyBorder="1" applyAlignment="1">
      <alignment vertical="center"/>
    </xf>
    <xf numFmtId="0" fontId="6" fillId="6" borderId="1" xfId="0" applyFont="1" applyFill="1" applyBorder="1" applyAlignment="1">
      <alignment vertical="center"/>
    </xf>
    <xf numFmtId="0" fontId="9" fillId="6" borderId="1" xfId="0" applyFont="1" applyFill="1" applyBorder="1" applyAlignment="1">
      <alignment vertical="center"/>
    </xf>
    <xf numFmtId="0" fontId="6" fillId="5" borderId="0" xfId="0" applyFont="1" applyFill="1" applyAlignment="1">
      <alignment vertical="center"/>
    </xf>
    <xf numFmtId="0" fontId="6" fillId="6" borderId="1" xfId="0" applyFont="1" applyFill="1" applyBorder="1" applyAlignment="1">
      <alignment horizontal="right" vertical="center"/>
    </xf>
    <xf numFmtId="0" fontId="6" fillId="6" borderId="1" xfId="0" applyFont="1" applyFill="1" applyBorder="1" applyAlignment="1">
      <alignment horizontal="right" vertical="center"/>
    </xf>
    <xf numFmtId="3" fontId="5" fillId="6" borderId="1" xfId="0" applyNumberFormat="1" applyFont="1" applyFill="1" applyBorder="1" applyAlignment="1">
      <alignment horizontal="center" vertical="center"/>
    </xf>
    <xf numFmtId="0" fontId="6" fillId="5" borderId="0" xfId="0" applyFont="1" applyFill="1" applyBorder="1" applyAlignment="1">
      <alignment vertical="center" wrapText="1"/>
    </xf>
    <xf numFmtId="4" fontId="6" fillId="5" borderId="0" xfId="0" applyNumberFormat="1" applyFont="1" applyFill="1" applyBorder="1" applyAlignment="1">
      <alignment vertical="center"/>
    </xf>
    <xf numFmtId="14" fontId="0" fillId="0" borderId="0" xfId="0" applyNumberFormat="1"/>
    <xf numFmtId="43" fontId="0" fillId="0" borderId="0" xfId="1" applyFont="1"/>
    <xf numFmtId="0" fontId="0" fillId="0" borderId="0" xfId="0" applyAlignment="1">
      <alignment horizontal="center"/>
    </xf>
    <xf numFmtId="43" fontId="2" fillId="0" borderId="0" xfId="1" applyFont="1"/>
    <xf numFmtId="0" fontId="6" fillId="3" borderId="3" xfId="0" applyFont="1" applyFill="1" applyBorder="1" applyAlignment="1">
      <alignment vertical="center"/>
    </xf>
    <xf numFmtId="4" fontId="5" fillId="3" borderId="47" xfId="0" applyNumberFormat="1" applyFont="1" applyFill="1" applyBorder="1" applyAlignment="1">
      <alignment horizontal="center" vertical="center"/>
    </xf>
    <xf numFmtId="4" fontId="5" fillId="3" borderId="48" xfId="0" applyNumberFormat="1" applyFont="1" applyFill="1" applyBorder="1" applyAlignment="1">
      <alignment horizontal="center" vertical="center"/>
    </xf>
    <xf numFmtId="4" fontId="5" fillId="3" borderId="49" xfId="0" applyNumberFormat="1" applyFont="1" applyFill="1" applyBorder="1" applyAlignment="1">
      <alignment horizontal="center" vertical="center"/>
    </xf>
    <xf numFmtId="4" fontId="6" fillId="3" borderId="45" xfId="0" applyNumberFormat="1" applyFont="1" applyFill="1" applyBorder="1" applyAlignment="1">
      <alignment horizontal="center" vertical="center"/>
    </xf>
    <xf numFmtId="3" fontId="6" fillId="5" borderId="0" xfId="0" applyNumberFormat="1" applyFont="1" applyFill="1" applyBorder="1" applyAlignment="1">
      <alignment vertical="center"/>
    </xf>
    <xf numFmtId="4" fontId="5" fillId="5" borderId="0" xfId="0" applyNumberFormat="1" applyFont="1" applyFill="1" applyBorder="1" applyAlignment="1">
      <alignment vertical="center"/>
    </xf>
    <xf numFmtId="0" fontId="6" fillId="6" borderId="1" xfId="0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 applyProtection="1">
      <alignment horizontal="center" vertical="center"/>
      <protection locked="0" hidden="1"/>
    </xf>
    <xf numFmtId="3" fontId="4" fillId="2" borderId="1" xfId="0" applyNumberFormat="1" applyFont="1" applyFill="1" applyBorder="1" applyAlignment="1" applyProtection="1">
      <alignment horizontal="center" vertical="center"/>
      <protection locked="0" hidden="1"/>
    </xf>
    <xf numFmtId="3" fontId="4" fillId="2" borderId="2" xfId="0" applyNumberFormat="1" applyFont="1" applyFill="1" applyBorder="1" applyAlignment="1" applyProtection="1">
      <alignment horizontal="center" vertical="center"/>
      <protection locked="0" hidden="1"/>
    </xf>
    <xf numFmtId="3" fontId="4" fillId="2" borderId="5" xfId="0" applyNumberFormat="1" applyFont="1" applyFill="1" applyBorder="1" applyAlignment="1" applyProtection="1">
      <alignment horizontal="center" vertical="center"/>
      <protection locked="0" hidden="1"/>
    </xf>
    <xf numFmtId="0" fontId="1" fillId="2" borderId="1" xfId="0" applyFont="1" applyFill="1" applyBorder="1" applyAlignment="1" applyProtection="1">
      <alignment horizontal="center" vertical="center"/>
      <protection locked="0" hidden="1"/>
    </xf>
    <xf numFmtId="0" fontId="1" fillId="2" borderId="1" xfId="0" applyFont="1" applyFill="1" applyBorder="1" applyAlignment="1" applyProtection="1">
      <alignment vertical="center"/>
      <protection locked="0" hidden="1"/>
    </xf>
    <xf numFmtId="0" fontId="0" fillId="0" borderId="0" xfId="0" applyAlignment="1" applyProtection="1">
      <alignment vertical="center"/>
      <protection hidden="1"/>
    </xf>
    <xf numFmtId="0" fontId="11" fillId="0" borderId="54" xfId="0" applyFont="1" applyBorder="1"/>
    <xf numFmtId="9" fontId="11" fillId="0" borderId="55" xfId="0" applyNumberFormat="1" applyFont="1" applyBorder="1"/>
    <xf numFmtId="0" fontId="11" fillId="0" borderId="55" xfId="0" applyFont="1" applyBorder="1"/>
    <xf numFmtId="0" fontId="11" fillId="0" borderId="51" xfId="0" applyFont="1" applyBorder="1"/>
    <xf numFmtId="0" fontId="11" fillId="0" borderId="0" xfId="0" applyFont="1" applyBorder="1"/>
    <xf numFmtId="0" fontId="11" fillId="0" borderId="57" xfId="0" applyFont="1" applyBorder="1"/>
    <xf numFmtId="0" fontId="11" fillId="0" borderId="58" xfId="0" applyFont="1" applyBorder="1"/>
    <xf numFmtId="0" fontId="11" fillId="0" borderId="53" xfId="0" applyFont="1" applyBorder="1"/>
    <xf numFmtId="0" fontId="11" fillId="0" borderId="59" xfId="0" applyFont="1" applyBorder="1"/>
    <xf numFmtId="0" fontId="11" fillId="0" borderId="50" xfId="0" applyFont="1" applyBorder="1"/>
    <xf numFmtId="0" fontId="11" fillId="0" borderId="5" xfId="0" applyFont="1" applyBorder="1"/>
    <xf numFmtId="0" fontId="2" fillId="6" borderId="50" xfId="0" applyFont="1" applyFill="1" applyBorder="1" applyAlignment="1">
      <alignment horizontal="right" vertical="center"/>
    </xf>
    <xf numFmtId="0" fontId="3" fillId="5" borderId="0" xfId="0" applyFont="1" applyFill="1" applyAlignment="1">
      <alignment vertical="center"/>
    </xf>
    <xf numFmtId="0" fontId="11" fillId="0" borderId="55" xfId="0" applyFont="1" applyBorder="1" applyAlignment="1">
      <alignment vertical="center"/>
    </xf>
    <xf numFmtId="0" fontId="11" fillId="0" borderId="57" xfId="0" applyFont="1" applyFill="1" applyBorder="1"/>
    <xf numFmtId="0" fontId="11" fillId="0" borderId="0" xfId="0" applyFont="1" applyBorder="1" applyAlignment="1">
      <alignment vertical="center"/>
    </xf>
    <xf numFmtId="9" fontId="5" fillId="3" borderId="1" xfId="0" applyNumberFormat="1" applyFont="1" applyFill="1" applyBorder="1" applyAlignment="1" applyProtection="1">
      <alignment horizontal="center" vertical="center"/>
      <protection hidden="1"/>
    </xf>
    <xf numFmtId="4" fontId="6" fillId="5" borderId="0" xfId="0" applyNumberFormat="1" applyFont="1" applyFill="1" applyBorder="1" applyAlignment="1" applyProtection="1">
      <alignment vertical="center"/>
      <protection hidden="1"/>
    </xf>
    <xf numFmtId="3" fontId="5" fillId="3" borderId="2" xfId="0" applyNumberFormat="1" applyFont="1" applyFill="1" applyBorder="1" applyAlignment="1" applyProtection="1">
      <alignment horizontal="center" vertical="center"/>
      <protection hidden="1"/>
    </xf>
    <xf numFmtId="0" fontId="12" fillId="5" borderId="0" xfId="0" applyFont="1" applyFill="1" applyAlignment="1">
      <alignment vertical="center"/>
    </xf>
    <xf numFmtId="1" fontId="13" fillId="3" borderId="2" xfId="0" applyNumberFormat="1" applyFont="1" applyFill="1" applyBorder="1" applyAlignment="1">
      <alignment horizontal="right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6" fillId="6" borderId="50" xfId="0" applyFont="1" applyFill="1" applyBorder="1" applyAlignment="1">
      <alignment vertical="center"/>
    </xf>
    <xf numFmtId="9" fontId="1" fillId="2" borderId="50" xfId="2" applyFont="1" applyFill="1" applyBorder="1" applyAlignment="1" applyProtection="1">
      <alignment horizontal="center" vertical="center"/>
      <protection locked="0" hidden="1"/>
    </xf>
    <xf numFmtId="0" fontId="11" fillId="0" borderId="0" xfId="0" applyFont="1"/>
    <xf numFmtId="0" fontId="11" fillId="0" borderId="54" xfId="0" applyFont="1" applyBorder="1" applyAlignment="1">
      <alignment vertical="center"/>
    </xf>
    <xf numFmtId="0" fontId="11" fillId="0" borderId="56" xfId="0" applyFont="1" applyBorder="1" applyAlignment="1">
      <alignment vertical="center"/>
    </xf>
    <xf numFmtId="0" fontId="11" fillId="0" borderId="0" xfId="0" applyFont="1" applyAlignment="1">
      <alignment vertical="center"/>
    </xf>
    <xf numFmtId="9" fontId="11" fillId="0" borderId="0" xfId="0" applyNumberFormat="1" applyFont="1" applyAlignment="1">
      <alignment vertical="center"/>
    </xf>
    <xf numFmtId="0" fontId="11" fillId="0" borderId="51" xfId="0" applyFont="1" applyBorder="1" applyAlignment="1">
      <alignment vertical="center"/>
    </xf>
    <xf numFmtId="0" fontId="11" fillId="0" borderId="57" xfId="0" applyFont="1" applyBorder="1" applyAlignment="1">
      <alignment vertical="center"/>
    </xf>
    <xf numFmtId="13" fontId="11" fillId="0" borderId="0" xfId="0" applyNumberFormat="1" applyFont="1" applyAlignment="1">
      <alignment vertical="center"/>
    </xf>
    <xf numFmtId="0" fontId="11" fillId="0" borderId="58" xfId="0" applyFont="1" applyBorder="1" applyAlignment="1">
      <alignment vertical="center"/>
    </xf>
    <xf numFmtId="0" fontId="11" fillId="0" borderId="59" xfId="0" applyFont="1" applyBorder="1" applyAlignment="1">
      <alignment vertical="center"/>
    </xf>
    <xf numFmtId="0" fontId="15" fillId="0" borderId="0" xfId="0" applyFont="1"/>
    <xf numFmtId="14" fontId="15" fillId="0" borderId="0" xfId="0" applyNumberFormat="1" applyFont="1"/>
    <xf numFmtId="43" fontId="15" fillId="0" borderId="0" xfId="1" applyFont="1"/>
    <xf numFmtId="0" fontId="15" fillId="0" borderId="0" xfId="0" applyFont="1" applyAlignment="1">
      <alignment horizontal="center"/>
    </xf>
    <xf numFmtId="14" fontId="11" fillId="0" borderId="0" xfId="0" applyNumberFormat="1" applyFont="1"/>
    <xf numFmtId="43" fontId="11" fillId="0" borderId="0" xfId="1" applyFont="1"/>
    <xf numFmtId="43" fontId="1" fillId="0" borderId="0" xfId="1" applyFont="1"/>
    <xf numFmtId="0" fontId="11" fillId="0" borderId="0" xfId="0" applyFont="1" applyAlignment="1">
      <alignment horizontal="center"/>
    </xf>
    <xf numFmtId="0" fontId="19" fillId="0" borderId="0" xfId="0" applyFont="1"/>
    <xf numFmtId="0" fontId="11" fillId="0" borderId="0" xfId="0" applyFont="1" applyProtection="1"/>
    <xf numFmtId="14" fontId="15" fillId="0" borderId="0" xfId="0" applyNumberFormat="1" applyFont="1" applyAlignment="1">
      <alignment vertical="center"/>
    </xf>
    <xf numFmtId="0" fontId="15" fillId="0" borderId="0" xfId="0" applyNumberFormat="1" applyFont="1" applyAlignment="1">
      <alignment vertical="center"/>
    </xf>
    <xf numFmtId="0" fontId="17" fillId="0" borderId="0" xfId="0" applyNumberFormat="1" applyFont="1" applyAlignment="1">
      <alignment vertical="center"/>
    </xf>
    <xf numFmtId="4" fontId="18" fillId="3" borderId="8" xfId="0" applyNumberFormat="1" applyFont="1" applyFill="1" applyBorder="1" applyAlignment="1">
      <alignment horizontal="center" vertical="center"/>
    </xf>
    <xf numFmtId="4" fontId="18" fillId="3" borderId="10" xfId="0" applyNumberFormat="1" applyFont="1" applyFill="1" applyBorder="1" applyAlignment="1">
      <alignment horizontal="center" vertical="center"/>
    </xf>
    <xf numFmtId="0" fontId="17" fillId="3" borderId="44" xfId="0" applyFont="1" applyFill="1" applyBorder="1" applyAlignment="1">
      <alignment horizontal="center" vertical="center" wrapText="1"/>
    </xf>
    <xf numFmtId="0" fontId="17" fillId="3" borderId="45" xfId="0" applyFont="1" applyFill="1" applyBorder="1" applyAlignment="1">
      <alignment horizontal="center" vertical="center" wrapText="1"/>
    </xf>
    <xf numFmtId="0" fontId="6" fillId="3" borderId="44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4" fontId="6" fillId="5" borderId="9" xfId="0" applyNumberFormat="1" applyFont="1" applyFill="1" applyBorder="1" applyAlignment="1">
      <alignment horizontal="center" vertical="center"/>
    </xf>
    <xf numFmtId="4" fontId="6" fillId="5" borderId="10" xfId="0" applyNumberFormat="1" applyFont="1" applyFill="1" applyBorder="1" applyAlignment="1">
      <alignment horizontal="center" vertical="center"/>
    </xf>
    <xf numFmtId="4" fontId="5" fillId="5" borderId="15" xfId="0" applyNumberFormat="1" applyFont="1" applyFill="1" applyBorder="1" applyAlignment="1">
      <alignment horizontal="center" vertical="center"/>
    </xf>
    <xf numFmtId="4" fontId="5" fillId="5" borderId="16" xfId="0" applyNumberFormat="1" applyFont="1" applyFill="1" applyBorder="1" applyAlignment="1">
      <alignment horizontal="center" vertical="center"/>
    </xf>
    <xf numFmtId="4" fontId="5" fillId="5" borderId="17" xfId="0" applyNumberFormat="1" applyFont="1" applyFill="1" applyBorder="1" applyAlignment="1">
      <alignment horizontal="center" vertical="center"/>
    </xf>
    <xf numFmtId="4" fontId="5" fillId="5" borderId="18" xfId="0" applyNumberFormat="1" applyFont="1" applyFill="1" applyBorder="1" applyAlignment="1">
      <alignment horizontal="center" vertical="center"/>
    </xf>
    <xf numFmtId="4" fontId="6" fillId="5" borderId="19" xfId="0" applyNumberFormat="1" applyFont="1" applyFill="1" applyBorder="1" applyAlignment="1">
      <alignment horizontal="center" vertical="center"/>
    </xf>
    <xf numFmtId="4" fontId="6" fillId="5" borderId="20" xfId="0" applyNumberFormat="1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left" vertical="center"/>
    </xf>
    <xf numFmtId="0" fontId="6" fillId="6" borderId="3" xfId="0" applyFont="1" applyFill="1" applyBorder="1" applyAlignment="1">
      <alignment horizontal="left" vertical="center"/>
    </xf>
    <xf numFmtId="0" fontId="10" fillId="6" borderId="7" xfId="0" applyFont="1" applyFill="1" applyBorder="1" applyAlignment="1">
      <alignment horizontal="center" vertical="center"/>
    </xf>
    <xf numFmtId="0" fontId="10" fillId="6" borderId="31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10" fillId="6" borderId="32" xfId="0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left" vertical="center"/>
      <protection locked="0" hidden="1"/>
    </xf>
    <xf numFmtId="49" fontId="14" fillId="2" borderId="1" xfId="0" applyNumberFormat="1" applyFont="1" applyFill="1" applyBorder="1" applyAlignment="1" applyProtection="1">
      <alignment horizontal="left" vertical="center"/>
      <protection locked="0" hidden="1"/>
    </xf>
    <xf numFmtId="4" fontId="4" fillId="2" borderId="2" xfId="0" applyNumberFormat="1" applyFont="1" applyFill="1" applyBorder="1" applyAlignment="1" applyProtection="1">
      <alignment horizontal="center" vertical="center"/>
      <protection locked="0" hidden="1"/>
    </xf>
    <xf numFmtId="4" fontId="4" fillId="2" borderId="4" xfId="0" applyNumberFormat="1" applyFont="1" applyFill="1" applyBorder="1" applyAlignment="1" applyProtection="1">
      <alignment horizontal="center" vertical="center"/>
      <protection locked="0" hidden="1"/>
    </xf>
    <xf numFmtId="14" fontId="1" fillId="2" borderId="6" xfId="0" applyNumberFormat="1" applyFont="1" applyFill="1" applyBorder="1" applyAlignment="1" applyProtection="1">
      <alignment horizontal="center" vertical="center"/>
      <protection locked="0" hidden="1"/>
    </xf>
    <xf numFmtId="0" fontId="12" fillId="5" borderId="0" xfId="0" applyFont="1" applyFill="1" applyAlignment="1">
      <alignment horizontal="center" vertical="center"/>
    </xf>
    <xf numFmtId="0" fontId="6" fillId="6" borderId="2" xfId="0" applyFont="1" applyFill="1" applyBorder="1" applyAlignment="1">
      <alignment horizontal="right" vertical="center"/>
    </xf>
    <xf numFmtId="0" fontId="6" fillId="6" borderId="4" xfId="0" applyFont="1" applyFill="1" applyBorder="1" applyAlignment="1">
      <alignment horizontal="right" vertical="center"/>
    </xf>
    <xf numFmtId="0" fontId="6" fillId="6" borderId="3" xfId="0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4" fontId="6" fillId="3" borderId="9" xfId="0" applyNumberFormat="1" applyFont="1" applyFill="1" applyBorder="1" applyAlignment="1">
      <alignment horizontal="center" vertical="center"/>
    </xf>
    <xf numFmtId="4" fontId="6" fillId="3" borderId="10" xfId="0" applyNumberFormat="1" applyFont="1" applyFill="1" applyBorder="1" applyAlignment="1">
      <alignment horizontal="center" vertical="center"/>
    </xf>
    <xf numFmtId="4" fontId="5" fillId="3" borderId="15" xfId="0" applyNumberFormat="1" applyFont="1" applyFill="1" applyBorder="1" applyAlignment="1">
      <alignment horizontal="center" vertical="center"/>
    </xf>
    <xf numFmtId="4" fontId="5" fillId="3" borderId="16" xfId="0" applyNumberFormat="1" applyFont="1" applyFill="1" applyBorder="1" applyAlignment="1">
      <alignment horizontal="center" vertical="center"/>
    </xf>
    <xf numFmtId="4" fontId="5" fillId="3" borderId="17" xfId="0" applyNumberFormat="1" applyFont="1" applyFill="1" applyBorder="1" applyAlignment="1">
      <alignment horizontal="center" vertical="center"/>
    </xf>
    <xf numFmtId="4" fontId="5" fillId="3" borderId="18" xfId="0" applyNumberFormat="1" applyFont="1" applyFill="1" applyBorder="1" applyAlignment="1">
      <alignment horizontal="center" vertical="center"/>
    </xf>
    <xf numFmtId="4" fontId="5" fillId="3" borderId="19" xfId="0" applyNumberFormat="1" applyFont="1" applyFill="1" applyBorder="1" applyAlignment="1">
      <alignment horizontal="center" vertical="center"/>
    </xf>
    <xf numFmtId="4" fontId="5" fillId="3" borderId="20" xfId="0" applyNumberFormat="1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right" vertical="center"/>
    </xf>
    <xf numFmtId="3" fontId="5" fillId="5" borderId="0" xfId="0" applyNumberFormat="1" applyFont="1" applyFill="1" applyBorder="1" applyAlignment="1">
      <alignment horizontal="center" vertical="center"/>
    </xf>
    <xf numFmtId="3" fontId="5" fillId="3" borderId="2" xfId="0" applyNumberFormat="1" applyFont="1" applyFill="1" applyBorder="1" applyAlignment="1">
      <alignment horizontal="right" vertical="center"/>
    </xf>
    <xf numFmtId="3" fontId="5" fillId="3" borderId="4" xfId="0" applyNumberFormat="1" applyFont="1" applyFill="1" applyBorder="1" applyAlignment="1">
      <alignment horizontal="right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3" fontId="5" fillId="5" borderId="35" xfId="0" applyNumberFormat="1" applyFont="1" applyFill="1" applyBorder="1" applyAlignment="1">
      <alignment horizontal="center" vertical="center"/>
    </xf>
    <xf numFmtId="3" fontId="5" fillId="5" borderId="36" xfId="0" applyNumberFormat="1" applyFont="1" applyFill="1" applyBorder="1" applyAlignment="1">
      <alignment horizontal="center" vertical="center"/>
    </xf>
    <xf numFmtId="3" fontId="5" fillId="5" borderId="41" xfId="0" applyNumberFormat="1" applyFont="1" applyFill="1" applyBorder="1" applyAlignment="1">
      <alignment horizontal="center" vertical="center"/>
    </xf>
    <xf numFmtId="3" fontId="5" fillId="5" borderId="39" xfId="0" applyNumberFormat="1" applyFont="1" applyFill="1" applyBorder="1" applyAlignment="1">
      <alignment horizontal="center" vertical="center"/>
    </xf>
    <xf numFmtId="3" fontId="5" fillId="5" borderId="40" xfId="0" applyNumberFormat="1" applyFont="1" applyFill="1" applyBorder="1" applyAlignment="1">
      <alignment horizontal="center" vertical="center"/>
    </xf>
    <xf numFmtId="3" fontId="5" fillId="5" borderId="33" xfId="0" applyNumberFormat="1" applyFont="1" applyFill="1" applyBorder="1" applyAlignment="1">
      <alignment horizontal="center" vertical="center"/>
    </xf>
    <xf numFmtId="3" fontId="5" fillId="5" borderId="34" xfId="0" applyNumberFormat="1" applyFont="1" applyFill="1" applyBorder="1" applyAlignment="1">
      <alignment horizontal="center" vertical="center"/>
    </xf>
    <xf numFmtId="3" fontId="6" fillId="5" borderId="9" xfId="0" applyNumberFormat="1" applyFont="1" applyFill="1" applyBorder="1" applyAlignment="1">
      <alignment horizontal="center" vertical="center"/>
    </xf>
    <xf numFmtId="3" fontId="6" fillId="5" borderId="10" xfId="0" applyNumberFormat="1" applyFont="1" applyFill="1" applyBorder="1" applyAlignment="1">
      <alignment horizontal="center" vertical="center"/>
    </xf>
    <xf numFmtId="3" fontId="5" fillId="5" borderId="37" xfId="0" applyNumberFormat="1" applyFont="1" applyFill="1" applyBorder="1" applyAlignment="1">
      <alignment horizontal="center" vertical="center"/>
    </xf>
    <xf numFmtId="3" fontId="5" fillId="5" borderId="38" xfId="0" applyNumberFormat="1" applyFont="1" applyFill="1" applyBorder="1" applyAlignment="1">
      <alignment horizontal="center" vertical="center"/>
    </xf>
    <xf numFmtId="3" fontId="5" fillId="5" borderId="42" xfId="0" applyNumberFormat="1" applyFont="1" applyFill="1" applyBorder="1" applyAlignment="1">
      <alignment horizontal="center" vertical="center"/>
    </xf>
    <xf numFmtId="3" fontId="5" fillId="5" borderId="43" xfId="0" applyNumberFormat="1" applyFont="1" applyFill="1" applyBorder="1" applyAlignment="1">
      <alignment horizontal="center" vertical="center"/>
    </xf>
    <xf numFmtId="4" fontId="6" fillId="3" borderId="60" xfId="0" applyNumberFormat="1" applyFont="1" applyFill="1" applyBorder="1" applyAlignment="1">
      <alignment horizontal="center" vertical="center"/>
    </xf>
    <xf numFmtId="4" fontId="6" fillId="3" borderId="52" xfId="0" applyNumberFormat="1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 wrapText="1"/>
    </xf>
    <xf numFmtId="4" fontId="6" fillId="5" borderId="2" xfId="0" applyNumberFormat="1" applyFont="1" applyFill="1" applyBorder="1" applyAlignment="1">
      <alignment horizontal="center" vertical="center"/>
    </xf>
    <xf numFmtId="4" fontId="6" fillId="5" borderId="4" xfId="0" applyNumberFormat="1" applyFont="1" applyFill="1" applyBorder="1" applyAlignment="1">
      <alignment horizontal="center" vertical="center"/>
    </xf>
    <xf numFmtId="3" fontId="4" fillId="2" borderId="2" xfId="0" applyNumberFormat="1" applyFont="1" applyFill="1" applyBorder="1" applyAlignment="1" applyProtection="1">
      <alignment horizontal="left" vertical="center"/>
      <protection locked="0"/>
    </xf>
    <xf numFmtId="3" fontId="4" fillId="2" borderId="3" xfId="0" applyNumberFormat="1" applyFont="1" applyFill="1" applyBorder="1" applyAlignment="1" applyProtection="1">
      <alignment horizontal="left" vertical="center"/>
      <protection locked="0"/>
    </xf>
    <xf numFmtId="4" fontId="1" fillId="2" borderId="5" xfId="0" applyNumberFormat="1" applyFont="1" applyFill="1" applyBorder="1" applyAlignment="1" applyProtection="1">
      <alignment horizontal="center" vertical="center"/>
      <protection locked="0" hidden="1"/>
    </xf>
    <xf numFmtId="14" fontId="1" fillId="2" borderId="1" xfId="0" applyNumberFormat="1" applyFont="1" applyFill="1" applyBorder="1" applyAlignment="1" applyProtection="1">
      <alignment horizontal="left" vertical="center"/>
      <protection locked="0" hidden="1"/>
    </xf>
    <xf numFmtId="14" fontId="1" fillId="2" borderId="50" xfId="0" applyNumberFormat="1" applyFont="1" applyFill="1" applyBorder="1" applyAlignment="1" applyProtection="1">
      <alignment horizontal="center" vertical="center"/>
      <protection locked="0" hidden="1"/>
    </xf>
    <xf numFmtId="0" fontId="6" fillId="6" borderId="1" xfId="0" applyFont="1" applyFill="1" applyBorder="1" applyAlignment="1">
      <alignment horizontal="right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left" vertical="center"/>
    </xf>
    <xf numFmtId="3" fontId="4" fillId="2" borderId="2" xfId="0" applyNumberFormat="1" applyFont="1" applyFill="1" applyBorder="1" applyAlignment="1" applyProtection="1">
      <alignment horizontal="center" vertical="center"/>
      <protection locked="0" hidden="1"/>
    </xf>
    <xf numFmtId="3" fontId="4" fillId="2" borderId="3" xfId="0" applyNumberFormat="1" applyFont="1" applyFill="1" applyBorder="1" applyAlignment="1" applyProtection="1">
      <alignment horizontal="center" vertical="center"/>
      <protection locked="0" hidden="1"/>
    </xf>
    <xf numFmtId="4" fontId="1" fillId="2" borderId="2" xfId="0" applyNumberFormat="1" applyFont="1" applyFill="1" applyBorder="1" applyAlignment="1" applyProtection="1">
      <alignment horizontal="center" vertical="center"/>
      <protection locked="0" hidden="1"/>
    </xf>
    <xf numFmtId="4" fontId="1" fillId="2" borderId="4" xfId="0" applyNumberFormat="1" applyFont="1" applyFill="1" applyBorder="1" applyAlignment="1" applyProtection="1">
      <alignment horizontal="center" vertical="center"/>
      <protection locked="0" hidden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0</xdr:row>
      <xdr:rowOff>0</xdr:rowOff>
    </xdr:from>
    <xdr:to>
      <xdr:col>10</xdr:col>
      <xdr:colOff>757291</xdr:colOff>
      <xdr:row>2</xdr:row>
      <xdr:rowOff>85725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33850" y="0"/>
          <a:ext cx="1919341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133350</xdr:colOff>
      <xdr:row>0</xdr:row>
      <xdr:rowOff>0</xdr:rowOff>
    </xdr:from>
    <xdr:to>
      <xdr:col>11</xdr:col>
      <xdr:colOff>466725</xdr:colOff>
      <xdr:row>2</xdr:row>
      <xdr:rowOff>102435</xdr:rowOff>
    </xdr:to>
    <xdr:pic>
      <xdr:nvPicPr>
        <xdr:cNvPr id="205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62350" y="0"/>
          <a:ext cx="1600200" cy="597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0</xdr:row>
      <xdr:rowOff>9525</xdr:rowOff>
    </xdr:from>
    <xdr:to>
      <xdr:col>12</xdr:col>
      <xdr:colOff>4816</xdr:colOff>
      <xdr:row>2</xdr:row>
      <xdr:rowOff>95250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71900" y="9525"/>
          <a:ext cx="1843141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A1:X25"/>
  <sheetViews>
    <sheetView showGridLines="0" tabSelected="1" topLeftCell="A5" workbookViewId="0">
      <selection activeCell="E12" sqref="E12"/>
    </sheetView>
  </sheetViews>
  <sheetFormatPr baseColWidth="10" defaultRowHeight="15" x14ac:dyDescent="0.25"/>
  <cols>
    <col min="1" max="1" width="20.140625" style="1" customWidth="1"/>
    <col min="2" max="2" width="4.7109375" style="1" bestFit="1" customWidth="1"/>
    <col min="3" max="3" width="6.7109375" style="1" customWidth="1"/>
    <col min="4" max="4" width="5.7109375" style="1" bestFit="1" customWidth="1"/>
    <col min="5" max="5" width="6.85546875" style="1" customWidth="1"/>
    <col min="6" max="6" width="13" style="1" customWidth="1"/>
    <col min="7" max="7" width="4.7109375" style="1" customWidth="1"/>
    <col min="8" max="8" width="6.42578125" style="1" customWidth="1"/>
    <col min="9" max="9" width="6" style="1" customWidth="1"/>
    <col min="10" max="10" width="5.140625" style="1" customWidth="1"/>
    <col min="11" max="11" width="16.5703125" style="1" bestFit="1" customWidth="1"/>
    <col min="12" max="12" width="3" style="1" bestFit="1" customWidth="1"/>
    <col min="13" max="13" width="22" style="77" bestFit="1" customWidth="1"/>
    <col min="14" max="14" width="26.28515625" style="77" customWidth="1"/>
    <col min="15" max="15" width="7.42578125" style="77" customWidth="1"/>
    <col min="16" max="16" width="4.140625" style="85" bestFit="1" customWidth="1"/>
    <col min="17" max="17" width="4.7109375" style="85" bestFit="1" customWidth="1"/>
    <col min="18" max="18" width="11.42578125" style="85"/>
    <col min="19" max="19" width="15" style="85" bestFit="1" customWidth="1"/>
    <col min="20" max="24" width="11.42578125" style="85"/>
    <col min="25" max="16384" width="11.42578125" style="1"/>
  </cols>
  <sheetData>
    <row r="1" spans="1:22" ht="20.100000000000001" customHeight="1" x14ac:dyDescent="0.25">
      <c r="A1" s="17"/>
      <c r="B1" s="121" t="s">
        <v>1</v>
      </c>
      <c r="C1" s="122"/>
      <c r="D1" s="122"/>
      <c r="E1" s="122"/>
      <c r="F1" s="123"/>
      <c r="G1" s="18"/>
      <c r="H1" s="18"/>
      <c r="I1" s="16"/>
      <c r="J1" s="16"/>
      <c r="K1" s="16"/>
      <c r="N1" s="78"/>
      <c r="P1" s="82">
        <v>0</v>
      </c>
      <c r="Q1" s="83" t="s">
        <v>19</v>
      </c>
      <c r="R1" s="58" t="s">
        <v>10</v>
      </c>
      <c r="S1" s="84" t="s">
        <v>53</v>
      </c>
      <c r="T1" s="85" t="s">
        <v>73</v>
      </c>
      <c r="U1" s="86">
        <v>0</v>
      </c>
      <c r="V1" s="85" t="s">
        <v>77</v>
      </c>
    </row>
    <row r="2" spans="1:22" ht="20.100000000000001" customHeight="1" thickBot="1" x14ac:dyDescent="0.3">
      <c r="A2" s="17"/>
      <c r="B2" s="124" t="s">
        <v>0</v>
      </c>
      <c r="C2" s="125"/>
      <c r="D2" s="125"/>
      <c r="E2" s="125"/>
      <c r="F2" s="126"/>
      <c r="G2" s="18"/>
      <c r="H2" s="18"/>
      <c r="I2" s="16"/>
      <c r="J2" s="16"/>
      <c r="K2" s="16"/>
      <c r="P2" s="82">
        <v>1</v>
      </c>
      <c r="Q2" s="87" t="s">
        <v>20</v>
      </c>
      <c r="R2" s="60" t="s">
        <v>52</v>
      </c>
      <c r="S2" s="88" t="s">
        <v>54</v>
      </c>
      <c r="T2" s="85" t="s">
        <v>75</v>
      </c>
      <c r="U2" s="89">
        <v>0.25</v>
      </c>
      <c r="V2" s="85" t="s">
        <v>78</v>
      </c>
    </row>
    <row r="3" spans="1:22" ht="20.100000000000001" customHeight="1" x14ac:dyDescent="0.25">
      <c r="A3" s="29" t="s">
        <v>2</v>
      </c>
      <c r="B3" s="137">
        <v>41399</v>
      </c>
      <c r="C3" s="137"/>
      <c r="D3" s="16"/>
      <c r="E3" s="16"/>
      <c r="F3" s="16"/>
      <c r="G3" s="16"/>
      <c r="H3" s="16"/>
      <c r="I3" s="16"/>
      <c r="J3" s="16"/>
      <c r="K3" s="16"/>
      <c r="P3" s="82">
        <v>2</v>
      </c>
      <c r="Q3" s="87"/>
      <c r="R3" s="60" t="s">
        <v>11</v>
      </c>
      <c r="S3" s="88" t="s">
        <v>31</v>
      </c>
      <c r="T3" s="85" t="s">
        <v>72</v>
      </c>
      <c r="U3" s="89">
        <v>0.33333333333333331</v>
      </c>
      <c r="V3" s="85" t="s">
        <v>79</v>
      </c>
    </row>
    <row r="4" spans="1:22" ht="20.100000000000001" customHeight="1" x14ac:dyDescent="0.25">
      <c r="A4" s="29" t="s">
        <v>23</v>
      </c>
      <c r="B4" s="134" t="s">
        <v>69</v>
      </c>
      <c r="C4" s="134"/>
      <c r="D4" s="134"/>
      <c r="E4" s="16"/>
      <c r="F4" s="138" t="str">
        <f>IF((B3-B6)/365.2425&lt;19,"ATTENTION VICTIME MINEURE","")</f>
        <v/>
      </c>
      <c r="G4" s="138"/>
      <c r="H4" s="138"/>
      <c r="I4" s="138"/>
      <c r="J4" s="138"/>
      <c r="K4" s="75"/>
      <c r="P4" s="82">
        <v>3</v>
      </c>
      <c r="Q4" s="90"/>
      <c r="R4" s="63" t="s">
        <v>12</v>
      </c>
      <c r="S4" s="91" t="s">
        <v>55</v>
      </c>
      <c r="T4" s="85" t="s">
        <v>76</v>
      </c>
      <c r="U4" s="86">
        <v>0.5</v>
      </c>
    </row>
    <row r="5" spans="1:22" ht="20.100000000000001" customHeight="1" x14ac:dyDescent="0.25">
      <c r="A5" s="29" t="s">
        <v>22</v>
      </c>
      <c r="B5" s="134" t="s">
        <v>70</v>
      </c>
      <c r="C5" s="134"/>
      <c r="D5" s="134"/>
      <c r="E5" s="16"/>
      <c r="F5" s="31"/>
      <c r="G5" s="31"/>
      <c r="H5" s="33" t="s">
        <v>6</v>
      </c>
      <c r="I5" s="3">
        <f>IF((B3-B6)/365.2425&lt;19,"!",(B3-B6)/365.2425)</f>
        <v>48.340486115389091</v>
      </c>
      <c r="J5" s="4" t="str">
        <f>IF((B3-B6)/365.23&lt;19,"","ans")</f>
        <v>ans</v>
      </c>
      <c r="K5" s="16"/>
      <c r="M5" s="29" t="s">
        <v>80</v>
      </c>
      <c r="N5" s="53" t="s">
        <v>77</v>
      </c>
      <c r="P5" s="82">
        <v>4</v>
      </c>
      <c r="T5" s="85" t="s">
        <v>74</v>
      </c>
      <c r="U5" s="89">
        <v>0.66666666666666663</v>
      </c>
    </row>
    <row r="6" spans="1:22" ht="20.100000000000001" customHeight="1" x14ac:dyDescent="0.25">
      <c r="A6" s="29" t="s">
        <v>5</v>
      </c>
      <c r="B6" s="137">
        <v>23743</v>
      </c>
      <c r="C6" s="137"/>
      <c r="D6" s="16"/>
      <c r="E6" s="16"/>
      <c r="F6" s="139" t="s">
        <v>3</v>
      </c>
      <c r="G6" s="140"/>
      <c r="H6" s="141"/>
      <c r="I6" s="142">
        <f>IF(B3&lt;39082,10000,IF(B3&lt;40178,12000,IF(B3&lt;40908,15000,18000)))</f>
        <v>18000</v>
      </c>
      <c r="J6" s="142"/>
      <c r="K6" s="16"/>
      <c r="M6" s="29" t="s">
        <v>71</v>
      </c>
      <c r="N6" s="53" t="s">
        <v>75</v>
      </c>
      <c r="P6" s="82">
        <v>5</v>
      </c>
      <c r="U6" s="89">
        <v>0.75</v>
      </c>
    </row>
    <row r="7" spans="1:22" ht="20.100000000000001" customHeight="1" thickBot="1" x14ac:dyDescent="0.3">
      <c r="A7" s="29" t="s">
        <v>7</v>
      </c>
      <c r="B7" s="133" t="s">
        <v>55</v>
      </c>
      <c r="C7" s="133"/>
      <c r="D7" s="133"/>
      <c r="E7" s="16"/>
      <c r="F7" s="139" t="s">
        <v>21</v>
      </c>
      <c r="G7" s="140"/>
      <c r="H7" s="141"/>
      <c r="I7" s="142">
        <f>IF(B7="","",IF(B7="Sans profession",I6*12,IF(B8&lt;I6,I6*12,IF(B8&gt;I6*8,I6*8*12,B8*12))))</f>
        <v>456000</v>
      </c>
      <c r="J7" s="142"/>
      <c r="K7" s="16"/>
      <c r="M7" s="80" t="s">
        <v>81</v>
      </c>
      <c r="N7" s="81">
        <v>1</v>
      </c>
      <c r="P7" s="82">
        <v>6</v>
      </c>
      <c r="U7" s="86">
        <v>1</v>
      </c>
    </row>
    <row r="8" spans="1:22" ht="20.100000000000001" customHeight="1" x14ac:dyDescent="0.25">
      <c r="A8" s="29" t="s">
        <v>8</v>
      </c>
      <c r="B8" s="135">
        <v>38000</v>
      </c>
      <c r="C8" s="136"/>
      <c r="D8" s="22" t="s">
        <v>36</v>
      </c>
      <c r="E8" s="16"/>
      <c r="F8" s="139" t="s">
        <v>4</v>
      </c>
      <c r="G8" s="140"/>
      <c r="H8" s="141"/>
      <c r="I8" s="143">
        <f>ROUND(((I7/50)+1740),0)</f>
        <v>10860</v>
      </c>
      <c r="J8" s="143"/>
      <c r="K8" s="16"/>
      <c r="M8" s="107" t="s">
        <v>82</v>
      </c>
      <c r="N8" s="105">
        <f>IF(N5="Collision",N7*K18,K18)</f>
        <v>1932000</v>
      </c>
      <c r="P8" s="82">
        <v>7</v>
      </c>
    </row>
    <row r="9" spans="1:22" ht="20.100000000000001" customHeight="1" thickBot="1" x14ac:dyDescent="0.3">
      <c r="A9" s="29" t="s">
        <v>9</v>
      </c>
      <c r="B9" s="133" t="s">
        <v>10</v>
      </c>
      <c r="C9" s="133"/>
      <c r="D9" s="16"/>
      <c r="E9" s="16"/>
      <c r="F9" s="16"/>
      <c r="G9" s="16"/>
      <c r="H9" s="16"/>
      <c r="I9" s="16"/>
      <c r="J9" s="16"/>
      <c r="K9" s="16"/>
      <c r="M9" s="108"/>
      <c r="N9" s="106"/>
      <c r="P9" s="82">
        <v>8</v>
      </c>
    </row>
    <row r="10" spans="1:22" ht="20.100000000000001" customHeight="1" x14ac:dyDescent="0.25">
      <c r="A10" s="16"/>
      <c r="B10" s="16"/>
      <c r="C10" s="16"/>
      <c r="D10" s="16"/>
      <c r="E10" s="127" t="s">
        <v>24</v>
      </c>
      <c r="F10" s="128"/>
      <c r="G10" s="129" t="s">
        <v>28</v>
      </c>
      <c r="H10" s="130"/>
      <c r="I10" s="129" t="s">
        <v>29</v>
      </c>
      <c r="J10" s="130"/>
      <c r="K10" s="109" t="s">
        <v>37</v>
      </c>
      <c r="M10" s="102"/>
      <c r="N10" s="104"/>
      <c r="P10" s="82">
        <v>9</v>
      </c>
    </row>
    <row r="11" spans="1:22" ht="20.100000000000001" customHeight="1" x14ac:dyDescent="0.25">
      <c r="A11" s="119" t="s">
        <v>30</v>
      </c>
      <c r="B11" s="120"/>
      <c r="C11" s="48" t="s">
        <v>26</v>
      </c>
      <c r="D11" s="16"/>
      <c r="E11" s="5" t="s">
        <v>25</v>
      </c>
      <c r="F11" s="6" t="s">
        <v>27</v>
      </c>
      <c r="G11" s="131"/>
      <c r="H11" s="132"/>
      <c r="I11" s="131"/>
      <c r="J11" s="132"/>
      <c r="K11" s="110"/>
      <c r="M11" s="102"/>
      <c r="N11" s="103"/>
      <c r="P11" s="82">
        <v>10</v>
      </c>
    </row>
    <row r="12" spans="1:22" ht="20.100000000000001" customHeight="1" x14ac:dyDescent="0.25">
      <c r="A12" s="29" t="s">
        <v>13</v>
      </c>
      <c r="B12" s="7" t="str">
        <f>IF(B9="Mariée","Oui","Non")</f>
        <v>Oui</v>
      </c>
      <c r="C12" s="53">
        <v>1</v>
      </c>
      <c r="D12" s="16"/>
      <c r="E12" s="10">
        <f>IF(B12="oui",30,0)</f>
        <v>30</v>
      </c>
      <c r="F12" s="11">
        <f>IF(E$18&gt;100,E12*I$8*100/E$18,E12*I$8)</f>
        <v>162900</v>
      </c>
      <c r="G12" s="113">
        <f>IF(B12="oui",C12*3*I$6,0)</f>
        <v>54000</v>
      </c>
      <c r="H12" s="114"/>
      <c r="I12" s="113">
        <f>IF(B12="oui",5*I$6,0)</f>
        <v>90000</v>
      </c>
      <c r="J12" s="114"/>
      <c r="K12" s="42">
        <f>IF(F12+G12+I12=0,"",F12+G12+I12)</f>
        <v>306900</v>
      </c>
      <c r="M12" s="102"/>
      <c r="N12" s="103"/>
      <c r="P12" s="82">
        <v>11</v>
      </c>
    </row>
    <row r="13" spans="1:22" ht="20.100000000000001" customHeight="1" x14ac:dyDescent="0.25">
      <c r="A13" s="29" t="s">
        <v>15</v>
      </c>
      <c r="B13" s="54" t="s">
        <v>19</v>
      </c>
      <c r="C13" s="53">
        <v>10</v>
      </c>
      <c r="D13" s="16"/>
      <c r="E13" s="12">
        <f>IF(B13="oui",C13*15,0)*IF(B9="Célibataire",0,1)</f>
        <v>150</v>
      </c>
      <c r="F13" s="13">
        <f>IF(E$18&gt;100,E13*I$8*100/E$18,E13*I$8)</f>
        <v>814500</v>
      </c>
      <c r="G13" s="115">
        <f>IF(B13="oui",C13*3*I$6,0)*IF(B$9="Célibataire",0,1)</f>
        <v>540000</v>
      </c>
      <c r="H13" s="116"/>
      <c r="I13" s="115">
        <f>IF(B13="oui",5*I$6,0)*IF(B$12="oui",0,1)*IF(B$15="oui",0,1)*IF(B$16="oui",0,1)*IF(B$14="oui",0,1)</f>
        <v>0</v>
      </c>
      <c r="J13" s="116"/>
      <c r="K13" s="43">
        <f t="shared" ref="K13:K17" si="0">IF(F13+G13+I13=0,"",F13+G13+I13)</f>
        <v>1354500</v>
      </c>
      <c r="M13" s="103">
        <f>30*100/200</f>
        <v>15</v>
      </c>
      <c r="N13" s="104"/>
      <c r="P13" s="82">
        <v>12</v>
      </c>
    </row>
    <row r="14" spans="1:22" ht="20.100000000000001" customHeight="1" x14ac:dyDescent="0.25">
      <c r="A14" s="29" t="s">
        <v>14</v>
      </c>
      <c r="B14" s="54" t="s">
        <v>19</v>
      </c>
      <c r="C14" s="53">
        <v>1</v>
      </c>
      <c r="D14" s="16"/>
      <c r="E14" s="12"/>
      <c r="F14" s="13"/>
      <c r="G14" s="115">
        <f>IF(B14="oui",C14*3*I$6,0)*IF(B$9="Célibataire",0,1)</f>
        <v>54000</v>
      </c>
      <c r="H14" s="116"/>
      <c r="I14" s="115">
        <f>IF(B14="oui",5*I$6,0)*IF(B$12="oui",0,1)*IF(B$15="oui",0,1)*IF(B$16="oui",0,1)</f>
        <v>0</v>
      </c>
      <c r="J14" s="116"/>
      <c r="K14" s="43">
        <f t="shared" si="0"/>
        <v>54000</v>
      </c>
      <c r="M14" s="102"/>
      <c r="N14" s="103"/>
      <c r="P14" s="82">
        <v>13</v>
      </c>
    </row>
    <row r="15" spans="1:22" ht="20.100000000000001" customHeight="1" x14ac:dyDescent="0.25">
      <c r="A15" s="29" t="s">
        <v>16</v>
      </c>
      <c r="B15" s="54" t="s">
        <v>19</v>
      </c>
      <c r="C15" s="8">
        <v>1</v>
      </c>
      <c r="D15" s="16"/>
      <c r="E15" s="12">
        <f>IF(B15="oui",1,0)*IF(B9="Célibataire",20,10)</f>
        <v>10</v>
      </c>
      <c r="F15" s="13">
        <f>IF(E$18&gt;100,E15*I$8*100/E$18,E15*I$8)</f>
        <v>54300</v>
      </c>
      <c r="G15" s="115">
        <f>IF(B15="oui",C15*3*I$6,0)</f>
        <v>54000</v>
      </c>
      <c r="H15" s="116"/>
      <c r="I15" s="115">
        <f>IF(B15="oui",5*I$6,0)*IF(B$12="oui",0,1)</f>
        <v>0</v>
      </c>
      <c r="J15" s="116"/>
      <c r="K15" s="43">
        <f t="shared" si="0"/>
        <v>108300</v>
      </c>
      <c r="M15" s="102"/>
      <c r="N15" s="104"/>
      <c r="P15" s="82">
        <v>14</v>
      </c>
    </row>
    <row r="16" spans="1:22" ht="20.100000000000001" customHeight="1" x14ac:dyDescent="0.25">
      <c r="A16" s="29" t="s">
        <v>17</v>
      </c>
      <c r="B16" s="54" t="s">
        <v>19</v>
      </c>
      <c r="C16" s="8">
        <f>IF(B16="oui",1,0)</f>
        <v>1</v>
      </c>
      <c r="D16" s="16"/>
      <c r="E16" s="12">
        <f>IF(B16="oui",1,0)*IF(B9="Célibataire",20,10)</f>
        <v>10</v>
      </c>
      <c r="F16" s="13">
        <f>IF(E$18&gt;100,E16*I$8*100/E$18,E16*I$8)</f>
        <v>54300</v>
      </c>
      <c r="G16" s="115">
        <f>IF(B16="oui",C16*3*I$6,0)</f>
        <v>54000</v>
      </c>
      <c r="H16" s="116"/>
      <c r="I16" s="115">
        <f>IF(B16="oui",5*I$6,0)*IF(B$12="oui",0,1)*IF(B$15="oui",0,1)</f>
        <v>0</v>
      </c>
      <c r="J16" s="116"/>
      <c r="K16" s="43">
        <f t="shared" si="0"/>
        <v>108300</v>
      </c>
      <c r="M16" s="102"/>
      <c r="N16" s="103"/>
      <c r="O16" s="79"/>
      <c r="P16" s="82">
        <v>15</v>
      </c>
    </row>
    <row r="17" spans="1:14" ht="20.100000000000001" customHeight="1" x14ac:dyDescent="0.25">
      <c r="A17" s="29" t="s">
        <v>18</v>
      </c>
      <c r="B17" s="54" t="s">
        <v>20</v>
      </c>
      <c r="C17" s="53"/>
      <c r="D17" s="16"/>
      <c r="E17" s="14">
        <f>IF(B17="oui",C17*10,0)</f>
        <v>0</v>
      </c>
      <c r="F17" s="15">
        <f>IF(E$18&gt;100,E17*I$8*100/E$18,E17*I$8)</f>
        <v>0</v>
      </c>
      <c r="G17" s="117"/>
      <c r="H17" s="118"/>
      <c r="I17" s="117"/>
      <c r="J17" s="118"/>
      <c r="K17" s="44" t="str">
        <f t="shared" si="0"/>
        <v/>
      </c>
      <c r="M17" s="102"/>
      <c r="N17" s="103"/>
    </row>
    <row r="18" spans="1:14" ht="20.100000000000001" customHeight="1" thickBot="1" x14ac:dyDescent="0.3">
      <c r="A18" s="16"/>
      <c r="B18" s="16"/>
      <c r="C18" s="18"/>
      <c r="D18" s="25" t="s">
        <v>38</v>
      </c>
      <c r="E18" s="23">
        <f>SUM(E12:E17)</f>
        <v>200</v>
      </c>
      <c r="F18" s="24">
        <f>SUM(F12:F17)</f>
        <v>1086000</v>
      </c>
      <c r="G18" s="111">
        <f>SUM(G12:H16)</f>
        <v>756000</v>
      </c>
      <c r="H18" s="112"/>
      <c r="I18" s="111">
        <f>SUM(I12:J16)</f>
        <v>90000</v>
      </c>
      <c r="J18" s="112"/>
      <c r="K18" s="45">
        <f>SUM(K12:L17)</f>
        <v>1932000</v>
      </c>
    </row>
    <row r="19" spans="1:14" ht="20.100000000000001" customHeight="1" x14ac:dyDescent="0.25">
      <c r="C19" s="55"/>
    </row>
    <row r="20" spans="1:14" ht="20.100000000000001" customHeight="1" x14ac:dyDescent="0.25">
      <c r="E20" s="1">
        <f>IF(E18&gt;100,E12*100/E18,"")</f>
        <v>15</v>
      </c>
    </row>
    <row r="21" spans="1:14" ht="20.100000000000001" customHeight="1" x14ac:dyDescent="0.25"/>
    <row r="22" spans="1:14" ht="20.100000000000001" customHeight="1" x14ac:dyDescent="0.25"/>
    <row r="23" spans="1:14" ht="20.100000000000001" customHeight="1" x14ac:dyDescent="0.25"/>
    <row r="24" spans="1:14" ht="20.100000000000001" customHeight="1" x14ac:dyDescent="0.25"/>
    <row r="25" spans="1:14" ht="20.100000000000001" customHeight="1" x14ac:dyDescent="0.25"/>
  </sheetData>
  <mergeCells count="37">
    <mergeCell ref="I6:J6"/>
    <mergeCell ref="I7:J7"/>
    <mergeCell ref="I8:J8"/>
    <mergeCell ref="G15:H15"/>
    <mergeCell ref="G16:H16"/>
    <mergeCell ref="I10:J11"/>
    <mergeCell ref="A11:B11"/>
    <mergeCell ref="B1:F1"/>
    <mergeCell ref="B2:F2"/>
    <mergeCell ref="E10:F10"/>
    <mergeCell ref="G10:H11"/>
    <mergeCell ref="B7:D7"/>
    <mergeCell ref="B4:D4"/>
    <mergeCell ref="B5:D5"/>
    <mergeCell ref="B9:C9"/>
    <mergeCell ref="B8:C8"/>
    <mergeCell ref="B3:C3"/>
    <mergeCell ref="B6:C6"/>
    <mergeCell ref="F4:J4"/>
    <mergeCell ref="F6:H6"/>
    <mergeCell ref="F7:H7"/>
    <mergeCell ref="F8:H8"/>
    <mergeCell ref="N8:N9"/>
    <mergeCell ref="M8:M9"/>
    <mergeCell ref="K10:K11"/>
    <mergeCell ref="G18:H18"/>
    <mergeCell ref="I18:J18"/>
    <mergeCell ref="I12:J12"/>
    <mergeCell ref="I15:J15"/>
    <mergeCell ref="I16:J16"/>
    <mergeCell ref="I17:J17"/>
    <mergeCell ref="I13:J13"/>
    <mergeCell ref="I14:J14"/>
    <mergeCell ref="G17:H17"/>
    <mergeCell ref="G12:H12"/>
    <mergeCell ref="G13:H13"/>
    <mergeCell ref="G14:H14"/>
  </mergeCells>
  <dataValidations count="9">
    <dataValidation type="list" allowBlank="1" showInputMessage="1" showErrorMessage="1" error="VEUILLEZ CHOISIR DANS LA LISTE" sqref="B9:C9">
      <formula1>$R$1:$R$4</formula1>
    </dataValidation>
    <dataValidation type="list" allowBlank="1" showInputMessage="1" showErrorMessage="1" error="VEUILLEZ CHOISIR DANS LA LISTE" sqref="B7:D7">
      <formula1>$S$1:$S$4</formula1>
    </dataValidation>
    <dataValidation type="list" allowBlank="1" showInputMessage="1" showErrorMessage="1" sqref="B13:B17">
      <formula1>$Q$1:$Q$2</formula1>
    </dataValidation>
    <dataValidation type="list" allowBlank="1" showInputMessage="1" showErrorMessage="1" sqref="C12">
      <formula1>$P$2:$P$5</formula1>
    </dataValidation>
    <dataValidation type="list" allowBlank="1" showInputMessage="1" showErrorMessage="1" sqref="C13:C14 C17">
      <formula1>$P$1:$P$13</formula1>
    </dataValidation>
    <dataValidation type="date" operator="greaterThan" allowBlank="1" showInputMessage="1" showErrorMessage="1" error="LA DATE NE PEUT ETRE ANTERIEURE AU 01/09/2005" sqref="B3:C3">
      <formula1>38595</formula1>
    </dataValidation>
    <dataValidation type="list" allowBlank="1" showInputMessage="1" showErrorMessage="1" sqref="N5">
      <formula1>$V$1:$V$3</formula1>
    </dataValidation>
    <dataValidation type="list" allowBlank="1" showInputMessage="1" showErrorMessage="1" sqref="N6">
      <formula1>$T$1:$T$5</formula1>
    </dataValidation>
    <dataValidation type="list" allowBlank="1" showInputMessage="1" showErrorMessage="1" sqref="N7">
      <formula1>$U$1:$U$7</formula1>
    </dataValidation>
  </dataValidations>
  <pageMargins left="0.70866141732283472" right="0.70866141732283472" top="0.74803149606299213" bottom="0.74803149606299213" header="0.31496062992125984" footer="0.31496062992125984"/>
  <pageSetup paperSize="9" scale="89" orientation="landscape" verticalDpi="0" r:id="rId1"/>
  <colBreaks count="1" manualBreakCount="1">
    <brk id="11" max="17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AA18"/>
  <sheetViews>
    <sheetView showGridLines="0" workbookViewId="0">
      <selection activeCell="F4" sqref="F4:L4"/>
    </sheetView>
  </sheetViews>
  <sheetFormatPr baseColWidth="10" defaultRowHeight="15" x14ac:dyDescent="0.25"/>
  <cols>
    <col min="1" max="1" width="20.140625" customWidth="1"/>
    <col min="2" max="2" width="4.7109375" bestFit="1" customWidth="1"/>
    <col min="3" max="3" width="6.7109375" customWidth="1"/>
    <col min="4" max="4" width="5.42578125" bestFit="1" customWidth="1"/>
    <col min="5" max="5" width="5.42578125" customWidth="1"/>
    <col min="6" max="6" width="3.85546875" customWidth="1"/>
    <col min="7" max="7" width="5.140625" customWidth="1"/>
    <col min="8" max="8" width="4.28515625" customWidth="1"/>
    <col min="9" max="9" width="6" customWidth="1"/>
    <col min="10" max="10" width="4" customWidth="1"/>
    <col min="11" max="11" width="4.85546875" customWidth="1"/>
    <col min="12" max="12" width="7.140625" customWidth="1"/>
    <col min="13" max="13" width="2.28515625" customWidth="1"/>
    <col min="14" max="14" width="23.28515625" style="2" customWidth="1"/>
    <col min="15" max="15" width="27.140625" style="2" bestFit="1" customWidth="1"/>
    <col min="16" max="16" width="11.42578125" style="2"/>
    <col min="17" max="17" width="11.42578125" style="92"/>
    <col min="18" max="18" width="4.7109375" style="82" bestFit="1" customWidth="1"/>
    <col min="19" max="19" width="2.5703125" style="82" customWidth="1"/>
    <col min="20" max="22" width="11.42578125" style="82"/>
  </cols>
  <sheetData>
    <row r="1" spans="1:27" ht="20.100000000000001" customHeight="1" x14ac:dyDescent="0.25">
      <c r="A1" s="17"/>
      <c r="B1" s="121" t="s">
        <v>32</v>
      </c>
      <c r="C1" s="122"/>
      <c r="D1" s="122"/>
      <c r="E1" s="122"/>
      <c r="F1" s="122"/>
      <c r="G1" s="123"/>
      <c r="H1" s="18"/>
      <c r="I1" s="16"/>
      <c r="J1" s="16"/>
      <c r="K1" s="26"/>
      <c r="L1" s="68"/>
      <c r="R1" s="65" t="s">
        <v>19</v>
      </c>
      <c r="S1" s="85"/>
      <c r="T1" s="85" t="s">
        <v>73</v>
      </c>
      <c r="U1" s="86">
        <v>0</v>
      </c>
      <c r="V1" s="85" t="s">
        <v>77</v>
      </c>
    </row>
    <row r="2" spans="1:27" ht="20.100000000000001" customHeight="1" thickBot="1" x14ac:dyDescent="0.3">
      <c r="A2" s="17"/>
      <c r="B2" s="124" t="s">
        <v>0</v>
      </c>
      <c r="C2" s="125"/>
      <c r="D2" s="125"/>
      <c r="E2" s="125"/>
      <c r="F2" s="125"/>
      <c r="G2" s="126"/>
      <c r="H2" s="18"/>
      <c r="I2" s="16"/>
      <c r="J2" s="16"/>
      <c r="K2" s="26"/>
      <c r="L2" s="26"/>
      <c r="R2" s="66" t="s">
        <v>20</v>
      </c>
      <c r="S2" s="85"/>
      <c r="T2" s="85" t="s">
        <v>75</v>
      </c>
      <c r="U2" s="89">
        <v>0.25</v>
      </c>
      <c r="V2" s="85" t="s">
        <v>78</v>
      </c>
    </row>
    <row r="3" spans="1:27" ht="20.100000000000001" customHeight="1" x14ac:dyDescent="0.25">
      <c r="A3" s="29" t="s">
        <v>2</v>
      </c>
      <c r="B3" s="137">
        <v>43466</v>
      </c>
      <c r="C3" s="137"/>
      <c r="D3" s="16"/>
      <c r="E3" s="16"/>
      <c r="F3" s="16"/>
      <c r="G3" s="16"/>
      <c r="H3" s="16"/>
      <c r="I3" s="16"/>
      <c r="J3" s="16"/>
      <c r="K3" s="26"/>
      <c r="L3" s="26"/>
      <c r="N3" s="29" t="s">
        <v>80</v>
      </c>
      <c r="O3" s="53" t="s">
        <v>77</v>
      </c>
      <c r="S3" s="85"/>
      <c r="T3" s="85" t="s">
        <v>72</v>
      </c>
      <c r="U3" s="89">
        <v>0.33333333333333331</v>
      </c>
      <c r="V3" s="85" t="s">
        <v>79</v>
      </c>
    </row>
    <row r="4" spans="1:27" ht="20.100000000000001" customHeight="1" x14ac:dyDescent="0.25">
      <c r="A4" s="29" t="s">
        <v>23</v>
      </c>
      <c r="B4" s="134" t="s">
        <v>69</v>
      </c>
      <c r="C4" s="134"/>
      <c r="D4" s="134"/>
      <c r="E4" s="16"/>
      <c r="F4" s="138" t="str">
        <f>IF((B3-B6)/365.2425&lt;19,"","ATTENTION VICTIME MAJEURE")</f>
        <v>ATTENTION VICTIME MAJEURE</v>
      </c>
      <c r="G4" s="138"/>
      <c r="H4" s="138"/>
      <c r="I4" s="138"/>
      <c r="J4" s="138"/>
      <c r="K4" s="138"/>
      <c r="L4" s="138"/>
      <c r="N4" s="29" t="s">
        <v>71</v>
      </c>
      <c r="O4" s="53" t="s">
        <v>73</v>
      </c>
      <c r="S4" s="85"/>
      <c r="T4" s="85" t="s">
        <v>76</v>
      </c>
      <c r="U4" s="86">
        <v>0.5</v>
      </c>
      <c r="V4" s="85"/>
    </row>
    <row r="5" spans="1:27" ht="20.100000000000001" customHeight="1" thickBot="1" x14ac:dyDescent="0.3">
      <c r="A5" s="29" t="s">
        <v>22</v>
      </c>
      <c r="B5" s="134" t="s">
        <v>70</v>
      </c>
      <c r="C5" s="134"/>
      <c r="D5" s="134"/>
      <c r="E5" s="16"/>
      <c r="F5" s="17"/>
      <c r="G5" s="17"/>
      <c r="H5" s="17"/>
      <c r="I5" s="67" t="s">
        <v>6</v>
      </c>
      <c r="J5" s="76" t="str">
        <f>IF((B3-B6)/365.2425&lt;19,(B3-B6)/365.2425,"!")</f>
        <v>!</v>
      </c>
      <c r="K5" s="4" t="str">
        <f>IF((B3-B6)/365.23&lt;19,"ans","")</f>
        <v/>
      </c>
      <c r="L5" s="26"/>
      <c r="N5" s="80" t="s">
        <v>81</v>
      </c>
      <c r="O5" s="81">
        <v>0.25</v>
      </c>
      <c r="S5" s="85"/>
      <c r="T5" s="85" t="s">
        <v>74</v>
      </c>
      <c r="U5" s="89">
        <v>0.66666666666666663</v>
      </c>
      <c r="V5" s="85"/>
    </row>
    <row r="6" spans="1:27" ht="20.100000000000001" customHeight="1" x14ac:dyDescent="0.25">
      <c r="A6" s="29" t="s">
        <v>5</v>
      </c>
      <c r="B6" s="137">
        <v>31048</v>
      </c>
      <c r="C6" s="137"/>
      <c r="D6" s="16"/>
      <c r="E6" s="16"/>
      <c r="F6" s="156" t="s">
        <v>3</v>
      </c>
      <c r="G6" s="157"/>
      <c r="H6" s="157"/>
      <c r="I6" s="158"/>
      <c r="J6" s="142">
        <f>IF(B3&lt;39082,10000,IF(B3&lt;40178,12000,IF(B3&lt;40908,15000,18000)))</f>
        <v>18000</v>
      </c>
      <c r="K6" s="142"/>
      <c r="L6" s="26"/>
      <c r="N6" s="107" t="s">
        <v>82</v>
      </c>
      <c r="O6" s="105">
        <f>IF(O3="Collision",O5*K13,K13)</f>
        <v>792000</v>
      </c>
      <c r="Q6" s="93"/>
      <c r="R6" s="96"/>
      <c r="S6" s="85"/>
      <c r="T6" s="85"/>
      <c r="U6" s="89">
        <v>0.75</v>
      </c>
      <c r="V6" s="85"/>
      <c r="W6" s="37"/>
    </row>
    <row r="7" spans="1:27" ht="20.100000000000001" customHeight="1" thickBot="1" x14ac:dyDescent="0.3">
      <c r="A7" s="29" t="s">
        <v>35</v>
      </c>
      <c r="B7" s="154">
        <f>IF(((B3-B6)/365.23)&lt;=6,J6*12*2,J6*12*3)</f>
        <v>648000</v>
      </c>
      <c r="C7" s="155" t="e">
        <f>IF(C4="victime majeure",(1740+#REF!/50),IF(((#REF!-#REF!)/365.23)&lt;6,#REF!*12*2,#REF!*12*3))</f>
        <v>#REF!</v>
      </c>
      <c r="D7" s="41" t="s">
        <v>36</v>
      </c>
      <c r="E7" s="16"/>
      <c r="F7" s="152"/>
      <c r="G7" s="152"/>
      <c r="H7" s="152"/>
      <c r="I7" s="153"/>
      <c r="J7" s="153"/>
      <c r="K7" s="26"/>
      <c r="L7" s="26"/>
      <c r="N7" s="108"/>
      <c r="O7" s="106"/>
      <c r="Q7" s="93"/>
      <c r="R7" s="96"/>
      <c r="S7" s="85"/>
      <c r="T7" s="85"/>
      <c r="U7" s="86">
        <v>1</v>
      </c>
      <c r="V7" s="85"/>
      <c r="W7" s="37"/>
    </row>
    <row r="8" spans="1:27" ht="20.100000000000001" customHeight="1" x14ac:dyDescent="0.25">
      <c r="A8" s="16"/>
      <c r="B8" s="16"/>
      <c r="C8" s="16"/>
      <c r="D8" s="16"/>
      <c r="E8" s="129" t="s">
        <v>24</v>
      </c>
      <c r="F8" s="130"/>
      <c r="G8" s="129" t="s">
        <v>28</v>
      </c>
      <c r="H8" s="130"/>
      <c r="I8" s="129" t="s">
        <v>29</v>
      </c>
      <c r="J8" s="130"/>
      <c r="K8" s="129" t="s">
        <v>37</v>
      </c>
      <c r="L8" s="130"/>
      <c r="Q8" s="94"/>
      <c r="R8" s="97"/>
      <c r="S8" s="97"/>
      <c r="T8" s="97"/>
      <c r="U8" s="97"/>
      <c r="V8" s="97"/>
      <c r="W8" s="38"/>
    </row>
    <row r="9" spans="1:27" ht="20.100000000000001" customHeight="1" x14ac:dyDescent="0.25">
      <c r="A9" s="119" t="s">
        <v>30</v>
      </c>
      <c r="B9" s="120"/>
      <c r="C9" s="9"/>
      <c r="D9" s="16"/>
      <c r="E9" s="131"/>
      <c r="F9" s="132"/>
      <c r="G9" s="131"/>
      <c r="H9" s="132"/>
      <c r="I9" s="131"/>
      <c r="J9" s="132"/>
      <c r="K9" s="131"/>
      <c r="L9" s="132"/>
      <c r="W9" s="2"/>
    </row>
    <row r="10" spans="1:27" ht="20.100000000000001" customHeight="1" x14ac:dyDescent="0.25">
      <c r="A10" s="29" t="s">
        <v>16</v>
      </c>
      <c r="B10" s="54" t="s">
        <v>19</v>
      </c>
      <c r="C10" s="21">
        <f>IF(B10="oui",1,0)</f>
        <v>1</v>
      </c>
      <c r="D10" s="16"/>
      <c r="E10" s="159">
        <f>IF(B10="oui",B$7/2,0)*IF(B11="non",2,1)</f>
        <v>648000</v>
      </c>
      <c r="F10" s="160"/>
      <c r="G10" s="159">
        <f>IF(B10="oui",3*J$6,0)</f>
        <v>54000</v>
      </c>
      <c r="H10" s="160"/>
      <c r="I10" s="159">
        <f>IF(B10="oui",5*J$6,0)</f>
        <v>90000</v>
      </c>
      <c r="J10" s="161"/>
      <c r="K10" s="146">
        <f>IF(E10+G10+I10=0,"",E10+G10+I10)</f>
        <v>792000</v>
      </c>
      <c r="L10" s="147"/>
    </row>
    <row r="11" spans="1:27" ht="20.100000000000001" customHeight="1" x14ac:dyDescent="0.25">
      <c r="A11" s="29" t="s">
        <v>34</v>
      </c>
      <c r="B11" s="54" t="s">
        <v>20</v>
      </c>
      <c r="C11" s="21">
        <f t="shared" ref="C11" si="0">IF(B11="oui",1,0)</f>
        <v>0</v>
      </c>
      <c r="D11" s="16"/>
      <c r="E11" s="168">
        <f>IF(B11="oui",B$7/2,0)*IF(B10="non",2,1)</f>
        <v>0</v>
      </c>
      <c r="F11" s="169"/>
      <c r="G11" s="168">
        <f>IF(B11="oui",3*J$6,0)</f>
        <v>0</v>
      </c>
      <c r="H11" s="169"/>
      <c r="I11" s="168">
        <f>IF(B11="oui",5*J$6,0)*IF(B10="oui",0,1)</f>
        <v>0</v>
      </c>
      <c r="J11" s="170"/>
      <c r="K11" s="148" t="str">
        <f t="shared" ref="K11" si="1">IF(E11+G11+I11=0,"",E11+G11+I11)</f>
        <v/>
      </c>
      <c r="L11" s="149"/>
    </row>
    <row r="12" spans="1:27" ht="20.100000000000001" customHeight="1" x14ac:dyDescent="0.25">
      <c r="A12" s="29" t="s">
        <v>33</v>
      </c>
      <c r="B12" s="54" t="s">
        <v>20</v>
      </c>
      <c r="C12" s="21">
        <f>IF(B12="oui",1,0)*IF(B10="oui",0,1)*IF(B11="oui",0,1)</f>
        <v>0</v>
      </c>
      <c r="D12" s="16"/>
      <c r="E12" s="162">
        <f>IF(B12="oui",B7,0)*IF(B10="oui",0,1)*IF(B11="oui",0,1)</f>
        <v>0</v>
      </c>
      <c r="F12" s="163"/>
      <c r="G12" s="162">
        <f>IF(B12="oui",3*J$6,0)*IF(B10="oui",0,1)*IF(B11="oui",0,1)</f>
        <v>0</v>
      </c>
      <c r="H12" s="163"/>
      <c r="I12" s="162">
        <f>IF(B12="oui",5*J$6,0)*IF(B10="oui",0,1)*IF(B11="oui",0,1)</f>
        <v>0</v>
      </c>
      <c r="J12" s="171"/>
      <c r="K12" s="150" t="str">
        <f t="shared" ref="K12" si="2">IF(E12+G12+I12=0,"",E12+G12+I12)</f>
        <v/>
      </c>
      <c r="L12" s="151"/>
    </row>
    <row r="13" spans="1:27" ht="20.100000000000001" customHeight="1" thickBot="1" x14ac:dyDescent="0.3">
      <c r="A13" s="16"/>
      <c r="B13" s="16"/>
      <c r="C13" s="16"/>
      <c r="D13" s="25" t="s">
        <v>38</v>
      </c>
      <c r="E13" s="164">
        <f>SUM(E10:E12)</f>
        <v>648000</v>
      </c>
      <c r="F13" s="165"/>
      <c r="G13" s="166">
        <f>SUM(G10:H12)</f>
        <v>54000</v>
      </c>
      <c r="H13" s="167"/>
      <c r="I13" s="166">
        <f>SUM(I10:J12)</f>
        <v>90000</v>
      </c>
      <c r="J13" s="167"/>
      <c r="K13" s="144">
        <f>SUM(K10:K12)</f>
        <v>792000</v>
      </c>
      <c r="L13" s="145"/>
    </row>
    <row r="14" spans="1:27" x14ac:dyDescent="0.25">
      <c r="M14" s="37"/>
      <c r="N14" s="37"/>
      <c r="O14" s="37"/>
      <c r="P14" s="37"/>
      <c r="Q14" s="93"/>
      <c r="R14" s="96"/>
      <c r="S14" s="96"/>
      <c r="T14" s="96"/>
      <c r="U14" s="96"/>
      <c r="V14" s="96"/>
      <c r="W14" s="37"/>
      <c r="X14" s="37"/>
      <c r="Y14" s="37"/>
      <c r="Z14" s="37"/>
      <c r="AA14" s="37"/>
    </row>
    <row r="15" spans="1:27" x14ac:dyDescent="0.25">
      <c r="M15" s="37"/>
      <c r="N15" s="37"/>
      <c r="O15" s="37"/>
      <c r="P15" s="37"/>
      <c r="Q15" s="93"/>
      <c r="R15" s="96"/>
      <c r="S15" s="96"/>
      <c r="T15" s="96"/>
      <c r="U15" s="96"/>
      <c r="V15" s="96"/>
      <c r="W15" s="37"/>
      <c r="X15" s="37"/>
      <c r="Y15" s="37"/>
      <c r="Z15" s="37"/>
      <c r="AA15" s="37"/>
    </row>
    <row r="16" spans="1:27" x14ac:dyDescent="0.25">
      <c r="M16" s="38"/>
      <c r="N16" s="38"/>
      <c r="O16" s="38"/>
      <c r="P16" s="38"/>
      <c r="Q16" s="94"/>
      <c r="R16" s="97"/>
      <c r="S16" s="98"/>
      <c r="T16" s="97"/>
      <c r="U16" s="97"/>
      <c r="V16" s="97"/>
      <c r="W16" s="40"/>
      <c r="X16" s="38"/>
      <c r="Y16" s="38"/>
      <c r="Z16" s="38"/>
      <c r="AA16" s="40"/>
    </row>
    <row r="17" spans="13:27" x14ac:dyDescent="0.25">
      <c r="M17" s="39"/>
      <c r="N17" s="39"/>
      <c r="O17" s="39"/>
      <c r="P17" s="39"/>
      <c r="Q17" s="95"/>
      <c r="R17" s="99"/>
      <c r="S17" s="99"/>
      <c r="T17" s="99"/>
      <c r="U17" s="99"/>
      <c r="V17" s="99"/>
      <c r="W17" s="39"/>
      <c r="X17" s="39"/>
      <c r="Y17" s="39"/>
      <c r="Z17" s="39"/>
      <c r="AA17" s="39"/>
    </row>
    <row r="18" spans="13:27" x14ac:dyDescent="0.25">
      <c r="M18" s="2"/>
      <c r="W18" s="2"/>
      <c r="X18" s="2"/>
      <c r="Y18" s="2"/>
      <c r="Z18" s="2"/>
      <c r="AA18" s="2"/>
    </row>
  </sheetData>
  <mergeCells count="35">
    <mergeCell ref="E12:F12"/>
    <mergeCell ref="E13:F13"/>
    <mergeCell ref="G13:H13"/>
    <mergeCell ref="I13:J13"/>
    <mergeCell ref="G11:H11"/>
    <mergeCell ref="I11:J11"/>
    <mergeCell ref="G12:H12"/>
    <mergeCell ref="I12:J12"/>
    <mergeCell ref="E11:F11"/>
    <mergeCell ref="G8:H9"/>
    <mergeCell ref="I8:J9"/>
    <mergeCell ref="A9:B9"/>
    <mergeCell ref="F6:I6"/>
    <mergeCell ref="G10:H10"/>
    <mergeCell ref="I10:J10"/>
    <mergeCell ref="E8:F9"/>
    <mergeCell ref="E10:F10"/>
    <mergeCell ref="B1:G1"/>
    <mergeCell ref="B2:G2"/>
    <mergeCell ref="F7:H7"/>
    <mergeCell ref="I7:J7"/>
    <mergeCell ref="B7:C7"/>
    <mergeCell ref="B3:C3"/>
    <mergeCell ref="B4:D4"/>
    <mergeCell ref="B5:D5"/>
    <mergeCell ref="B6:C6"/>
    <mergeCell ref="F4:L4"/>
    <mergeCell ref="N6:N7"/>
    <mergeCell ref="O6:O7"/>
    <mergeCell ref="K13:L13"/>
    <mergeCell ref="J6:K6"/>
    <mergeCell ref="K8:L9"/>
    <mergeCell ref="K10:L10"/>
    <mergeCell ref="K11:L11"/>
    <mergeCell ref="K12:L12"/>
  </mergeCells>
  <dataValidations count="5">
    <dataValidation type="date" operator="greaterThan" allowBlank="1" showInputMessage="1" showErrorMessage="1" sqref="B3:C3">
      <formula1>38595</formula1>
    </dataValidation>
    <dataValidation type="list" allowBlank="1" showInputMessage="1" showErrorMessage="1" sqref="B10:B12">
      <formula1>$R$1:$R$2</formula1>
    </dataValidation>
    <dataValidation type="list" allowBlank="1" showInputMessage="1" showErrorMessage="1" sqref="O5">
      <formula1>$U$1:$U$7</formula1>
    </dataValidation>
    <dataValidation type="list" allowBlank="1" showInputMessage="1" showErrorMessage="1" sqref="O4">
      <formula1>$T$1:$T$5</formula1>
    </dataValidation>
    <dataValidation type="list" allowBlank="1" showInputMessage="1" showErrorMessage="1" sqref="O3">
      <formula1>$V$1:$V$3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Z403"/>
  <sheetViews>
    <sheetView showGridLines="0" workbookViewId="0">
      <selection activeCell="J17" sqref="J17:K17"/>
    </sheetView>
  </sheetViews>
  <sheetFormatPr baseColWidth="10" defaultRowHeight="15" x14ac:dyDescent="0.25"/>
  <cols>
    <col min="1" max="1" width="20.140625" customWidth="1"/>
    <col min="2" max="2" width="4.7109375" bestFit="1" customWidth="1"/>
    <col min="3" max="3" width="6.7109375" customWidth="1"/>
    <col min="4" max="4" width="4.28515625" customWidth="1"/>
    <col min="5" max="5" width="4.42578125" customWidth="1"/>
    <col min="6" max="6" width="6.140625" customWidth="1"/>
    <col min="7" max="7" width="5.7109375" customWidth="1"/>
    <col min="8" max="8" width="5.42578125" style="2" customWidth="1"/>
    <col min="9" max="9" width="4.28515625" customWidth="1"/>
    <col min="10" max="10" width="6" customWidth="1"/>
    <col min="11" max="11" width="5.42578125" customWidth="1"/>
    <col min="12" max="12" width="2.85546875" customWidth="1"/>
    <col min="13" max="13" width="3.140625" customWidth="1"/>
    <col min="14" max="14" width="22.42578125" style="2" customWidth="1"/>
    <col min="15" max="15" width="27.28515625" style="2" bestFit="1" customWidth="1"/>
    <col min="16" max="16" width="10.85546875" style="2" customWidth="1"/>
    <col min="17" max="17" width="11.42578125" style="82"/>
    <col min="18" max="18" width="4.7109375" style="82" bestFit="1" customWidth="1"/>
    <col min="19" max="19" width="6.28515625" style="82" bestFit="1" customWidth="1"/>
    <col min="20" max="20" width="5.140625" style="82" bestFit="1" customWidth="1"/>
    <col min="21" max="21" width="9.85546875" style="82" bestFit="1" customWidth="1"/>
    <col min="22" max="22" width="15" style="82" bestFit="1" customWidth="1"/>
    <col min="23" max="26" width="11.42578125" style="82"/>
  </cols>
  <sheetData>
    <row r="1" spans="1:26" ht="20.100000000000001" customHeight="1" x14ac:dyDescent="0.25">
      <c r="A1" s="17"/>
      <c r="B1" s="121" t="s">
        <v>39</v>
      </c>
      <c r="C1" s="122"/>
      <c r="D1" s="122"/>
      <c r="E1" s="122"/>
      <c r="F1" s="122"/>
      <c r="G1" s="122"/>
      <c r="H1" s="123"/>
      <c r="I1" s="18"/>
      <c r="J1" s="16"/>
      <c r="K1" s="16"/>
      <c r="L1" s="26"/>
      <c r="Q1" s="100" t="s">
        <v>57</v>
      </c>
      <c r="R1" s="56" t="s">
        <v>19</v>
      </c>
      <c r="S1" s="57">
        <v>0.05</v>
      </c>
      <c r="T1" s="58">
        <v>1</v>
      </c>
      <c r="U1" s="58" t="s">
        <v>48</v>
      </c>
      <c r="V1" s="69" t="s">
        <v>53</v>
      </c>
      <c r="W1" s="70" t="s">
        <v>58</v>
      </c>
      <c r="X1" s="85" t="s">
        <v>73</v>
      </c>
      <c r="Y1" s="86">
        <v>0</v>
      </c>
      <c r="Z1" s="85" t="s">
        <v>77</v>
      </c>
    </row>
    <row r="2" spans="1:26" ht="20.100000000000001" customHeight="1" thickBot="1" x14ac:dyDescent="0.3">
      <c r="A2" s="17"/>
      <c r="B2" s="124" t="s">
        <v>0</v>
      </c>
      <c r="C2" s="125"/>
      <c r="D2" s="125"/>
      <c r="E2" s="125"/>
      <c r="F2" s="125"/>
      <c r="G2" s="125"/>
      <c r="H2" s="126"/>
      <c r="I2" s="18"/>
      <c r="J2" s="16"/>
      <c r="K2" s="16"/>
      <c r="L2" s="26"/>
      <c r="R2" s="59" t="s">
        <v>20</v>
      </c>
      <c r="S2" s="57">
        <v>0.06</v>
      </c>
      <c r="T2" s="60">
        <v>3</v>
      </c>
      <c r="U2" s="60" t="s">
        <v>49</v>
      </c>
      <c r="V2" s="71" t="s">
        <v>54</v>
      </c>
      <c r="W2" s="70" t="s">
        <v>59</v>
      </c>
      <c r="X2" s="85" t="s">
        <v>75</v>
      </c>
      <c r="Y2" s="89">
        <v>0.25</v>
      </c>
      <c r="Z2" s="85" t="s">
        <v>78</v>
      </c>
    </row>
    <row r="3" spans="1:26" ht="20.100000000000001" customHeight="1" x14ac:dyDescent="0.25">
      <c r="A3" s="29" t="s">
        <v>2</v>
      </c>
      <c r="B3" s="137">
        <v>40179</v>
      </c>
      <c r="C3" s="137"/>
      <c r="D3" s="16"/>
      <c r="E3" s="16"/>
      <c r="F3" s="16"/>
      <c r="G3" s="16"/>
      <c r="H3" s="16"/>
      <c r="I3" s="16"/>
      <c r="J3" s="16"/>
      <c r="K3" s="16"/>
      <c r="L3" s="26"/>
      <c r="Q3" s="100" t="s">
        <v>64</v>
      </c>
      <c r="R3" s="59"/>
      <c r="S3" s="57">
        <v>7.0000000000000007E-2</v>
      </c>
      <c r="T3" s="60">
        <v>5</v>
      </c>
      <c r="U3" s="60" t="s">
        <v>50</v>
      </c>
      <c r="V3" s="71" t="s">
        <v>31</v>
      </c>
      <c r="W3" s="61" t="s">
        <v>60</v>
      </c>
      <c r="X3" s="85" t="s">
        <v>72</v>
      </c>
      <c r="Y3" s="89">
        <v>0.33333333333333331</v>
      </c>
      <c r="Z3" s="85" t="s">
        <v>79</v>
      </c>
    </row>
    <row r="4" spans="1:26" ht="20.100000000000001" customHeight="1" x14ac:dyDescent="0.25">
      <c r="A4" s="29" t="s">
        <v>23</v>
      </c>
      <c r="B4" s="134" t="s">
        <v>69</v>
      </c>
      <c r="C4" s="134"/>
      <c r="D4" s="134"/>
      <c r="E4" s="16"/>
      <c r="F4" s="16"/>
      <c r="G4" s="16"/>
      <c r="H4" s="16"/>
      <c r="I4" s="16"/>
      <c r="J4" s="16"/>
      <c r="K4" s="16"/>
      <c r="L4" s="26"/>
      <c r="R4" s="59"/>
      <c r="S4" s="57">
        <v>0.08</v>
      </c>
      <c r="T4" s="60">
        <v>7</v>
      </c>
      <c r="U4" s="60"/>
      <c r="V4" s="71" t="s">
        <v>55</v>
      </c>
      <c r="W4" s="61"/>
      <c r="X4" s="85" t="s">
        <v>76</v>
      </c>
      <c r="Y4" s="86">
        <v>0.5</v>
      </c>
      <c r="Z4" s="85"/>
    </row>
    <row r="5" spans="1:26" ht="20.100000000000001" customHeight="1" x14ac:dyDescent="0.25">
      <c r="A5" s="29" t="s">
        <v>22</v>
      </c>
      <c r="B5" s="134" t="s">
        <v>70</v>
      </c>
      <c r="C5" s="134"/>
      <c r="D5" s="134"/>
      <c r="E5" s="16"/>
      <c r="F5" s="31"/>
      <c r="G5" s="31"/>
      <c r="H5" s="31"/>
      <c r="I5" s="32" t="s">
        <v>6</v>
      </c>
      <c r="J5" s="3">
        <f>(B3-B6)/365.2425</f>
        <v>2.0014100221085989</v>
      </c>
      <c r="K5" s="4" t="s">
        <v>56</v>
      </c>
      <c r="L5" s="26"/>
      <c r="N5" s="29" t="s">
        <v>80</v>
      </c>
      <c r="O5" s="53" t="s">
        <v>79</v>
      </c>
      <c r="R5" s="59"/>
      <c r="S5" s="57">
        <v>0.09</v>
      </c>
      <c r="T5" s="60">
        <v>10</v>
      </c>
      <c r="U5" s="60"/>
      <c r="V5" s="60"/>
      <c r="W5" s="61"/>
      <c r="X5" s="85" t="s">
        <v>74</v>
      </c>
      <c r="Y5" s="89">
        <v>0.66666666666666663</v>
      </c>
      <c r="Z5" s="85"/>
    </row>
    <row r="6" spans="1:26" ht="20.100000000000001" customHeight="1" x14ac:dyDescent="0.25">
      <c r="A6" s="29" t="s">
        <v>5</v>
      </c>
      <c r="B6" s="181">
        <v>39448</v>
      </c>
      <c r="C6" s="181"/>
      <c r="D6" s="16"/>
      <c r="E6" s="16"/>
      <c r="F6" s="182" t="s">
        <v>3</v>
      </c>
      <c r="G6" s="182"/>
      <c r="H6" s="182"/>
      <c r="I6" s="182"/>
      <c r="J6" s="142">
        <f>IF(B3&lt;39082,10000,IF(B3&lt;40178,12000,IF(B3&lt;40908,15000,18000)))</f>
        <v>15000</v>
      </c>
      <c r="K6" s="142"/>
      <c r="L6" s="26"/>
      <c r="N6" s="29" t="s">
        <v>71</v>
      </c>
      <c r="O6" s="53" t="s">
        <v>75</v>
      </c>
      <c r="R6" s="59"/>
      <c r="S6" s="57">
        <v>0.1</v>
      </c>
      <c r="T6" s="60">
        <v>15</v>
      </c>
      <c r="U6" s="60"/>
      <c r="V6" s="60"/>
      <c r="W6" s="61"/>
      <c r="X6" s="85"/>
      <c r="Y6" s="89">
        <v>0.75</v>
      </c>
      <c r="Z6" s="85"/>
    </row>
    <row r="7" spans="1:26" s="2" customFormat="1" ht="20.100000000000001" customHeight="1" thickBot="1" x14ac:dyDescent="0.3">
      <c r="A7" s="29" t="s">
        <v>7</v>
      </c>
      <c r="B7" s="180" t="s">
        <v>53</v>
      </c>
      <c r="C7" s="180"/>
      <c r="D7" s="180"/>
      <c r="E7" s="16"/>
      <c r="F7" s="19"/>
      <c r="G7" s="19"/>
      <c r="H7" s="19"/>
      <c r="I7" s="32" t="s">
        <v>21</v>
      </c>
      <c r="J7" s="142">
        <f>IF(B7="","",IF(B7="Sans profession",J6*12,IF(B8&lt;J6,J6*12,IF(B8&gt;J6*8,J6*8*12,B8*12))))</f>
        <v>390000</v>
      </c>
      <c r="K7" s="142"/>
      <c r="L7" s="26"/>
      <c r="N7" s="80" t="s">
        <v>81</v>
      </c>
      <c r="O7" s="81">
        <v>0.5</v>
      </c>
      <c r="Q7" s="82"/>
      <c r="R7" s="59"/>
      <c r="S7" s="57">
        <v>0.11</v>
      </c>
      <c r="T7" s="60">
        <v>20</v>
      </c>
      <c r="U7" s="60"/>
      <c r="V7" s="60"/>
      <c r="W7" s="61"/>
      <c r="X7" s="85"/>
      <c r="Y7" s="86">
        <v>1</v>
      </c>
      <c r="Z7" s="85"/>
    </row>
    <row r="8" spans="1:26" s="2" customFormat="1" ht="20.100000000000001" customHeight="1" x14ac:dyDescent="0.25">
      <c r="A8" s="29" t="s">
        <v>8</v>
      </c>
      <c r="B8" s="179">
        <v>32500</v>
      </c>
      <c r="C8" s="179"/>
      <c r="D8" s="22" t="s">
        <v>36</v>
      </c>
      <c r="E8" s="16"/>
      <c r="F8" s="139" t="s">
        <v>4</v>
      </c>
      <c r="G8" s="140"/>
      <c r="H8" s="140"/>
      <c r="I8" s="141"/>
      <c r="J8" s="143">
        <f>ROUND(((J7/50)+1740),0)</f>
        <v>9540</v>
      </c>
      <c r="K8" s="143"/>
      <c r="L8" s="26"/>
      <c r="N8" s="107" t="s">
        <v>82</v>
      </c>
      <c r="O8" s="105">
        <f>IF(O6="conducteur véhicule assuré",IF(MAX(F12,G12)&lt;0.5,(1-O7)*J17,J17),IF(O5="Collision",O7*J17,J17))</f>
        <v>198560</v>
      </c>
      <c r="Q8" s="82"/>
      <c r="R8" s="59"/>
      <c r="S8" s="57">
        <v>0.12</v>
      </c>
      <c r="T8" s="60">
        <v>30</v>
      </c>
      <c r="U8" s="60"/>
      <c r="V8" s="60"/>
      <c r="W8" s="61"/>
      <c r="X8" s="82"/>
      <c r="Y8" s="82"/>
      <c r="Z8" s="82"/>
    </row>
    <row r="9" spans="1:26" ht="20.100000000000001" customHeight="1" thickBot="1" x14ac:dyDescent="0.3">
      <c r="A9" s="29" t="s">
        <v>68</v>
      </c>
      <c r="B9" s="177" t="s">
        <v>60</v>
      </c>
      <c r="C9" s="178"/>
      <c r="D9" s="20"/>
      <c r="E9" s="16"/>
      <c r="F9" s="152"/>
      <c r="G9" s="152"/>
      <c r="H9" s="152"/>
      <c r="I9" s="152"/>
      <c r="J9" s="153"/>
      <c r="K9" s="153"/>
      <c r="L9" s="26"/>
      <c r="N9" s="108"/>
      <c r="O9" s="106"/>
      <c r="Q9" s="101"/>
      <c r="R9" s="59"/>
      <c r="S9" s="57">
        <v>0.13</v>
      </c>
      <c r="T9" s="60">
        <v>45</v>
      </c>
      <c r="U9" s="60"/>
      <c r="V9" s="60"/>
      <c r="W9" s="61"/>
    </row>
    <row r="10" spans="1:26" ht="20.100000000000001" customHeight="1" x14ac:dyDescent="0.25">
      <c r="A10" s="16"/>
      <c r="B10" s="16"/>
      <c r="C10" s="16"/>
      <c r="D10" s="18"/>
      <c r="E10" s="183" t="s">
        <v>62</v>
      </c>
      <c r="F10" s="184"/>
      <c r="G10" s="184"/>
      <c r="H10" s="185"/>
      <c r="I10" s="35"/>
      <c r="J10" s="129" t="s">
        <v>51</v>
      </c>
      <c r="K10" s="130"/>
      <c r="L10" s="174"/>
      <c r="R10" s="59"/>
      <c r="S10" s="57">
        <v>0.14000000000000001</v>
      </c>
      <c r="T10" s="60">
        <v>60</v>
      </c>
      <c r="U10" s="60"/>
      <c r="V10" s="60"/>
      <c r="W10" s="61"/>
    </row>
    <row r="11" spans="1:26" ht="20.100000000000001" customHeight="1" x14ac:dyDescent="0.25">
      <c r="A11" s="193" t="s">
        <v>40</v>
      </c>
      <c r="B11" s="194"/>
      <c r="C11" s="194"/>
      <c r="D11" s="194"/>
      <c r="E11" s="195" t="s">
        <v>63</v>
      </c>
      <c r="F11" s="196"/>
      <c r="G11" s="191" t="s">
        <v>83</v>
      </c>
      <c r="H11" s="192"/>
      <c r="I11" s="35"/>
      <c r="J11" s="131"/>
      <c r="K11" s="132"/>
      <c r="L11" s="174"/>
      <c r="R11" s="59"/>
      <c r="S11" s="57">
        <v>0.15</v>
      </c>
      <c r="T11" s="60">
        <v>90</v>
      </c>
      <c r="U11" s="60"/>
      <c r="V11" s="60"/>
      <c r="W11" s="61"/>
    </row>
    <row r="12" spans="1:26" ht="20.100000000000001" customHeight="1" x14ac:dyDescent="0.25">
      <c r="A12" s="29" t="s">
        <v>44</v>
      </c>
      <c r="B12" s="29"/>
      <c r="C12" s="29"/>
      <c r="D12" s="30"/>
      <c r="E12" s="34" t="s">
        <v>41</v>
      </c>
      <c r="F12" s="72">
        <f>IF(B9="Graves",60%,IF(B9="Moyennes",25%,IF(B9="légères",5%,"")))</f>
        <v>0.6</v>
      </c>
      <c r="G12" s="49">
        <v>0.14000000000000001</v>
      </c>
      <c r="H12" s="28"/>
      <c r="I12" s="28"/>
      <c r="J12" s="146">
        <f>IF(G12="",J8*F12*100,G12*J8*100)</f>
        <v>133560</v>
      </c>
      <c r="K12" s="147"/>
      <c r="L12" s="47"/>
      <c r="R12" s="59"/>
      <c r="S12" s="57">
        <v>0.16</v>
      </c>
      <c r="T12" s="60">
        <v>120</v>
      </c>
      <c r="U12" s="60"/>
      <c r="V12" s="60"/>
      <c r="W12" s="61"/>
    </row>
    <row r="13" spans="1:26" s="2" customFormat="1" ht="20.100000000000001" customHeight="1" x14ac:dyDescent="0.25">
      <c r="A13" s="29" t="s">
        <v>46</v>
      </c>
      <c r="B13" s="29"/>
      <c r="C13" s="29"/>
      <c r="D13" s="30"/>
      <c r="E13" s="34" t="s">
        <v>67</v>
      </c>
      <c r="F13" s="73"/>
      <c r="G13" s="50"/>
      <c r="H13" s="28"/>
      <c r="I13" s="28"/>
      <c r="J13" s="148">
        <f>IF(G13="non",0,IF(G12&lt;80%,0,40*J8))</f>
        <v>0</v>
      </c>
      <c r="K13" s="149"/>
      <c r="L13" s="47"/>
      <c r="Q13" s="82"/>
      <c r="R13" s="59"/>
      <c r="S13" s="57">
        <v>0.17</v>
      </c>
      <c r="T13" s="60">
        <v>150</v>
      </c>
      <c r="U13" s="60"/>
      <c r="V13" s="60"/>
      <c r="W13" s="61"/>
      <c r="X13" s="82"/>
      <c r="Y13" s="82"/>
      <c r="Z13" s="82"/>
    </row>
    <row r="14" spans="1:26" s="2" customFormat="1" ht="20.100000000000001" customHeight="1" x14ac:dyDescent="0.25">
      <c r="A14" s="29" t="s">
        <v>61</v>
      </c>
      <c r="B14" s="29"/>
      <c r="C14" s="29"/>
      <c r="D14" s="30"/>
      <c r="E14" s="34" t="s">
        <v>42</v>
      </c>
      <c r="F14" s="74">
        <f>IF(B$9="Graves",60,IF(B$9="Moyennes",20,IF(B$9="légères",3,"")))</f>
        <v>60</v>
      </c>
      <c r="G14" s="51">
        <v>90</v>
      </c>
      <c r="H14" s="22" t="s">
        <v>47</v>
      </c>
      <c r="I14" s="28"/>
      <c r="J14" s="148">
        <f>IF(G14="",IF(B7&lt;&gt;"sans profession",IF(B8&gt;8*J6,8*J6*F14/30,IF(B8&lt;J6,J6*F14/30,B8*F14/30)),IF(F14&lt;30,0,J6*F14/30)),IF(B7&lt;&gt;"sans profession",IF(B8&gt;8*J6,8*J6*G14/30,IF(B8&lt;J6,J6*G14/30,B8*G14/30)),IF(G14&lt;30,0,J6*G14/30)))*IF(J5&lt;16,0,1)</f>
        <v>0</v>
      </c>
      <c r="K14" s="149"/>
      <c r="L14" s="47"/>
      <c r="Q14" s="82"/>
      <c r="R14" s="59"/>
      <c r="S14" s="57">
        <v>0.18</v>
      </c>
      <c r="T14" s="60">
        <v>180</v>
      </c>
      <c r="U14" s="60"/>
      <c r="V14" s="60"/>
      <c r="W14" s="61"/>
      <c r="X14" s="82"/>
      <c r="Y14" s="82"/>
      <c r="Z14" s="82"/>
    </row>
    <row r="15" spans="1:26" ht="20.100000000000001" customHeight="1" x14ac:dyDescent="0.25">
      <c r="A15" s="119" t="s">
        <v>45</v>
      </c>
      <c r="B15" s="186"/>
      <c r="C15" s="186"/>
      <c r="D15" s="120"/>
      <c r="E15" s="34" t="s">
        <v>43</v>
      </c>
      <c r="F15" s="74">
        <f>IF(B$9="Graves",4,IF(B$9="Moyennes",2,IF(B$9="légères",0,"")))</f>
        <v>4</v>
      </c>
      <c r="G15" s="187" t="s">
        <v>50</v>
      </c>
      <c r="H15" s="188"/>
      <c r="I15" s="28"/>
      <c r="J15" s="148">
        <f>IF(G15="",IF(F15=2,2*J6,IF(F15=4,4*J6,0)),IF(G15="moyen",2*J6,IF(G15="important",4*J6,0)))</f>
        <v>60000</v>
      </c>
      <c r="K15" s="149"/>
      <c r="L15" s="47"/>
      <c r="R15" s="59"/>
      <c r="S15" s="57">
        <v>0.19</v>
      </c>
      <c r="T15" s="60">
        <v>360</v>
      </c>
      <c r="U15" s="60"/>
      <c r="V15" s="60"/>
      <c r="W15" s="61"/>
    </row>
    <row r="16" spans="1:26" ht="20.100000000000001" customHeight="1" x14ac:dyDescent="0.25">
      <c r="A16" s="119" t="s">
        <v>65</v>
      </c>
      <c r="B16" s="186"/>
      <c r="C16" s="186"/>
      <c r="D16" s="120"/>
      <c r="E16" s="34" t="s">
        <v>66</v>
      </c>
      <c r="F16" s="26"/>
      <c r="G16" s="52" t="s">
        <v>19</v>
      </c>
      <c r="H16" s="189">
        <v>5000</v>
      </c>
      <c r="I16" s="190"/>
      <c r="J16" s="150">
        <f>IF(G16="oui",H16,0)</f>
        <v>5000</v>
      </c>
      <c r="K16" s="151"/>
      <c r="L16" s="47"/>
      <c r="R16" s="59"/>
      <c r="S16" s="57">
        <v>0.2</v>
      </c>
      <c r="T16" s="60"/>
      <c r="U16" s="60"/>
      <c r="V16" s="60"/>
      <c r="W16" s="61"/>
    </row>
    <row r="17" spans="1:23" ht="20.100000000000001" customHeight="1" thickBot="1" x14ac:dyDescent="0.3">
      <c r="A17" s="16"/>
      <c r="B17" s="16"/>
      <c r="C17" s="16"/>
      <c r="D17" s="27"/>
      <c r="E17" s="153"/>
      <c r="F17" s="153"/>
      <c r="G17" s="36"/>
      <c r="H17" s="175" t="s">
        <v>38</v>
      </c>
      <c r="I17" s="176"/>
      <c r="J17" s="172">
        <f>SUM(J12:K16)</f>
        <v>198560</v>
      </c>
      <c r="K17" s="173"/>
      <c r="L17" s="46"/>
      <c r="R17" s="59"/>
      <c r="S17" s="57">
        <v>0.21</v>
      </c>
      <c r="T17" s="60"/>
      <c r="U17" s="60"/>
      <c r="V17" s="60"/>
      <c r="W17" s="61"/>
    </row>
    <row r="18" spans="1:23" x14ac:dyDescent="0.25">
      <c r="R18" s="59"/>
      <c r="S18" s="57">
        <v>0.22</v>
      </c>
      <c r="T18" s="60"/>
      <c r="U18" s="60"/>
      <c r="V18" s="60"/>
      <c r="W18" s="61"/>
    </row>
    <row r="19" spans="1:23" x14ac:dyDescent="0.25">
      <c r="R19" s="59"/>
      <c r="S19" s="57">
        <v>0.23</v>
      </c>
      <c r="T19" s="60"/>
      <c r="U19" s="60"/>
      <c r="V19" s="60"/>
      <c r="W19" s="61"/>
    </row>
    <row r="20" spans="1:23" x14ac:dyDescent="0.25">
      <c r="R20" s="62"/>
      <c r="S20" s="57">
        <v>0.24</v>
      </c>
      <c r="T20" s="63"/>
      <c r="U20" s="63"/>
      <c r="V20" s="63"/>
      <c r="W20" s="64"/>
    </row>
    <row r="21" spans="1:23" x14ac:dyDescent="0.25">
      <c r="S21" s="57">
        <v>0.25</v>
      </c>
    </row>
    <row r="22" spans="1:23" x14ac:dyDescent="0.25">
      <c r="S22" s="57">
        <v>0.26</v>
      </c>
    </row>
    <row r="23" spans="1:23" x14ac:dyDescent="0.25">
      <c r="S23" s="57">
        <v>0.27</v>
      </c>
    </row>
    <row r="24" spans="1:23" x14ac:dyDescent="0.25">
      <c r="S24" s="57">
        <v>0.28000000000000003</v>
      </c>
    </row>
    <row r="25" spans="1:23" x14ac:dyDescent="0.25">
      <c r="S25" s="57">
        <v>0.28999999999999998</v>
      </c>
    </row>
    <row r="26" spans="1:23" x14ac:dyDescent="0.25">
      <c r="S26" s="57">
        <v>0.3</v>
      </c>
    </row>
    <row r="27" spans="1:23" x14ac:dyDescent="0.25">
      <c r="S27" s="57">
        <v>0.31</v>
      </c>
    </row>
    <row r="28" spans="1:23" x14ac:dyDescent="0.25">
      <c r="S28" s="57">
        <v>0.32</v>
      </c>
    </row>
    <row r="29" spans="1:23" x14ac:dyDescent="0.25">
      <c r="S29" s="57">
        <v>0.33</v>
      </c>
    </row>
    <row r="30" spans="1:23" x14ac:dyDescent="0.25">
      <c r="S30" s="57">
        <v>0.34</v>
      </c>
    </row>
    <row r="31" spans="1:23" x14ac:dyDescent="0.25">
      <c r="S31" s="57">
        <v>0.35</v>
      </c>
    </row>
    <row r="32" spans="1:23" x14ac:dyDescent="0.25">
      <c r="S32" s="57">
        <v>0.36</v>
      </c>
    </row>
    <row r="33" spans="19:19" x14ac:dyDescent="0.25">
      <c r="S33" s="57">
        <v>0.37</v>
      </c>
    </row>
    <row r="34" spans="19:19" x14ac:dyDescent="0.25">
      <c r="S34" s="57">
        <v>0.38</v>
      </c>
    </row>
    <row r="35" spans="19:19" x14ac:dyDescent="0.25">
      <c r="S35" s="57">
        <v>0.39</v>
      </c>
    </row>
    <row r="36" spans="19:19" x14ac:dyDescent="0.25">
      <c r="S36" s="57">
        <v>0.4</v>
      </c>
    </row>
    <row r="37" spans="19:19" x14ac:dyDescent="0.25">
      <c r="S37" s="57">
        <v>0.41</v>
      </c>
    </row>
    <row r="38" spans="19:19" x14ac:dyDescent="0.25">
      <c r="S38" s="57">
        <v>0.42</v>
      </c>
    </row>
    <row r="39" spans="19:19" x14ac:dyDescent="0.25">
      <c r="S39" s="57">
        <v>0.43</v>
      </c>
    </row>
    <row r="40" spans="19:19" x14ac:dyDescent="0.25">
      <c r="S40" s="57">
        <v>0.44</v>
      </c>
    </row>
    <row r="41" spans="19:19" x14ac:dyDescent="0.25">
      <c r="S41" s="57">
        <v>0.45</v>
      </c>
    </row>
    <row r="42" spans="19:19" x14ac:dyDescent="0.25">
      <c r="S42" s="57">
        <v>0.46</v>
      </c>
    </row>
    <row r="43" spans="19:19" x14ac:dyDescent="0.25">
      <c r="S43" s="57">
        <v>0.47</v>
      </c>
    </row>
    <row r="44" spans="19:19" x14ac:dyDescent="0.25">
      <c r="S44" s="57">
        <v>0.48</v>
      </c>
    </row>
    <row r="45" spans="19:19" x14ac:dyDescent="0.25">
      <c r="S45" s="57">
        <v>0.49</v>
      </c>
    </row>
    <row r="46" spans="19:19" x14ac:dyDescent="0.25">
      <c r="S46" s="57">
        <v>0.5</v>
      </c>
    </row>
    <row r="47" spans="19:19" x14ac:dyDescent="0.25">
      <c r="S47" s="57">
        <v>0.51</v>
      </c>
    </row>
    <row r="48" spans="19:19" x14ac:dyDescent="0.25">
      <c r="S48" s="57">
        <v>0.52</v>
      </c>
    </row>
    <row r="49" spans="19:19" x14ac:dyDescent="0.25">
      <c r="S49" s="57">
        <v>0.53</v>
      </c>
    </row>
    <row r="50" spans="19:19" x14ac:dyDescent="0.25">
      <c r="S50" s="57">
        <v>0.54</v>
      </c>
    </row>
    <row r="51" spans="19:19" x14ac:dyDescent="0.25">
      <c r="S51" s="57">
        <v>0.55000000000000004</v>
      </c>
    </row>
    <row r="52" spans="19:19" x14ac:dyDescent="0.25">
      <c r="S52" s="57">
        <v>0.56000000000000005</v>
      </c>
    </row>
    <row r="53" spans="19:19" x14ac:dyDescent="0.25">
      <c r="S53" s="57">
        <v>0.56999999999999995</v>
      </c>
    </row>
    <row r="54" spans="19:19" x14ac:dyDescent="0.25">
      <c r="S54" s="57">
        <v>0.57999999999999996</v>
      </c>
    </row>
    <row r="55" spans="19:19" x14ac:dyDescent="0.25">
      <c r="S55" s="57">
        <v>0.59</v>
      </c>
    </row>
    <row r="56" spans="19:19" x14ac:dyDescent="0.25">
      <c r="S56" s="57">
        <v>0.6</v>
      </c>
    </row>
    <row r="57" spans="19:19" x14ac:dyDescent="0.25">
      <c r="S57" s="57">
        <v>0.61</v>
      </c>
    </row>
    <row r="58" spans="19:19" x14ac:dyDescent="0.25">
      <c r="S58" s="57">
        <v>0.62</v>
      </c>
    </row>
    <row r="59" spans="19:19" x14ac:dyDescent="0.25">
      <c r="S59" s="57">
        <v>0.63</v>
      </c>
    </row>
    <row r="60" spans="19:19" x14ac:dyDescent="0.25">
      <c r="S60" s="57">
        <v>0.64</v>
      </c>
    </row>
    <row r="61" spans="19:19" x14ac:dyDescent="0.25">
      <c r="S61" s="57">
        <v>0.65</v>
      </c>
    </row>
    <row r="62" spans="19:19" x14ac:dyDescent="0.25">
      <c r="S62" s="57">
        <v>0.66</v>
      </c>
    </row>
    <row r="63" spans="19:19" x14ac:dyDescent="0.25">
      <c r="S63" s="57">
        <v>0.67</v>
      </c>
    </row>
    <row r="64" spans="19:19" x14ac:dyDescent="0.25">
      <c r="S64" s="57">
        <v>0.68</v>
      </c>
    </row>
    <row r="65" spans="19:19" x14ac:dyDescent="0.25">
      <c r="S65" s="57">
        <v>0.69</v>
      </c>
    </row>
    <row r="66" spans="19:19" x14ac:dyDescent="0.25">
      <c r="S66" s="57">
        <v>0.7</v>
      </c>
    </row>
    <row r="67" spans="19:19" x14ac:dyDescent="0.25">
      <c r="S67" s="57">
        <v>0.71</v>
      </c>
    </row>
    <row r="68" spans="19:19" x14ac:dyDescent="0.25">
      <c r="S68" s="57">
        <v>0.72</v>
      </c>
    </row>
    <row r="69" spans="19:19" x14ac:dyDescent="0.25">
      <c r="S69" s="57">
        <v>0.73</v>
      </c>
    </row>
    <row r="70" spans="19:19" x14ac:dyDescent="0.25">
      <c r="S70" s="57">
        <v>0.74</v>
      </c>
    </row>
    <row r="71" spans="19:19" x14ac:dyDescent="0.25">
      <c r="S71" s="57">
        <v>0.75</v>
      </c>
    </row>
    <row r="72" spans="19:19" x14ac:dyDescent="0.25">
      <c r="S72" s="57">
        <v>0.76</v>
      </c>
    </row>
    <row r="73" spans="19:19" x14ac:dyDescent="0.25">
      <c r="S73" s="57">
        <v>0.77</v>
      </c>
    </row>
    <row r="74" spans="19:19" x14ac:dyDescent="0.25">
      <c r="S74" s="57">
        <v>0.78</v>
      </c>
    </row>
    <row r="75" spans="19:19" x14ac:dyDescent="0.25">
      <c r="S75" s="57">
        <v>0.79</v>
      </c>
    </row>
    <row r="76" spans="19:19" x14ac:dyDescent="0.25">
      <c r="S76" s="57">
        <v>0.8</v>
      </c>
    </row>
    <row r="77" spans="19:19" x14ac:dyDescent="0.25">
      <c r="S77" s="57">
        <v>0.81</v>
      </c>
    </row>
    <row r="78" spans="19:19" x14ac:dyDescent="0.25">
      <c r="S78" s="57">
        <v>0.82</v>
      </c>
    </row>
    <row r="79" spans="19:19" x14ac:dyDescent="0.25">
      <c r="S79" s="57">
        <v>0.83</v>
      </c>
    </row>
    <row r="80" spans="19:19" x14ac:dyDescent="0.25">
      <c r="S80" s="57">
        <v>0.84</v>
      </c>
    </row>
    <row r="81" spans="19:19" x14ac:dyDescent="0.25">
      <c r="S81" s="57">
        <v>0.85</v>
      </c>
    </row>
    <row r="82" spans="19:19" x14ac:dyDescent="0.25">
      <c r="S82" s="57">
        <v>0.86</v>
      </c>
    </row>
    <row r="83" spans="19:19" x14ac:dyDescent="0.25">
      <c r="S83" s="57">
        <v>0.87</v>
      </c>
    </row>
    <row r="84" spans="19:19" x14ac:dyDescent="0.25">
      <c r="S84" s="57">
        <v>0.88</v>
      </c>
    </row>
    <row r="85" spans="19:19" x14ac:dyDescent="0.25">
      <c r="S85" s="57">
        <v>0.89</v>
      </c>
    </row>
    <row r="86" spans="19:19" x14ac:dyDescent="0.25">
      <c r="S86" s="57">
        <v>0.9</v>
      </c>
    </row>
    <row r="87" spans="19:19" x14ac:dyDescent="0.25">
      <c r="S87" s="57">
        <v>0.91</v>
      </c>
    </row>
    <row r="88" spans="19:19" x14ac:dyDescent="0.25">
      <c r="S88" s="57">
        <v>0.92</v>
      </c>
    </row>
    <row r="89" spans="19:19" x14ac:dyDescent="0.25">
      <c r="S89" s="57">
        <v>0.93</v>
      </c>
    </row>
    <row r="90" spans="19:19" x14ac:dyDescent="0.25">
      <c r="S90" s="57">
        <v>0.94</v>
      </c>
    </row>
    <row r="91" spans="19:19" x14ac:dyDescent="0.25">
      <c r="S91" s="57">
        <v>0.95</v>
      </c>
    </row>
    <row r="92" spans="19:19" x14ac:dyDescent="0.25">
      <c r="S92" s="57">
        <v>0.96</v>
      </c>
    </row>
    <row r="93" spans="19:19" x14ac:dyDescent="0.25">
      <c r="S93" s="57">
        <v>0.97</v>
      </c>
    </row>
    <row r="94" spans="19:19" x14ac:dyDescent="0.25">
      <c r="S94" s="57">
        <v>0.98</v>
      </c>
    </row>
    <row r="95" spans="19:19" x14ac:dyDescent="0.25">
      <c r="S95" s="57">
        <v>0.99</v>
      </c>
    </row>
    <row r="96" spans="19:19" x14ac:dyDescent="0.25">
      <c r="S96" s="57">
        <v>1</v>
      </c>
    </row>
    <row r="97" spans="19:19" x14ac:dyDescent="0.25">
      <c r="S97" s="57"/>
    </row>
    <row r="98" spans="19:19" x14ac:dyDescent="0.25">
      <c r="S98" s="57"/>
    </row>
    <row r="99" spans="19:19" x14ac:dyDescent="0.25">
      <c r="S99" s="57"/>
    </row>
    <row r="100" spans="19:19" x14ac:dyDescent="0.25">
      <c r="S100" s="57"/>
    </row>
    <row r="101" spans="19:19" x14ac:dyDescent="0.25">
      <c r="S101" s="57"/>
    </row>
    <row r="102" spans="19:19" x14ac:dyDescent="0.25">
      <c r="S102" s="57"/>
    </row>
    <row r="103" spans="19:19" x14ac:dyDescent="0.25">
      <c r="S103" s="57"/>
    </row>
    <row r="104" spans="19:19" x14ac:dyDescent="0.25">
      <c r="S104" s="57"/>
    </row>
    <row r="105" spans="19:19" x14ac:dyDescent="0.25">
      <c r="S105" s="57"/>
    </row>
    <row r="106" spans="19:19" x14ac:dyDescent="0.25">
      <c r="S106" s="57"/>
    </row>
    <row r="107" spans="19:19" x14ac:dyDescent="0.25">
      <c r="S107" s="57"/>
    </row>
    <row r="108" spans="19:19" x14ac:dyDescent="0.25">
      <c r="S108" s="57"/>
    </row>
    <row r="109" spans="19:19" x14ac:dyDescent="0.25">
      <c r="S109" s="57"/>
    </row>
    <row r="110" spans="19:19" x14ac:dyDescent="0.25">
      <c r="S110" s="57"/>
    </row>
    <row r="111" spans="19:19" x14ac:dyDescent="0.25">
      <c r="S111" s="57"/>
    </row>
    <row r="112" spans="19:19" x14ac:dyDescent="0.25">
      <c r="S112" s="57"/>
    </row>
    <row r="113" spans="19:19" x14ac:dyDescent="0.25">
      <c r="S113" s="57"/>
    </row>
    <row r="114" spans="19:19" x14ac:dyDescent="0.25">
      <c r="S114" s="57"/>
    </row>
    <row r="115" spans="19:19" x14ac:dyDescent="0.25">
      <c r="S115" s="57"/>
    </row>
    <row r="116" spans="19:19" x14ac:dyDescent="0.25">
      <c r="S116" s="57"/>
    </row>
    <row r="117" spans="19:19" x14ac:dyDescent="0.25">
      <c r="S117" s="57"/>
    </row>
    <row r="118" spans="19:19" x14ac:dyDescent="0.25">
      <c r="S118" s="57"/>
    </row>
    <row r="119" spans="19:19" x14ac:dyDescent="0.25">
      <c r="S119" s="57"/>
    </row>
    <row r="120" spans="19:19" x14ac:dyDescent="0.25">
      <c r="S120" s="57"/>
    </row>
    <row r="121" spans="19:19" x14ac:dyDescent="0.25">
      <c r="S121" s="57"/>
    </row>
    <row r="122" spans="19:19" x14ac:dyDescent="0.25">
      <c r="S122" s="57"/>
    </row>
    <row r="123" spans="19:19" x14ac:dyDescent="0.25">
      <c r="S123" s="57"/>
    </row>
    <row r="124" spans="19:19" x14ac:dyDescent="0.25">
      <c r="S124" s="57"/>
    </row>
    <row r="125" spans="19:19" x14ac:dyDescent="0.25">
      <c r="S125" s="57"/>
    </row>
    <row r="126" spans="19:19" x14ac:dyDescent="0.25">
      <c r="S126" s="57"/>
    </row>
    <row r="127" spans="19:19" x14ac:dyDescent="0.25">
      <c r="S127" s="57"/>
    </row>
    <row r="128" spans="19:19" x14ac:dyDescent="0.25">
      <c r="S128" s="57"/>
    </row>
    <row r="129" spans="19:19" x14ac:dyDescent="0.25">
      <c r="S129" s="57"/>
    </row>
    <row r="130" spans="19:19" x14ac:dyDescent="0.25">
      <c r="S130" s="57"/>
    </row>
    <row r="131" spans="19:19" x14ac:dyDescent="0.25">
      <c r="S131" s="57"/>
    </row>
    <row r="132" spans="19:19" x14ac:dyDescent="0.25">
      <c r="S132" s="57"/>
    </row>
    <row r="133" spans="19:19" x14ac:dyDescent="0.25">
      <c r="S133" s="57"/>
    </row>
    <row r="134" spans="19:19" x14ac:dyDescent="0.25">
      <c r="S134" s="57"/>
    </row>
    <row r="135" spans="19:19" x14ac:dyDescent="0.25">
      <c r="S135" s="57"/>
    </row>
    <row r="136" spans="19:19" x14ac:dyDescent="0.25">
      <c r="S136" s="57"/>
    </row>
    <row r="137" spans="19:19" x14ac:dyDescent="0.25">
      <c r="S137" s="57"/>
    </row>
    <row r="138" spans="19:19" x14ac:dyDescent="0.25">
      <c r="S138" s="57"/>
    </row>
    <row r="139" spans="19:19" x14ac:dyDescent="0.25">
      <c r="S139" s="57"/>
    </row>
    <row r="140" spans="19:19" x14ac:dyDescent="0.25">
      <c r="S140" s="57"/>
    </row>
    <row r="141" spans="19:19" x14ac:dyDescent="0.25">
      <c r="S141" s="57"/>
    </row>
    <row r="142" spans="19:19" x14ac:dyDescent="0.25">
      <c r="S142" s="57"/>
    </row>
    <row r="143" spans="19:19" x14ac:dyDescent="0.25">
      <c r="S143" s="57"/>
    </row>
    <row r="144" spans="19:19" x14ac:dyDescent="0.25">
      <c r="S144" s="57"/>
    </row>
    <row r="145" spans="19:19" x14ac:dyDescent="0.25">
      <c r="S145" s="57"/>
    </row>
    <row r="146" spans="19:19" x14ac:dyDescent="0.25">
      <c r="S146" s="57"/>
    </row>
    <row r="147" spans="19:19" x14ac:dyDescent="0.25">
      <c r="S147" s="57"/>
    </row>
    <row r="148" spans="19:19" x14ac:dyDescent="0.25">
      <c r="S148" s="57"/>
    </row>
    <row r="149" spans="19:19" x14ac:dyDescent="0.25">
      <c r="S149" s="57"/>
    </row>
    <row r="150" spans="19:19" x14ac:dyDescent="0.25">
      <c r="S150" s="57"/>
    </row>
    <row r="151" spans="19:19" x14ac:dyDescent="0.25">
      <c r="S151" s="57"/>
    </row>
    <row r="152" spans="19:19" x14ac:dyDescent="0.25">
      <c r="S152" s="57"/>
    </row>
    <row r="153" spans="19:19" x14ac:dyDescent="0.25">
      <c r="S153" s="57"/>
    </row>
    <row r="154" spans="19:19" x14ac:dyDescent="0.25">
      <c r="S154" s="57"/>
    </row>
    <row r="155" spans="19:19" x14ac:dyDescent="0.25">
      <c r="S155" s="57"/>
    </row>
    <row r="156" spans="19:19" x14ac:dyDescent="0.25">
      <c r="S156" s="57"/>
    </row>
    <row r="157" spans="19:19" x14ac:dyDescent="0.25">
      <c r="S157" s="57"/>
    </row>
    <row r="158" spans="19:19" x14ac:dyDescent="0.25">
      <c r="S158" s="57"/>
    </row>
    <row r="159" spans="19:19" x14ac:dyDescent="0.25">
      <c r="S159" s="57"/>
    </row>
    <row r="160" spans="19:19" x14ac:dyDescent="0.25">
      <c r="S160" s="57"/>
    </row>
    <row r="161" spans="19:19" x14ac:dyDescent="0.25">
      <c r="S161" s="57"/>
    </row>
    <row r="162" spans="19:19" x14ac:dyDescent="0.25">
      <c r="S162" s="57"/>
    </row>
    <row r="163" spans="19:19" x14ac:dyDescent="0.25">
      <c r="S163" s="57"/>
    </row>
    <row r="164" spans="19:19" x14ac:dyDescent="0.25">
      <c r="S164" s="57"/>
    </row>
    <row r="165" spans="19:19" x14ac:dyDescent="0.25">
      <c r="S165" s="57"/>
    </row>
    <row r="166" spans="19:19" x14ac:dyDescent="0.25">
      <c r="S166" s="57"/>
    </row>
    <row r="167" spans="19:19" x14ac:dyDescent="0.25">
      <c r="S167" s="57"/>
    </row>
    <row r="168" spans="19:19" x14ac:dyDescent="0.25">
      <c r="S168" s="57"/>
    </row>
    <row r="169" spans="19:19" x14ac:dyDescent="0.25">
      <c r="S169" s="57"/>
    </row>
    <row r="170" spans="19:19" x14ac:dyDescent="0.25">
      <c r="S170" s="57"/>
    </row>
    <row r="171" spans="19:19" x14ac:dyDescent="0.25">
      <c r="S171" s="57"/>
    </row>
    <row r="172" spans="19:19" x14ac:dyDescent="0.25">
      <c r="S172" s="57"/>
    </row>
    <row r="173" spans="19:19" x14ac:dyDescent="0.25">
      <c r="S173" s="57"/>
    </row>
    <row r="174" spans="19:19" x14ac:dyDescent="0.25">
      <c r="S174" s="57"/>
    </row>
    <row r="175" spans="19:19" x14ac:dyDescent="0.25">
      <c r="S175" s="57"/>
    </row>
    <row r="176" spans="19:19" x14ac:dyDescent="0.25">
      <c r="S176" s="57"/>
    </row>
    <row r="177" spans="19:19" x14ac:dyDescent="0.25">
      <c r="S177" s="57"/>
    </row>
    <row r="178" spans="19:19" x14ac:dyDescent="0.25">
      <c r="S178" s="57"/>
    </row>
    <row r="179" spans="19:19" x14ac:dyDescent="0.25">
      <c r="S179" s="57"/>
    </row>
    <row r="180" spans="19:19" x14ac:dyDescent="0.25">
      <c r="S180" s="57"/>
    </row>
    <row r="181" spans="19:19" x14ac:dyDescent="0.25">
      <c r="S181" s="57"/>
    </row>
    <row r="182" spans="19:19" x14ac:dyDescent="0.25">
      <c r="S182" s="57"/>
    </row>
    <row r="183" spans="19:19" x14ac:dyDescent="0.25">
      <c r="S183" s="57"/>
    </row>
    <row r="184" spans="19:19" x14ac:dyDescent="0.25">
      <c r="S184" s="57"/>
    </row>
    <row r="185" spans="19:19" x14ac:dyDescent="0.25">
      <c r="S185" s="57"/>
    </row>
    <row r="186" spans="19:19" x14ac:dyDescent="0.25">
      <c r="S186" s="57"/>
    </row>
    <row r="187" spans="19:19" x14ac:dyDescent="0.25">
      <c r="S187" s="57"/>
    </row>
    <row r="188" spans="19:19" x14ac:dyDescent="0.25">
      <c r="S188" s="57"/>
    </row>
    <row r="189" spans="19:19" x14ac:dyDescent="0.25">
      <c r="S189" s="57"/>
    </row>
    <row r="190" spans="19:19" x14ac:dyDescent="0.25">
      <c r="S190" s="57"/>
    </row>
    <row r="191" spans="19:19" x14ac:dyDescent="0.25">
      <c r="S191" s="57"/>
    </row>
    <row r="192" spans="19:19" x14ac:dyDescent="0.25">
      <c r="S192" s="57"/>
    </row>
    <row r="193" spans="19:19" x14ac:dyDescent="0.25">
      <c r="S193" s="57"/>
    </row>
    <row r="194" spans="19:19" x14ac:dyDescent="0.25">
      <c r="S194" s="57"/>
    </row>
    <row r="195" spans="19:19" x14ac:dyDescent="0.25">
      <c r="S195" s="57"/>
    </row>
    <row r="196" spans="19:19" x14ac:dyDescent="0.25">
      <c r="S196" s="57"/>
    </row>
    <row r="197" spans="19:19" x14ac:dyDescent="0.25">
      <c r="S197" s="57"/>
    </row>
    <row r="198" spans="19:19" x14ac:dyDescent="0.25">
      <c r="S198" s="57"/>
    </row>
    <row r="199" spans="19:19" x14ac:dyDescent="0.25">
      <c r="S199" s="57"/>
    </row>
    <row r="200" spans="19:19" x14ac:dyDescent="0.25">
      <c r="S200" s="57"/>
    </row>
    <row r="201" spans="19:19" x14ac:dyDescent="0.25">
      <c r="S201" s="57"/>
    </row>
    <row r="202" spans="19:19" x14ac:dyDescent="0.25">
      <c r="S202" s="57"/>
    </row>
    <row r="203" spans="19:19" x14ac:dyDescent="0.25">
      <c r="S203" s="57"/>
    </row>
    <row r="204" spans="19:19" x14ac:dyDescent="0.25">
      <c r="S204" s="57"/>
    </row>
    <row r="205" spans="19:19" x14ac:dyDescent="0.25">
      <c r="S205" s="57"/>
    </row>
    <row r="206" spans="19:19" x14ac:dyDescent="0.25">
      <c r="S206" s="57"/>
    </row>
    <row r="207" spans="19:19" x14ac:dyDescent="0.25">
      <c r="S207" s="57"/>
    </row>
    <row r="208" spans="19:19" x14ac:dyDescent="0.25">
      <c r="S208" s="57"/>
    </row>
    <row r="209" spans="19:19" x14ac:dyDescent="0.25">
      <c r="S209" s="57"/>
    </row>
    <row r="210" spans="19:19" x14ac:dyDescent="0.25">
      <c r="S210" s="57"/>
    </row>
    <row r="211" spans="19:19" x14ac:dyDescent="0.25">
      <c r="S211" s="57"/>
    </row>
    <row r="212" spans="19:19" x14ac:dyDescent="0.25">
      <c r="S212" s="57"/>
    </row>
    <row r="213" spans="19:19" x14ac:dyDescent="0.25">
      <c r="S213" s="57"/>
    </row>
    <row r="214" spans="19:19" x14ac:dyDescent="0.25">
      <c r="S214" s="57"/>
    </row>
    <row r="215" spans="19:19" x14ac:dyDescent="0.25">
      <c r="S215" s="57"/>
    </row>
    <row r="216" spans="19:19" x14ac:dyDescent="0.25">
      <c r="S216" s="57"/>
    </row>
    <row r="217" spans="19:19" x14ac:dyDescent="0.25">
      <c r="S217" s="57"/>
    </row>
    <row r="218" spans="19:19" x14ac:dyDescent="0.25">
      <c r="S218" s="57"/>
    </row>
    <row r="219" spans="19:19" x14ac:dyDescent="0.25">
      <c r="S219" s="57"/>
    </row>
    <row r="220" spans="19:19" x14ac:dyDescent="0.25">
      <c r="S220" s="57"/>
    </row>
    <row r="221" spans="19:19" x14ac:dyDescent="0.25">
      <c r="S221" s="57"/>
    </row>
    <row r="222" spans="19:19" x14ac:dyDescent="0.25">
      <c r="S222" s="57"/>
    </row>
    <row r="223" spans="19:19" x14ac:dyDescent="0.25">
      <c r="S223" s="57"/>
    </row>
    <row r="224" spans="19:19" x14ac:dyDescent="0.25">
      <c r="S224" s="57"/>
    </row>
    <row r="225" spans="19:19" x14ac:dyDescent="0.25">
      <c r="S225" s="57"/>
    </row>
    <row r="226" spans="19:19" x14ac:dyDescent="0.25">
      <c r="S226" s="57"/>
    </row>
    <row r="227" spans="19:19" x14ac:dyDescent="0.25">
      <c r="S227" s="57"/>
    </row>
    <row r="228" spans="19:19" x14ac:dyDescent="0.25">
      <c r="S228" s="57"/>
    </row>
    <row r="229" spans="19:19" x14ac:dyDescent="0.25">
      <c r="S229" s="57"/>
    </row>
    <row r="230" spans="19:19" x14ac:dyDescent="0.25">
      <c r="S230" s="57"/>
    </row>
    <row r="231" spans="19:19" x14ac:dyDescent="0.25">
      <c r="S231" s="57"/>
    </row>
    <row r="232" spans="19:19" x14ac:dyDescent="0.25">
      <c r="S232" s="57"/>
    </row>
    <row r="233" spans="19:19" x14ac:dyDescent="0.25">
      <c r="S233" s="57"/>
    </row>
    <row r="234" spans="19:19" x14ac:dyDescent="0.25">
      <c r="S234" s="57"/>
    </row>
    <row r="235" spans="19:19" x14ac:dyDescent="0.25">
      <c r="S235" s="57"/>
    </row>
    <row r="236" spans="19:19" x14ac:dyDescent="0.25">
      <c r="S236" s="57"/>
    </row>
    <row r="237" spans="19:19" x14ac:dyDescent="0.25">
      <c r="S237" s="57"/>
    </row>
    <row r="238" spans="19:19" x14ac:dyDescent="0.25">
      <c r="S238" s="57"/>
    </row>
    <row r="239" spans="19:19" x14ac:dyDescent="0.25">
      <c r="S239" s="57"/>
    </row>
    <row r="240" spans="19:19" x14ac:dyDescent="0.25">
      <c r="S240" s="57"/>
    </row>
    <row r="241" spans="19:19" x14ac:dyDescent="0.25">
      <c r="S241" s="57"/>
    </row>
    <row r="242" spans="19:19" x14ac:dyDescent="0.25">
      <c r="S242" s="57"/>
    </row>
    <row r="243" spans="19:19" x14ac:dyDescent="0.25">
      <c r="S243" s="57"/>
    </row>
    <row r="244" spans="19:19" x14ac:dyDescent="0.25">
      <c r="S244" s="57"/>
    </row>
    <row r="245" spans="19:19" x14ac:dyDescent="0.25">
      <c r="S245" s="57"/>
    </row>
    <row r="246" spans="19:19" x14ac:dyDescent="0.25">
      <c r="S246" s="57"/>
    </row>
    <row r="247" spans="19:19" x14ac:dyDescent="0.25">
      <c r="S247" s="57"/>
    </row>
    <row r="248" spans="19:19" x14ac:dyDescent="0.25">
      <c r="S248" s="57"/>
    </row>
    <row r="249" spans="19:19" x14ac:dyDescent="0.25">
      <c r="S249" s="57"/>
    </row>
    <row r="250" spans="19:19" x14ac:dyDescent="0.25">
      <c r="S250" s="57"/>
    </row>
    <row r="251" spans="19:19" x14ac:dyDescent="0.25">
      <c r="S251" s="57"/>
    </row>
    <row r="252" spans="19:19" x14ac:dyDescent="0.25">
      <c r="S252" s="57"/>
    </row>
    <row r="253" spans="19:19" x14ac:dyDescent="0.25">
      <c r="S253" s="57"/>
    </row>
    <row r="254" spans="19:19" x14ac:dyDescent="0.25">
      <c r="S254" s="57"/>
    </row>
    <row r="255" spans="19:19" x14ac:dyDescent="0.25">
      <c r="S255" s="57"/>
    </row>
    <row r="256" spans="19:19" x14ac:dyDescent="0.25">
      <c r="S256" s="57"/>
    </row>
    <row r="257" spans="19:19" x14ac:dyDescent="0.25">
      <c r="S257" s="57"/>
    </row>
    <row r="258" spans="19:19" x14ac:dyDescent="0.25">
      <c r="S258" s="57"/>
    </row>
    <row r="259" spans="19:19" x14ac:dyDescent="0.25">
      <c r="S259" s="57"/>
    </row>
    <row r="260" spans="19:19" x14ac:dyDescent="0.25">
      <c r="S260" s="57"/>
    </row>
    <row r="261" spans="19:19" x14ac:dyDescent="0.25">
      <c r="S261" s="57"/>
    </row>
    <row r="262" spans="19:19" x14ac:dyDescent="0.25">
      <c r="S262" s="57"/>
    </row>
    <row r="263" spans="19:19" x14ac:dyDescent="0.25">
      <c r="S263" s="57"/>
    </row>
    <row r="264" spans="19:19" x14ac:dyDescent="0.25">
      <c r="S264" s="57"/>
    </row>
    <row r="265" spans="19:19" x14ac:dyDescent="0.25">
      <c r="S265" s="57"/>
    </row>
    <row r="266" spans="19:19" x14ac:dyDescent="0.25">
      <c r="S266" s="57"/>
    </row>
    <row r="267" spans="19:19" x14ac:dyDescent="0.25">
      <c r="S267" s="57"/>
    </row>
    <row r="268" spans="19:19" x14ac:dyDescent="0.25">
      <c r="S268" s="57"/>
    </row>
    <row r="269" spans="19:19" x14ac:dyDescent="0.25">
      <c r="S269" s="57"/>
    </row>
    <row r="270" spans="19:19" x14ac:dyDescent="0.25">
      <c r="S270" s="57"/>
    </row>
    <row r="271" spans="19:19" x14ac:dyDescent="0.25">
      <c r="S271" s="57"/>
    </row>
    <row r="272" spans="19:19" x14ac:dyDescent="0.25">
      <c r="S272" s="57"/>
    </row>
    <row r="273" spans="19:19" x14ac:dyDescent="0.25">
      <c r="S273" s="57"/>
    </row>
    <row r="274" spans="19:19" x14ac:dyDescent="0.25">
      <c r="S274" s="57"/>
    </row>
    <row r="275" spans="19:19" x14ac:dyDescent="0.25">
      <c r="S275" s="57"/>
    </row>
    <row r="276" spans="19:19" x14ac:dyDescent="0.25">
      <c r="S276" s="57"/>
    </row>
    <row r="277" spans="19:19" x14ac:dyDescent="0.25">
      <c r="S277" s="57"/>
    </row>
    <row r="278" spans="19:19" x14ac:dyDescent="0.25">
      <c r="S278" s="57"/>
    </row>
    <row r="279" spans="19:19" x14ac:dyDescent="0.25">
      <c r="S279" s="57"/>
    </row>
    <row r="280" spans="19:19" x14ac:dyDescent="0.25">
      <c r="S280" s="57"/>
    </row>
    <row r="281" spans="19:19" x14ac:dyDescent="0.25">
      <c r="S281" s="57"/>
    </row>
    <row r="282" spans="19:19" x14ac:dyDescent="0.25">
      <c r="S282" s="57"/>
    </row>
    <row r="283" spans="19:19" x14ac:dyDescent="0.25">
      <c r="S283" s="57"/>
    </row>
    <row r="284" spans="19:19" x14ac:dyDescent="0.25">
      <c r="S284" s="57"/>
    </row>
    <row r="285" spans="19:19" x14ac:dyDescent="0.25">
      <c r="S285" s="57"/>
    </row>
    <row r="286" spans="19:19" x14ac:dyDescent="0.25">
      <c r="S286" s="57"/>
    </row>
    <row r="287" spans="19:19" x14ac:dyDescent="0.25">
      <c r="S287" s="57"/>
    </row>
    <row r="288" spans="19:19" x14ac:dyDescent="0.25">
      <c r="S288" s="57"/>
    </row>
    <row r="289" spans="19:19" x14ac:dyDescent="0.25">
      <c r="S289" s="57"/>
    </row>
    <row r="290" spans="19:19" x14ac:dyDescent="0.25">
      <c r="S290" s="57"/>
    </row>
    <row r="291" spans="19:19" x14ac:dyDescent="0.25">
      <c r="S291" s="57"/>
    </row>
    <row r="292" spans="19:19" x14ac:dyDescent="0.25">
      <c r="S292" s="57"/>
    </row>
    <row r="293" spans="19:19" x14ac:dyDescent="0.25">
      <c r="S293" s="57"/>
    </row>
    <row r="294" spans="19:19" x14ac:dyDescent="0.25">
      <c r="S294" s="57"/>
    </row>
    <row r="295" spans="19:19" x14ac:dyDescent="0.25">
      <c r="S295" s="57"/>
    </row>
    <row r="296" spans="19:19" x14ac:dyDescent="0.25">
      <c r="S296" s="57"/>
    </row>
    <row r="297" spans="19:19" x14ac:dyDescent="0.25">
      <c r="S297" s="57"/>
    </row>
    <row r="298" spans="19:19" x14ac:dyDescent="0.25">
      <c r="S298" s="57"/>
    </row>
    <row r="299" spans="19:19" x14ac:dyDescent="0.25">
      <c r="S299" s="57"/>
    </row>
    <row r="300" spans="19:19" x14ac:dyDescent="0.25">
      <c r="S300" s="57"/>
    </row>
    <row r="301" spans="19:19" x14ac:dyDescent="0.25">
      <c r="S301" s="57"/>
    </row>
    <row r="302" spans="19:19" x14ac:dyDescent="0.25">
      <c r="S302" s="57"/>
    </row>
    <row r="303" spans="19:19" x14ac:dyDescent="0.25">
      <c r="S303" s="57"/>
    </row>
    <row r="304" spans="19:19" x14ac:dyDescent="0.25">
      <c r="S304" s="57"/>
    </row>
    <row r="305" spans="19:19" x14ac:dyDescent="0.25">
      <c r="S305" s="57"/>
    </row>
    <row r="306" spans="19:19" x14ac:dyDescent="0.25">
      <c r="S306" s="57"/>
    </row>
    <row r="307" spans="19:19" x14ac:dyDescent="0.25">
      <c r="S307" s="57"/>
    </row>
    <row r="308" spans="19:19" x14ac:dyDescent="0.25">
      <c r="S308" s="57"/>
    </row>
    <row r="309" spans="19:19" x14ac:dyDescent="0.25">
      <c r="S309" s="57"/>
    </row>
    <row r="310" spans="19:19" x14ac:dyDescent="0.25">
      <c r="S310" s="57"/>
    </row>
    <row r="311" spans="19:19" x14ac:dyDescent="0.25">
      <c r="S311" s="57"/>
    </row>
    <row r="312" spans="19:19" x14ac:dyDescent="0.25">
      <c r="S312" s="57"/>
    </row>
    <row r="313" spans="19:19" x14ac:dyDescent="0.25">
      <c r="S313" s="57"/>
    </row>
    <row r="314" spans="19:19" x14ac:dyDescent="0.25">
      <c r="S314" s="57"/>
    </row>
    <row r="315" spans="19:19" x14ac:dyDescent="0.25">
      <c r="S315" s="57"/>
    </row>
    <row r="316" spans="19:19" x14ac:dyDescent="0.25">
      <c r="S316" s="57"/>
    </row>
    <row r="317" spans="19:19" x14ac:dyDescent="0.25">
      <c r="S317" s="57"/>
    </row>
    <row r="318" spans="19:19" x14ac:dyDescent="0.25">
      <c r="S318" s="57"/>
    </row>
    <row r="319" spans="19:19" x14ac:dyDescent="0.25">
      <c r="S319" s="57"/>
    </row>
    <row r="320" spans="19:19" x14ac:dyDescent="0.25">
      <c r="S320" s="57"/>
    </row>
    <row r="321" spans="19:19" x14ac:dyDescent="0.25">
      <c r="S321" s="57"/>
    </row>
    <row r="322" spans="19:19" x14ac:dyDescent="0.25">
      <c r="S322" s="57"/>
    </row>
    <row r="323" spans="19:19" x14ac:dyDescent="0.25">
      <c r="S323" s="57"/>
    </row>
    <row r="324" spans="19:19" x14ac:dyDescent="0.25">
      <c r="S324" s="57"/>
    </row>
    <row r="325" spans="19:19" x14ac:dyDescent="0.25">
      <c r="S325" s="57"/>
    </row>
    <row r="326" spans="19:19" x14ac:dyDescent="0.25">
      <c r="S326" s="57"/>
    </row>
    <row r="327" spans="19:19" x14ac:dyDescent="0.25">
      <c r="S327" s="57"/>
    </row>
    <row r="328" spans="19:19" x14ac:dyDescent="0.25">
      <c r="S328" s="57"/>
    </row>
    <row r="329" spans="19:19" x14ac:dyDescent="0.25">
      <c r="S329" s="57"/>
    </row>
    <row r="330" spans="19:19" x14ac:dyDescent="0.25">
      <c r="S330" s="57"/>
    </row>
    <row r="331" spans="19:19" x14ac:dyDescent="0.25">
      <c r="S331" s="57"/>
    </row>
    <row r="332" spans="19:19" x14ac:dyDescent="0.25">
      <c r="S332" s="57"/>
    </row>
    <row r="333" spans="19:19" x14ac:dyDescent="0.25">
      <c r="S333" s="57"/>
    </row>
    <row r="334" spans="19:19" x14ac:dyDescent="0.25">
      <c r="S334" s="57"/>
    </row>
    <row r="335" spans="19:19" x14ac:dyDescent="0.25">
      <c r="S335" s="57"/>
    </row>
    <row r="336" spans="19:19" x14ac:dyDescent="0.25">
      <c r="S336" s="57"/>
    </row>
    <row r="337" spans="19:19" x14ac:dyDescent="0.25">
      <c r="S337" s="57"/>
    </row>
    <row r="338" spans="19:19" x14ac:dyDescent="0.25">
      <c r="S338" s="57"/>
    </row>
    <row r="339" spans="19:19" x14ac:dyDescent="0.25">
      <c r="S339" s="57"/>
    </row>
    <row r="340" spans="19:19" x14ac:dyDescent="0.25">
      <c r="S340" s="57"/>
    </row>
    <row r="341" spans="19:19" x14ac:dyDescent="0.25">
      <c r="S341" s="57"/>
    </row>
    <row r="342" spans="19:19" x14ac:dyDescent="0.25">
      <c r="S342" s="57"/>
    </row>
    <row r="343" spans="19:19" x14ac:dyDescent="0.25">
      <c r="S343" s="57"/>
    </row>
    <row r="344" spans="19:19" x14ac:dyDescent="0.25">
      <c r="S344" s="57"/>
    </row>
    <row r="345" spans="19:19" x14ac:dyDescent="0.25">
      <c r="S345" s="57"/>
    </row>
    <row r="346" spans="19:19" x14ac:dyDescent="0.25">
      <c r="S346" s="57"/>
    </row>
    <row r="347" spans="19:19" x14ac:dyDescent="0.25">
      <c r="S347" s="57"/>
    </row>
    <row r="348" spans="19:19" x14ac:dyDescent="0.25">
      <c r="S348" s="57"/>
    </row>
    <row r="349" spans="19:19" x14ac:dyDescent="0.25">
      <c r="S349" s="57"/>
    </row>
    <row r="350" spans="19:19" x14ac:dyDescent="0.25">
      <c r="S350" s="57"/>
    </row>
    <row r="351" spans="19:19" x14ac:dyDescent="0.25">
      <c r="S351" s="57"/>
    </row>
    <row r="352" spans="19:19" x14ac:dyDescent="0.25">
      <c r="S352" s="57"/>
    </row>
    <row r="353" spans="19:19" x14ac:dyDescent="0.25">
      <c r="S353" s="57"/>
    </row>
    <row r="354" spans="19:19" x14ac:dyDescent="0.25">
      <c r="S354" s="57"/>
    </row>
    <row r="355" spans="19:19" x14ac:dyDescent="0.25">
      <c r="S355" s="57"/>
    </row>
    <row r="356" spans="19:19" x14ac:dyDescent="0.25">
      <c r="S356" s="57"/>
    </row>
    <row r="357" spans="19:19" x14ac:dyDescent="0.25">
      <c r="S357" s="57"/>
    </row>
    <row r="358" spans="19:19" x14ac:dyDescent="0.25">
      <c r="S358" s="57"/>
    </row>
    <row r="359" spans="19:19" x14ac:dyDescent="0.25">
      <c r="S359" s="57"/>
    </row>
    <row r="360" spans="19:19" x14ac:dyDescent="0.25">
      <c r="S360" s="57"/>
    </row>
    <row r="361" spans="19:19" x14ac:dyDescent="0.25">
      <c r="S361" s="57"/>
    </row>
    <row r="362" spans="19:19" x14ac:dyDescent="0.25">
      <c r="S362" s="57"/>
    </row>
    <row r="363" spans="19:19" x14ac:dyDescent="0.25">
      <c r="S363" s="57"/>
    </row>
    <row r="364" spans="19:19" x14ac:dyDescent="0.25">
      <c r="S364" s="57"/>
    </row>
    <row r="365" spans="19:19" x14ac:dyDescent="0.25">
      <c r="S365" s="57"/>
    </row>
    <row r="366" spans="19:19" x14ac:dyDescent="0.25">
      <c r="S366" s="57"/>
    </row>
    <row r="367" spans="19:19" x14ac:dyDescent="0.25">
      <c r="S367" s="57"/>
    </row>
    <row r="368" spans="19:19" x14ac:dyDescent="0.25">
      <c r="S368" s="57"/>
    </row>
    <row r="369" spans="19:19" x14ac:dyDescent="0.25">
      <c r="S369" s="57"/>
    </row>
    <row r="370" spans="19:19" x14ac:dyDescent="0.25">
      <c r="S370" s="57"/>
    </row>
    <row r="371" spans="19:19" x14ac:dyDescent="0.25">
      <c r="S371" s="57"/>
    </row>
    <row r="372" spans="19:19" x14ac:dyDescent="0.25">
      <c r="S372" s="57"/>
    </row>
    <row r="373" spans="19:19" x14ac:dyDescent="0.25">
      <c r="S373" s="57"/>
    </row>
    <row r="374" spans="19:19" x14ac:dyDescent="0.25">
      <c r="S374" s="57"/>
    </row>
    <row r="375" spans="19:19" x14ac:dyDescent="0.25">
      <c r="S375" s="57"/>
    </row>
    <row r="376" spans="19:19" x14ac:dyDescent="0.25">
      <c r="S376" s="57"/>
    </row>
    <row r="377" spans="19:19" x14ac:dyDescent="0.25">
      <c r="S377" s="57"/>
    </row>
    <row r="378" spans="19:19" x14ac:dyDescent="0.25">
      <c r="S378" s="57"/>
    </row>
    <row r="379" spans="19:19" x14ac:dyDescent="0.25">
      <c r="S379" s="57"/>
    </row>
    <row r="380" spans="19:19" x14ac:dyDescent="0.25">
      <c r="S380" s="57"/>
    </row>
    <row r="381" spans="19:19" x14ac:dyDescent="0.25">
      <c r="S381" s="57"/>
    </row>
    <row r="382" spans="19:19" x14ac:dyDescent="0.25">
      <c r="S382" s="57"/>
    </row>
    <row r="383" spans="19:19" x14ac:dyDescent="0.25">
      <c r="S383" s="57"/>
    </row>
    <row r="384" spans="19:19" x14ac:dyDescent="0.25">
      <c r="S384" s="57"/>
    </row>
    <row r="385" spans="19:19" x14ac:dyDescent="0.25">
      <c r="S385" s="57"/>
    </row>
    <row r="386" spans="19:19" x14ac:dyDescent="0.25">
      <c r="S386" s="57"/>
    </row>
    <row r="387" spans="19:19" x14ac:dyDescent="0.25">
      <c r="S387" s="57"/>
    </row>
    <row r="388" spans="19:19" x14ac:dyDescent="0.25">
      <c r="S388" s="57"/>
    </row>
    <row r="389" spans="19:19" x14ac:dyDescent="0.25">
      <c r="S389" s="57"/>
    </row>
    <row r="390" spans="19:19" x14ac:dyDescent="0.25">
      <c r="S390" s="57"/>
    </row>
    <row r="391" spans="19:19" x14ac:dyDescent="0.25">
      <c r="S391" s="57"/>
    </row>
    <row r="392" spans="19:19" x14ac:dyDescent="0.25">
      <c r="S392" s="57"/>
    </row>
    <row r="393" spans="19:19" x14ac:dyDescent="0.25">
      <c r="S393" s="57"/>
    </row>
    <row r="394" spans="19:19" x14ac:dyDescent="0.25">
      <c r="S394" s="57"/>
    </row>
    <row r="395" spans="19:19" x14ac:dyDescent="0.25">
      <c r="S395" s="57"/>
    </row>
    <row r="396" spans="19:19" x14ac:dyDescent="0.25">
      <c r="S396" s="57"/>
    </row>
    <row r="397" spans="19:19" x14ac:dyDescent="0.25">
      <c r="S397" s="57"/>
    </row>
    <row r="398" spans="19:19" x14ac:dyDescent="0.25">
      <c r="S398" s="57"/>
    </row>
    <row r="399" spans="19:19" x14ac:dyDescent="0.25">
      <c r="S399" s="57"/>
    </row>
    <row r="400" spans="19:19" x14ac:dyDescent="0.25">
      <c r="S400" s="57"/>
    </row>
    <row r="401" spans="19:19" x14ac:dyDescent="0.25">
      <c r="S401" s="57"/>
    </row>
    <row r="402" spans="19:19" x14ac:dyDescent="0.25">
      <c r="S402" s="57"/>
    </row>
    <row r="403" spans="19:19" x14ac:dyDescent="0.25">
      <c r="S403" s="57"/>
    </row>
  </sheetData>
  <dataConsolidate/>
  <mergeCells count="36">
    <mergeCell ref="B1:H1"/>
    <mergeCell ref="B2:H2"/>
    <mergeCell ref="B3:C3"/>
    <mergeCell ref="B4:D4"/>
    <mergeCell ref="B5:D5"/>
    <mergeCell ref="A16:D16"/>
    <mergeCell ref="G15:H15"/>
    <mergeCell ref="H16:I16"/>
    <mergeCell ref="G11:H11"/>
    <mergeCell ref="A11:D11"/>
    <mergeCell ref="E11:F11"/>
    <mergeCell ref="A15:D15"/>
    <mergeCell ref="J6:K6"/>
    <mergeCell ref="B9:C9"/>
    <mergeCell ref="F9:I9"/>
    <mergeCell ref="J9:K9"/>
    <mergeCell ref="J10:K11"/>
    <mergeCell ref="B8:C8"/>
    <mergeCell ref="B7:D7"/>
    <mergeCell ref="J7:K7"/>
    <mergeCell ref="J8:K8"/>
    <mergeCell ref="F8:I8"/>
    <mergeCell ref="B6:C6"/>
    <mergeCell ref="F6:I6"/>
    <mergeCell ref="E10:H10"/>
    <mergeCell ref="N8:N9"/>
    <mergeCell ref="O8:O9"/>
    <mergeCell ref="E17:F17"/>
    <mergeCell ref="J17:K17"/>
    <mergeCell ref="L10:L11"/>
    <mergeCell ref="J12:K12"/>
    <mergeCell ref="J15:K15"/>
    <mergeCell ref="J13:K13"/>
    <mergeCell ref="J14:K14"/>
    <mergeCell ref="J16:K16"/>
    <mergeCell ref="H17:I17"/>
  </mergeCells>
  <dataValidations count="10">
    <dataValidation type="list" allowBlank="1" showInputMessage="1" showErrorMessage="1" sqref="G16 G13">
      <formula1>$R$1:$R$2</formula1>
    </dataValidation>
    <dataValidation type="list" allowBlank="1" showInputMessage="1" showErrorMessage="1" sqref="G15">
      <formula1>$U$1:$U$3</formula1>
    </dataValidation>
    <dataValidation type="list" allowBlank="1" showInputMessage="1" showErrorMessage="1" sqref="G14">
      <formula1>$T$1:$T$15</formula1>
    </dataValidation>
    <dataValidation type="list" allowBlank="1" showInputMessage="1" showErrorMessage="1" sqref="G12">
      <formula1>$S$1:$S$96</formula1>
    </dataValidation>
    <dataValidation type="date" operator="greaterThan" allowBlank="1" showInputMessage="1" showErrorMessage="1" sqref="B3:C3">
      <formula1>38595</formula1>
    </dataValidation>
    <dataValidation type="list" allowBlank="1" showInputMessage="1" showErrorMessage="1" sqref="B7:D7">
      <formula1>$V$1:$V$4</formula1>
    </dataValidation>
    <dataValidation type="list" allowBlank="1" showInputMessage="1" showErrorMessage="1" sqref="B9:C9">
      <formula1>$W$1:$W$3</formula1>
    </dataValidation>
    <dataValidation type="list" allowBlank="1" showInputMessage="1" showErrorMessage="1" sqref="O6">
      <formula1>$X$1:$X$5</formula1>
    </dataValidation>
    <dataValidation type="list" allowBlank="1" showInputMessage="1" showErrorMessage="1" sqref="O7">
      <formula1>$Y$1:$Y$7</formula1>
    </dataValidation>
    <dataValidation type="list" allowBlank="1" showInputMessage="1" showErrorMessage="1" sqref="O5">
      <formula1>$Z$1:$Z$3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verticalDpi="0" r:id="rId1"/>
  <colBreaks count="1" manualBreakCount="1">
    <brk id="12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13" sqref="B13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20" sqref="E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Vict Maj DCD</vt:lpstr>
      <vt:lpstr>Vict Min DCD</vt:lpstr>
      <vt:lpstr>Victime Blessée</vt:lpstr>
      <vt:lpstr>Feuil1</vt:lpstr>
      <vt:lpstr>Feuil2</vt:lpstr>
      <vt:lpstr>'Vict Maj DCD'!Zone_d_impression</vt:lpstr>
      <vt:lpstr>'Vict Min DCD'!Zone_d_impression</vt:lpstr>
      <vt:lpstr>'Victime Blessée'!Zone_d_impression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amahi</dc:creator>
  <cp:lastModifiedBy>Abderrahmane HAMADAS</cp:lastModifiedBy>
  <cp:lastPrinted>2016-03-03T16:00:53Z</cp:lastPrinted>
  <dcterms:created xsi:type="dcterms:W3CDTF">2011-07-24T10:57:09Z</dcterms:created>
  <dcterms:modified xsi:type="dcterms:W3CDTF">2019-12-19T18:33:17Z</dcterms:modified>
</cp:coreProperties>
</file>