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0490" windowHeight="7620" tabRatio="602" firstSheet="2" activeTab="2"/>
  </bookViews>
  <sheets>
    <sheet name="." sheetId="5" state="hidden" r:id="rId1"/>
    <sheet name="Base_Sinistre" sheetId="2" state="veryHidden" r:id="rId2"/>
    <sheet name="Modèle_Sinistre" sheetId="1" r:id="rId3"/>
    <sheet name="Base_Epave" sheetId="9" state="veryHidden" r:id="rId4"/>
    <sheet name="Modèle_Epave" sheetId="10" state="veryHidden" r:id="rId5"/>
    <sheet name="Autorisation" sheetId="3" state="hidden" r:id="rId6"/>
    <sheet name="Reseaux" sheetId="6" state="hidden" r:id="rId7"/>
    <sheet name="Récap" sheetId="8" state="hidden" r:id="rId8"/>
    <sheet name="liste expert" sheetId="11" state="hidden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3">'[3]URSSAF PAGE SAISIE'!#REF!</definedName>
    <definedName name="base100CPAcsgcrds">'[3]URSSAF PAGE SAISIE'!#REF!</definedName>
    <definedName name="base97CPAcsgcrds" localSheetId="3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3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3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3">'[3]URSSAF PAGE SAISIE'!#REF!</definedName>
    <definedName name="basececplafonnee">'[3]URSSAF PAGE SAISIE'!#REF!</definedName>
    <definedName name="basecectotalite" localSheetId="3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3">[1]BORDEREAU!#REF!</definedName>
    <definedName name="basehscaeT">[1]BORDEREAU!#REF!</definedName>
    <definedName name="basehscaplafonnée" localSheetId="3">'[3]URSSAF PAGE SAISIE'!#REF!</definedName>
    <definedName name="basehscaplafonnée">'[3]URSSAF PAGE SAISIE'!#REF!</definedName>
    <definedName name="basehscaT" localSheetId="3">'[3]URSSAF PAGE SAISIE'!#REF!</definedName>
    <definedName name="basehscaT">'[3]URSSAF PAGE SAISIE'!#REF!</definedName>
    <definedName name="basehscecplafonnée" localSheetId="3">'[3]URSSAF PAGE SAISIE'!#REF!</definedName>
    <definedName name="basehscecplafonnée">'[3]URSSAF PAGE SAISIE'!#REF!</definedName>
    <definedName name="basehscecT" localSheetId="3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3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3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3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3">Tableau1[agence]</definedName>
    <definedName name="listeDR">Tableau1[agence]</definedName>
    <definedName name="listeDR2">Reseaux!$I$2:$I$8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3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4">Modèle_Epave!$B$1:$G$53</definedName>
    <definedName name="_xlnm.Print_Area" localSheetId="2">Modèle_Sinistre!$B$1:$G$53</definedName>
  </definedNames>
  <calcPr calcId="162913"/>
</workbook>
</file>

<file path=xl/calcChain.xml><?xml version="1.0" encoding="utf-8"?>
<calcChain xmlns="http://schemas.openxmlformats.org/spreadsheetml/2006/main">
  <c r="F21" i="2" l="1"/>
  <c r="A12" i="2"/>
  <c r="A13" i="2" s="1"/>
  <c r="A11" i="2"/>
  <c r="F14" i="2" l="1"/>
  <c r="E21" i="2" l="1"/>
  <c r="N11" i="2" l="1"/>
  <c r="N10" i="2"/>
  <c r="D24" i="2"/>
  <c r="D25" i="2"/>
  <c r="E16" i="2" l="1"/>
  <c r="H25" i="2" l="1"/>
  <c r="I25" i="2"/>
  <c r="D31" i="10" l="1"/>
  <c r="E25" i="10"/>
  <c r="E23" i="10"/>
  <c r="E21" i="10"/>
  <c r="E19" i="10"/>
  <c r="I12" i="2" l="1"/>
  <c r="F11" i="2" s="1"/>
  <c r="F13" i="2" s="1"/>
  <c r="F18" i="2" s="1"/>
  <c r="F13" i="9" l="1"/>
  <c r="E27" i="10" s="1"/>
  <c r="E16" i="9"/>
  <c r="F15" i="9" s="1"/>
  <c r="F16" i="9" s="1"/>
  <c r="E31" i="10" s="1"/>
  <c r="E9" i="9"/>
  <c r="G20" i="2"/>
  <c r="F24" i="2" l="1"/>
  <c r="F25" i="2"/>
  <c r="F13" i="10"/>
  <c r="G1" i="10"/>
  <c r="F19" i="9" l="1"/>
  <c r="E29" i="10"/>
  <c r="E33" i="10" s="1"/>
  <c r="F13" i="1"/>
  <c r="E21" i="1" l="1"/>
  <c r="E24" i="1" s="1"/>
  <c r="M12" i="1" l="1"/>
  <c r="D18" i="9" l="1"/>
  <c r="F18" i="9" s="1"/>
  <c r="G17" i="2" l="1"/>
  <c r="G16" i="2"/>
  <c r="G10" i="2" l="1"/>
  <c r="G9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B5" i="5"/>
  <c r="G1" i="1"/>
  <c r="G23" i="2"/>
  <c r="G19" i="2"/>
  <c r="G14" i="2"/>
  <c r="G12" i="2"/>
  <c r="G11" i="2"/>
  <c r="G8" i="2"/>
  <c r="G13" i="2" l="1"/>
  <c r="G18" i="2" s="1"/>
  <c r="G21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24" i="2" l="1"/>
  <c r="F26" i="2"/>
  <c r="O27" i="2"/>
  <c r="G5" i="5"/>
  <c r="L5" i="5" s="1"/>
  <c r="O21" i="2"/>
  <c r="O22" i="2"/>
  <c r="P22" i="2"/>
  <c r="P5" i="5"/>
  <c r="AG5" i="5"/>
  <c r="AB5" i="5"/>
  <c r="M5" i="5"/>
  <c r="AQ5" i="5" s="1"/>
  <c r="S5" i="5"/>
  <c r="K5" i="5" s="1"/>
  <c r="G25" i="2" l="1"/>
  <c r="O28" i="2"/>
  <c r="O25" i="2"/>
  <c r="O24" i="2"/>
  <c r="O29" i="2"/>
  <c r="V5" i="5"/>
  <c r="W5" i="5" s="1"/>
  <c r="AM5" i="5"/>
  <c r="AP5" i="5"/>
  <c r="AZ5" i="5"/>
  <c r="AI5" i="5" s="1"/>
  <c r="X5" i="5"/>
  <c r="Y5" i="5"/>
  <c r="AU5" i="5"/>
  <c r="AC5" i="5" s="1"/>
  <c r="N5" i="5"/>
  <c r="AY5" i="5"/>
  <c r="AH5" i="5" s="1"/>
  <c r="T5" i="5"/>
  <c r="H5" i="5"/>
  <c r="Q5" i="5"/>
  <c r="R5" i="5" s="1"/>
  <c r="J5" i="5"/>
  <c r="P28" i="2" l="1"/>
  <c r="G26" i="2"/>
  <c r="P29" i="2" s="1"/>
  <c r="P27" i="2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0" s="1"/>
  <c r="B14" i="1" l="1"/>
  <c r="O26" i="2"/>
  <c r="P26" i="2" l="1"/>
  <c r="P21" i="2"/>
  <c r="I22" i="8"/>
  <c r="E27" i="8"/>
  <c r="C34" i="8"/>
  <c r="G7" i="8"/>
  <c r="E6" i="8"/>
  <c r="D12" i="8"/>
  <c r="H29" i="8"/>
  <c r="G13" i="8"/>
  <c r="D14" i="8"/>
  <c r="D10" i="8"/>
  <c r="H19" i="8"/>
  <c r="F23" i="8"/>
  <c r="G30" i="8"/>
  <c r="C28" i="8"/>
  <c r="I18" i="8"/>
  <c r="D36" i="8"/>
  <c r="C32" i="8"/>
  <c r="D2" i="8"/>
  <c r="G29" i="8"/>
  <c r="D21" i="8"/>
  <c r="I12" i="8"/>
  <c r="I14" i="8"/>
  <c r="G19" i="8"/>
  <c r="I6" i="8"/>
  <c r="I28" i="8"/>
  <c r="E23" i="8"/>
  <c r="H21" i="8"/>
  <c r="F13" i="8"/>
  <c r="H28" i="8"/>
  <c r="B22" i="8"/>
  <c r="H4" i="8"/>
  <c r="I8" i="8"/>
  <c r="H26" i="8"/>
  <c r="E22" i="8"/>
  <c r="B9" i="8"/>
  <c r="B21" i="8"/>
  <c r="C35" i="8"/>
  <c r="E24" i="8"/>
  <c r="G11" i="8"/>
  <c r="I9" i="8"/>
  <c r="C12" i="8"/>
  <c r="C11" i="8"/>
  <c r="B7" i="8"/>
  <c r="D13" i="8"/>
  <c r="G20" i="8"/>
  <c r="H27" i="8"/>
  <c r="F35" i="8"/>
  <c r="D34" i="8"/>
  <c r="E20" i="8"/>
  <c r="E31" i="8"/>
  <c r="H30" i="8"/>
  <c r="G37" i="8"/>
  <c r="G9" i="8"/>
  <c r="C29" i="8"/>
  <c r="C33" i="8"/>
  <c r="D22" i="8"/>
  <c r="D4" i="8"/>
  <c r="E35" i="8"/>
  <c r="B5" i="8"/>
  <c r="G23" i="8"/>
  <c r="F15" i="8"/>
  <c r="G36" i="8"/>
  <c r="E9" i="8"/>
  <c r="B26" i="8"/>
  <c r="C17" i="8"/>
  <c r="G12" i="8"/>
  <c r="H34" i="8"/>
  <c r="H31" i="8"/>
  <c r="G4" i="8"/>
  <c r="F8" i="8"/>
  <c r="I13" i="8"/>
  <c r="B27" i="8"/>
  <c r="D9" i="8"/>
  <c r="E11" i="8"/>
  <c r="I26" i="8"/>
  <c r="E2" i="8"/>
  <c r="I21" i="8"/>
  <c r="F3" i="8"/>
  <c r="H24" i="8"/>
  <c r="F10" i="8"/>
  <c r="D20" i="8"/>
  <c r="G16" i="8"/>
  <c r="C20" i="8"/>
  <c r="H7" i="8"/>
  <c r="F27" i="8"/>
  <c r="E15" i="8"/>
  <c r="H8" i="8"/>
  <c r="I35" i="8"/>
  <c r="I7" i="8"/>
  <c r="I5" i="8"/>
  <c r="E30" i="8"/>
  <c r="D11" i="8"/>
  <c r="C10" i="8"/>
  <c r="B36" i="8"/>
  <c r="C30" i="8"/>
  <c r="H6" i="8"/>
  <c r="H33" i="8"/>
  <c r="I34" i="8"/>
  <c r="H23" i="8"/>
  <c r="E21" i="8"/>
  <c r="B4" i="8"/>
  <c r="D18" i="8"/>
  <c r="I23" i="8"/>
  <c r="F5" i="8"/>
  <c r="F9" i="8"/>
  <c r="I36" i="8"/>
  <c r="E34" i="8"/>
  <c r="D16" i="8"/>
  <c r="E8" i="8"/>
  <c r="B35" i="8"/>
  <c r="E10" i="8"/>
  <c r="G2" i="8"/>
  <c r="F11" i="8"/>
  <c r="B15" i="8"/>
  <c r="C21" i="8"/>
  <c r="B25" i="8"/>
  <c r="D5" i="8"/>
  <c r="H10" i="8"/>
  <c r="B11" i="8"/>
  <c r="F20" i="8"/>
  <c r="E28" i="8"/>
  <c r="E32" i="8"/>
  <c r="G35" i="8"/>
  <c r="E37" i="8"/>
  <c r="G33" i="8"/>
  <c r="E29" i="8"/>
  <c r="B33" i="8"/>
  <c r="E3" i="8"/>
  <c r="F25" i="8"/>
  <c r="I30" i="8"/>
  <c r="D27" i="8"/>
  <c r="E7" i="8"/>
  <c r="D15" i="8"/>
  <c r="B28" i="8"/>
  <c r="B10" i="8"/>
  <c r="I16" i="8"/>
  <c r="E16" i="8"/>
  <c r="C27" i="8"/>
  <c r="D23" i="8"/>
  <c r="G8" i="8"/>
  <c r="D35" i="8"/>
  <c r="G26" i="8"/>
  <c r="I11" i="8"/>
  <c r="F32" i="8"/>
  <c r="E26" i="8"/>
  <c r="H9" i="8"/>
  <c r="C7" i="8"/>
  <c r="F2" i="8"/>
  <c r="F26" i="8"/>
  <c r="H25" i="8"/>
  <c r="C15" i="8"/>
  <c r="H11" i="8"/>
  <c r="F7" i="8"/>
  <c r="D25" i="8"/>
  <c r="D19" i="8"/>
  <c r="H18" i="8"/>
  <c r="B8" i="8"/>
  <c r="E36" i="8"/>
  <c r="B31" i="8"/>
  <c r="I2" i="8"/>
  <c r="I29" i="8"/>
  <c r="B20" i="8"/>
  <c r="F28" i="8"/>
  <c r="B34" i="8"/>
  <c r="C16" i="8"/>
  <c r="G6" i="8"/>
  <c r="F24" i="8"/>
  <c r="H2" i="8"/>
  <c r="D37" i="8"/>
  <c r="B19" i="8"/>
  <c r="F12" i="8"/>
  <c r="G25" i="8"/>
  <c r="G34" i="8"/>
  <c r="F4" i="8"/>
  <c r="G5" i="8"/>
  <c r="B18" i="8"/>
  <c r="I27" i="8"/>
  <c r="F34" i="8"/>
  <c r="B30" i="8"/>
  <c r="I15" i="8"/>
  <c r="H13" i="8"/>
  <c r="H35" i="8"/>
  <c r="I20" i="8"/>
  <c r="C13" i="8"/>
  <c r="C19" i="8"/>
  <c r="C2" i="8"/>
  <c r="F31" i="8"/>
  <c r="C18" i="8"/>
  <c r="D32" i="8"/>
  <c r="B32" i="8"/>
  <c r="C37" i="8"/>
  <c r="C6" i="8"/>
  <c r="I17" i="8"/>
  <c r="H16" i="8"/>
  <c r="D7" i="8"/>
  <c r="B16" i="8"/>
  <c r="H17" i="8"/>
  <c r="F21" i="8"/>
  <c r="D29" i="8"/>
  <c r="E33" i="8"/>
  <c r="D8" i="8"/>
  <c r="E17" i="8"/>
  <c r="D17" i="8"/>
  <c r="G28" i="8"/>
  <c r="F6" i="8"/>
  <c r="F29" i="8"/>
  <c r="F33" i="8"/>
  <c r="E5" i="8"/>
  <c r="E18" i="8"/>
  <c r="E4" i="8"/>
  <c r="H37" i="8"/>
  <c r="F16" i="8"/>
  <c r="G27" i="8"/>
  <c r="G10" i="8"/>
  <c r="B37" i="8"/>
  <c r="F37" i="8"/>
  <c r="F17" i="8"/>
  <c r="H36" i="8"/>
  <c r="I32" i="8"/>
  <c r="E19" i="8"/>
  <c r="D3" i="8"/>
  <c r="E14" i="8"/>
  <c r="E25" i="8"/>
  <c r="F18" i="8"/>
  <c r="I10" i="8"/>
  <c r="C24" i="8"/>
  <c r="B24" i="8"/>
  <c r="G24" i="8"/>
  <c r="C25" i="8"/>
  <c r="C23" i="8"/>
  <c r="I19" i="8"/>
  <c r="G31" i="8"/>
  <c r="I4" i="8"/>
  <c r="H12" i="8"/>
  <c r="F14" i="8"/>
  <c r="D6" i="8"/>
  <c r="G18" i="8"/>
  <c r="B14" i="8"/>
  <c r="C36" i="8"/>
  <c r="B2" i="8"/>
  <c r="B3" i="8"/>
  <c r="F36" i="8"/>
  <c r="H15" i="8"/>
  <c r="B6" i="8"/>
  <c r="B23" i="8"/>
  <c r="G21" i="8"/>
  <c r="G17" i="8"/>
  <c r="B29" i="8"/>
  <c r="I3" i="8"/>
  <c r="I25" i="8"/>
  <c r="E13" i="8"/>
  <c r="C8" i="8"/>
  <c r="D26" i="8"/>
  <c r="H22" i="8"/>
  <c r="C3" i="8"/>
  <c r="F22" i="8"/>
  <c r="D30" i="8"/>
  <c r="H3" i="8"/>
  <c r="D31" i="8"/>
  <c r="I31" i="8"/>
  <c r="D28" i="8"/>
  <c r="C4" i="8"/>
  <c r="H14" i="8"/>
  <c r="B12" i="8"/>
  <c r="I24" i="8"/>
  <c r="C9" i="8"/>
  <c r="C14" i="8"/>
  <c r="B13" i="8"/>
  <c r="G22" i="8"/>
  <c r="E12" i="8"/>
  <c r="B17" i="8"/>
  <c r="I33" i="8"/>
  <c r="H32" i="8"/>
  <c r="H5" i="8"/>
  <c r="G3" i="8"/>
  <c r="G15" i="8"/>
  <c r="C22" i="8"/>
  <c r="G14" i="8"/>
  <c r="C31" i="8"/>
  <c r="I37" i="8"/>
  <c r="C5" i="8"/>
  <c r="F19" i="8"/>
  <c r="H20" i="8"/>
  <c r="D24" i="8"/>
  <c r="F30" i="8"/>
  <c r="D33" i="8"/>
  <c r="C26" i="8"/>
  <c r="G32" i="8"/>
</calcChain>
</file>

<file path=xl/sharedStrings.xml><?xml version="1.0" encoding="utf-8"?>
<sst xmlns="http://schemas.openxmlformats.org/spreadsheetml/2006/main" count="1041" uniqueCount="627">
  <si>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</si>
  <si>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</si>
  <si>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</si>
  <si>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</si>
  <si>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</si>
  <si>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</si>
  <si>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</si>
  <si>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</si>
  <si>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</si>
  <si>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</si>
  <si>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</si>
  <si>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</si>
  <si>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</si>
  <si>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</si>
  <si>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</si>
  <si>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</si>
  <si>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</si>
  <si>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</si>
  <si>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</si>
  <si>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</si>
  <si>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</si>
  <si>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</si>
  <si>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</si>
  <si>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</si>
  <si>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</si>
  <si>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</si>
  <si>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</si>
  <si>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</si>
  <si>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</si>
  <si>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</si>
  <si>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</si>
  <si>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</si>
  <si>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</si>
  <si>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</si>
  <si>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</si>
  <si>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</si>
  <si>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</si>
  <si>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</si>
  <si>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</si>
  <si>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</si>
  <si>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</si>
  <si>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</si>
  <si>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</si>
  <si>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</si>
  <si>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</si>
  <si>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</si>
  <si>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</si>
  <si>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</si>
  <si>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</si>
  <si>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</si>
  <si>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</si>
  <si>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</si>
  <si>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</si>
  <si>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</si>
  <si>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</si>
  <si>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</si>
  <si>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</si>
  <si>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</si>
  <si>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</si>
  <si>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</si>
  <si>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</si>
  <si>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</si>
  <si>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</si>
  <si>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</si>
  <si>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</si>
  <si>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</si>
  <si>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</si>
  <si>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</si>
  <si>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</si>
  <si>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</si>
  <si>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</si>
  <si>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</si>
  <si>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</si>
  <si>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</si>
  <si>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</si>
  <si>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</si>
  <si>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</si>
  <si>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</si>
  <si>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</si>
  <si>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</si>
  <si>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</si>
  <si>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</si>
  <si>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</si>
  <si>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</si>
  <si>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</si>
  <si>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</si>
  <si>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</si>
  <si>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</si>
  <si>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</si>
  <si>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</si>
  <si>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</si>
  <si>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</si>
  <si>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</si>
  <si>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</si>
  <si>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</si>
  <si>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</si>
  <si>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</si>
  <si>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</si>
  <si>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</si>
  <si>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</si>
  <si>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</si>
  <si>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</si>
  <si>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</si>
  <si>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</si>
  <si>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</si>
  <si>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</si>
  <si>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</si>
  <si>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</si>
  <si>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</si>
  <si>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</si>
  <si>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</si>
  <si>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</si>
  <si>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</si>
  <si>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</si>
  <si>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</si>
  <si>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</si>
  <si>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</si>
  <si>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</si>
  <si>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</si>
  <si>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</si>
  <si>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</si>
  <si>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</si>
  <si>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</si>
  <si>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</si>
  <si>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</si>
  <si>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</si>
  <si>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</si>
  <si>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</si>
  <si>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</si>
  <si>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</si>
  <si>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</si>
  <si>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</si>
  <si>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</si>
  <si>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</si>
  <si>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</si>
  <si>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</si>
  <si>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</si>
  <si>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</si>
  <si>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</si>
  <si>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</si>
  <si>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</si>
  <si>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</si>
  <si>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</si>
  <si>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</si>
  <si>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</si>
  <si>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</si>
  <si>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</si>
  <si>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</si>
  <si>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</si>
  <si>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</si>
  <si>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</si>
  <si>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</si>
  <si>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</si>
  <si>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</si>
  <si>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</si>
  <si>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</si>
  <si>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</si>
  <si>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</si>
  <si>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</si>
  <si>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</si>
  <si>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</si>
  <si>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</si>
  <si>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</si>
  <si>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</si>
  <si>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</si>
  <si>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</si>
  <si>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</si>
  <si>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</si>
  <si>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</si>
  <si>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</si>
  <si>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</si>
  <si>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</si>
  <si>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</si>
  <si>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</si>
  <si>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</si>
  <si>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</si>
  <si>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</si>
  <si>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</si>
  <si>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</si>
  <si>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</si>
  <si>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</si>
  <si>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</si>
  <si>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</si>
  <si>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</si>
  <si>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</si>
  <si>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</si>
  <si>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</si>
  <si>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</si>
  <si>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</si>
  <si>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</si>
  <si>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</si>
  <si>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</si>
  <si>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</si>
  <si>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</si>
  <si>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</si>
  <si>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</si>
  <si>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</si>
  <si>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</si>
  <si>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</si>
  <si>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</si>
  <si>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</si>
  <si>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</si>
  <si>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</si>
  <si>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</si>
  <si>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</si>
  <si>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</si>
  <si>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</si>
  <si>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</si>
  <si>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</si>
  <si>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</si>
  <si>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</si>
  <si>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</si>
  <si>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</si>
  <si>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</si>
  <si>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</si>
  <si>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</si>
  <si>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</si>
  <si>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</si>
  <si>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</si>
  <si>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</si>
  <si>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</si>
  <si>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</si>
  <si>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</si>
  <si>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</si>
  <si>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</si>
  <si>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</si>
  <si>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</si>
  <si>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</si>
  <si>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</si>
  <si>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</si>
  <si>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</si>
  <si>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</si>
  <si>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</si>
  <si>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</si>
  <si>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</si>
  <si>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</si>
  <si>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</si>
  <si>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</si>
  <si>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</si>
  <si>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</si>
  <si>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</si>
  <si>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</si>
  <si>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</si>
  <si>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</si>
  <si>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</si>
  <si>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</si>
  <si>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</si>
  <si>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</si>
  <si>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</si>
  <si>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</si>
  <si>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</si>
  <si>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</si>
  <si>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</si>
  <si>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</si>
  <si>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</si>
  <si>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</si>
  <si>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</si>
  <si>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</si>
  <si>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</si>
  <si>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</si>
  <si>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</si>
  <si>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</si>
  <si>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</si>
  <si>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</si>
  <si>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</si>
  <si>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</si>
  <si>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</si>
  <si>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</si>
  <si>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</si>
  <si>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</si>
  <si>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</si>
  <si>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</si>
  <si>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</si>
  <si>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</si>
  <si>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</si>
  <si>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</si>
  <si>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</si>
  <si>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</si>
  <si>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</si>
  <si>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</si>
  <si>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</si>
  <si>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</si>
  <si>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</si>
  <si>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</si>
  <si>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</si>
  <si>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</si>
  <si>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</si>
  <si>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</si>
  <si>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</si>
  <si>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</si>
  <si>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</si>
  <si>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</si>
  <si>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</si>
  <si>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</si>
  <si>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</si>
  <si>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</si>
  <si>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</si>
  <si>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</si>
  <si>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</si>
  <si>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</si>
  <si>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</si>
  <si>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</si>
  <si>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</si>
  <si>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</si>
  <si>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</si>
  <si>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</si>
  <si>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</si>
  <si>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</si>
  <si>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</si>
  <si>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</si>
  <si>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</si>
  <si>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</si>
  <si>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</si>
  <si>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</si>
  <si>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</si>
  <si>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</si>
  <si>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</si>
  <si>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</si>
  <si>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</si>
  <si>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</si>
  <si>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</si>
  <si>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</si>
  <si>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</si>
  <si>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</si>
  <si>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</si>
  <si>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</si>
  <si>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</si>
  <si>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</si>
  <si>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</si>
  <si>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</si>
  <si>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</si>
  <si>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</si>
  <si>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</si>
  <si>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</si>
  <si>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</si>
  <si>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</si>
  <si>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</si>
  <si>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</si>
  <si>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</si>
  <si>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</si>
  <si>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</si>
  <si>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</si>
  <si>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</si>
  <si>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</si>
  <si>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</si>
  <si>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</si>
  <si>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</si>
  <si>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</si>
  <si>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</si>
  <si>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</si>
  <si>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</si>
  <si>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</si>
  <si>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</si>
  <si>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</si>
  <si>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</si>
  <si>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</si>
  <si>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</si>
  <si>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</si>
  <si>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</si>
  <si>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</si>
  <si>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</si>
  <si>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</si>
  <si>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</si>
  <si>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</si>
  <si>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</si>
  <si>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</si>
  <si>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</si>
  <si>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</si>
  <si>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</si>
  <si>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</si>
  <si>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</si>
  <si>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</si>
  <si>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</si>
  <si>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</si>
  <si>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</si>
  <si>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</si>
  <si>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</si>
  <si>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</si>
  <si>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</si>
  <si>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</si>
  <si>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</si>
  <si>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</si>
  <si>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</si>
  <si>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</si>
  <si>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</si>
  <si>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</si>
  <si>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</si>
  <si>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</si>
  <si>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</si>
  <si>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</si>
  <si>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</si>
  <si>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</si>
  <si>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</si>
  <si>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</si>
  <si>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</si>
  <si>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</si>
  <si>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</si>
  <si>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</si>
  <si>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</si>
  <si>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</si>
  <si>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</si>
  <si>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</si>
  <si>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</si>
  <si>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</si>
  <si>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</si>
  <si>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</si>
  <si>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</si>
  <si>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</si>
  <si>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</si>
  <si>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</si>
  <si>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</si>
  <si>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</si>
  <si>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</si>
  <si>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</si>
  <si>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</si>
  <si>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</si>
  <si>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</si>
  <si>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</si>
  <si>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</si>
  <si>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</si>
  <si>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</si>
  <si>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</si>
  <si>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</si>
  <si>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</si>
  <si>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</si>
  <si>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</si>
  <si>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</si>
  <si>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</si>
  <si>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</si>
  <si>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</si>
  <si>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</si>
  <si>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</si>
  <si>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</si>
  <si>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</si>
  <si>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</si>
  <si>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</si>
  <si>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</si>
  <si>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</si>
  <si>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</si>
  <si>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</si>
  <si>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</si>
  <si>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</si>
  <si>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</si>
  <si>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</si>
  <si>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</si>
  <si>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</si>
  <si>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</si>
  <si>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</si>
  <si>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</si>
  <si>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</si>
  <si>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</si>
  <si>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</si>
  <si>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</si>
  <si>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</si>
  <si>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</si>
  <si>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</si>
  <si>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</si>
  <si>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</si>
  <si>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</si>
  <si>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</si>
  <si>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</si>
  <si>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</si>
  <si>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</si>
  <si>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</si>
  <si>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</si>
  <si>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</si>
  <si>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</si>
  <si>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</si>
  <si>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</si>
  <si>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</si>
  <si>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</si>
  <si>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</si>
  <si>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</si>
  <si>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</si>
  <si>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</si>
  <si>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</si>
  <si>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</si>
  <si>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</si>
  <si>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</si>
  <si>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</si>
  <si>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</si>
  <si>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</si>
  <si>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</si>
  <si>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</si>
  <si>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</si>
  <si>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</si>
  <si>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</si>
  <si>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</si>
  <si>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</si>
  <si>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</si>
  <si>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</si>
  <si>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</si>
  <si>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</si>
  <si>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</si>
  <si>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</si>
  <si>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</si>
  <si>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</si>
  <si>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</si>
  <si>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</si>
  <si>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</si>
  <si>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</si>
  <si>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</si>
  <si>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</si>
  <si>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</si>
  <si>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</si>
  <si>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</si>
  <si>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</si>
  <si>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</si>
  <si>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</si>
  <si>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</si>
  <si>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</si>
  <si>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</si>
  <si>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</si>
  <si>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</si>
  <si>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</si>
  <si>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</si>
  <si>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</si>
  <si>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</si>
  <si>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</si>
  <si>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</si>
  <si>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</si>
  <si>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</si>
  <si>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</si>
  <si>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</si>
  <si>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</si>
  <si>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</si>
  <si>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</si>
  <si>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</si>
  <si>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</si>
  <si>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</si>
  <si>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</si>
  <si>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</si>
  <si>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</si>
  <si>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</si>
  <si>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</si>
  <si>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</si>
  <si>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</si>
  <si>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</si>
  <si>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</si>
  <si>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</si>
  <si>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</si>
  <si>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</si>
  <si>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</si>
  <si>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</si>
  <si>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</si>
  <si>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</si>
  <si>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</si>
  <si>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</si>
  <si>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</si>
  <si>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</si>
  <si>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</si>
  <si>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</si>
  <si>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</si>
  <si>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</si>
  <si>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</si>
  <si>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</si>
  <si>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</si>
  <si>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</si>
  <si>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</si>
  <si>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</si>
  <si>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</si>
  <si>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</si>
  <si>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</si>
  <si>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</si>
  <si>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</si>
  <si>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</si>
  <si>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</si>
  <si>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</si>
  <si>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</si>
  <si>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</si>
  <si>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</si>
  <si>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</si>
  <si>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</si>
  <si>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</si>
  <si>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</si>
  <si>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</si>
  <si>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</si>
  <si>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</si>
  <si>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</si>
  <si>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</si>
  <si>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</si>
  <si>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</si>
  <si>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</si>
  <si>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</si>
  <si>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</si>
  <si>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</si>
  <si>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</si>
  <si>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</si>
  <si>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</si>
  <si>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</si>
  <si>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</si>
  <si>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</si>
  <si>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</si>
  <si>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</si>
  <si>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</si>
  <si>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</si>
  <si>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</si>
  <si>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</si>
  <si>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>S/total (01)</t>
  </si>
  <si>
    <t>S/total (02)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</si>
  <si>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</si>
  <si>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>Au profit du bénificiare ………………………………………………………………, et cela au  titre de la garantie</t>
  </si>
  <si>
    <t>Sous total REG Prp Usage</t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</si>
  <si>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Valeur Assurée   :                              </t>
    </r>
  </si>
  <si>
    <t xml:space="preserve">                                     Valeur Vénale     :                             </t>
  </si>
  <si>
    <r>
      <t xml:space="preserve">        Valeur épave </t>
    </r>
    <r>
      <rPr>
        <b/>
        <sz val="16"/>
        <color theme="1"/>
        <rFont val="Calibri"/>
        <family val="2"/>
        <scheme val="minor"/>
      </rPr>
      <t xml:space="preserve">  </t>
    </r>
    <r>
      <rPr>
        <sz val="16"/>
        <color theme="1"/>
        <rFont val="Calibri"/>
        <family val="2"/>
        <scheme val="minor"/>
      </rPr>
      <t xml:space="preserve">    :                            </t>
    </r>
  </si>
  <si>
    <t xml:space="preserve">         </t>
  </si>
  <si>
    <r>
      <t xml:space="preserve">                   </t>
    </r>
    <r>
      <rPr>
        <b/>
        <sz val="16"/>
        <color theme="1"/>
        <rFont val="Calibri"/>
        <family val="2"/>
        <scheme val="minor"/>
      </rPr>
      <t xml:space="preserve">Montant du préjudice   :            </t>
    </r>
  </si>
  <si>
    <t xml:space="preserve">   Régle Proprotionnelle    :</t>
  </si>
  <si>
    <t xml:space="preserve">Fournitures                                 </t>
  </si>
  <si>
    <t xml:space="preserve">Main d'oeuvre                                     </t>
  </si>
  <si>
    <t xml:space="preserve">Peinture                                                </t>
  </si>
  <si>
    <t xml:space="preserve">Vetusté sauf BDG   05%                                </t>
  </si>
  <si>
    <t xml:space="preserve">Régle Proprotionnelle    </t>
  </si>
  <si>
    <t xml:space="preserve">Franchise                              </t>
  </si>
  <si>
    <t xml:space="preserve">Immobilisation                              </t>
  </si>
  <si>
    <t xml:space="preserve">     DECOMPTE DE REGLEMENT </t>
  </si>
  <si>
    <t xml:space="preserve">Vetusté sur Pneu  20%                                </t>
  </si>
  <si>
    <r>
      <t xml:space="preserve">                   </t>
    </r>
    <r>
      <rPr>
        <u/>
        <sz val="16"/>
        <color theme="1"/>
        <rFont val="Agency FB"/>
        <family val="2"/>
      </rPr>
      <t>Net  à  Payer</t>
    </r>
    <r>
      <rPr>
        <sz val="16"/>
        <color theme="1"/>
        <rFont val="Agency FB"/>
        <family val="2"/>
      </rPr>
      <t xml:space="preserve">    :         </t>
    </r>
  </si>
  <si>
    <t xml:space="preserve">                          Autorisation de Règlement N°……………../………………../                        </t>
  </si>
  <si>
    <t>Au profit du bénificiare …………………………………………………………...…, et cela au  titre de la garantie</t>
  </si>
  <si>
    <t xml:space="preserve">                DECOMPTE DE REGLEMENT </t>
  </si>
  <si>
    <t xml:space="preserve">                          Autorisation de Règlement N° …………………./…………………./                        </t>
  </si>
  <si>
    <t xml:space="preserve">        Franchise</t>
  </si>
  <si>
    <t>Montant Rpr Usage</t>
  </si>
  <si>
    <t>Total à payer Rpr Usage</t>
  </si>
  <si>
    <t>16083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</si>
</sst>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;;;"/>
    <numFmt numFmtId="165" formatCode="#,##0.00\ _€"/>
    <numFmt numFmtId="166" formatCode="0.00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FF66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Agency FB"/>
      <family val="2"/>
    </font>
    <font>
      <b/>
      <sz val="12"/>
      <color theme="1"/>
      <name val="Agency FB"/>
      <family val="2"/>
    </font>
    <font>
      <b/>
      <sz val="11"/>
      <color theme="1"/>
      <name val="Agency FB"/>
      <family val="2"/>
    </font>
    <font>
      <b/>
      <sz val="18"/>
      <color theme="1"/>
      <name val="Agency FB"/>
      <family val="2"/>
    </font>
    <font>
      <sz val="16"/>
      <name val="Agency FB"/>
      <family val="2"/>
    </font>
    <font>
      <u/>
      <sz val="14"/>
      <color theme="1"/>
      <name val="Agency FB"/>
      <family val="2"/>
    </font>
    <font>
      <b/>
      <u/>
      <sz val="11"/>
      <color theme="1"/>
      <name val="Agency FB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u/>
      <sz val="12"/>
      <color theme="1"/>
      <name val="Agency FB"/>
      <family val="2"/>
    </font>
    <font>
      <u/>
      <sz val="16"/>
      <color theme="1"/>
      <name val="Agency FB"/>
      <family val="2"/>
    </font>
    <font>
      <b/>
      <sz val="14"/>
      <color theme="1"/>
      <name val="FrankRuehl"/>
      <charset val="177"/>
    </font>
    <font>
      <b/>
      <sz val="14"/>
      <color theme="0"/>
      <name val="Calibri"/>
      <family val="2"/>
      <scheme val="minor"/>
    </font>
    <font>
      <b/>
      <sz val="14"/>
      <color theme="1"/>
      <name val="Agency FB"/>
      <family val="2"/>
    </font>
    <font>
      <sz val="14"/>
      <color theme="1"/>
      <name val="Agency FB"/>
      <family val="2"/>
    </font>
    <font>
      <b/>
      <u/>
      <sz val="14"/>
      <color theme="1"/>
      <name val="Agency FB"/>
      <family val="2"/>
    </font>
    <font>
      <b/>
      <sz val="11"/>
      <color theme="1"/>
      <name val="Arial Narrow"/>
      <family val="2"/>
    </font>
    <font>
      <sz val="1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311">
    <xf numFmtId="0" fontId="0" fillId="0" borderId="0" xfId="0"/>
    <xf numFmtId="0" fontId="0" fillId="0" borderId="0" xfId="0" applyAlignment="1">
      <alignment horizontal="right"/>
    </xf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9" fontId="14" fillId="0" borderId="1" xfId="3" applyFont="1" applyBorder="1" applyAlignment="1" applyProtection="1">
      <alignment horizontal="center" vertical="center"/>
      <protection locked="0"/>
    </xf>
    <xf numFmtId="43" fontId="19" fillId="5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9" fontId="14" fillId="0" borderId="1" xfId="3" applyFont="1" applyBorder="1" applyAlignment="1" applyProtection="1">
      <alignment horizontal="center" vertical="center"/>
    </xf>
    <xf numFmtId="43" fontId="19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0" xfId="0" applyFill="1" applyBorder="1" applyProtection="1"/>
    <xf numFmtId="9" fontId="14" fillId="0" borderId="13" xfId="3" applyFont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0" fillId="0" borderId="0" xfId="0" applyNumberFormat="1" applyProtection="1"/>
    <xf numFmtId="43" fontId="19" fillId="8" borderId="1" xfId="0" applyNumberFormat="1" applyFont="1" applyFill="1" applyBorder="1" applyAlignment="1" applyProtection="1">
      <alignment horizontal="center" vertical="center"/>
    </xf>
    <xf numFmtId="9" fontId="13" fillId="14" borderId="1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43" fontId="20" fillId="11" borderId="1" xfId="0" applyNumberFormat="1" applyFont="1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right"/>
    </xf>
    <xf numFmtId="0" fontId="0" fillId="7" borderId="0" xfId="0" applyFill="1" applyBorder="1" applyAlignment="1" applyProtection="1">
      <alignment horizontal="right"/>
    </xf>
    <xf numFmtId="0" fontId="0" fillId="7" borderId="3" xfId="0" applyFill="1" applyBorder="1" applyAlignment="1" applyProtection="1">
      <alignment horizontal="right"/>
    </xf>
    <xf numFmtId="164" fontId="17" fillId="5" borderId="0" xfId="0" applyNumberFormat="1" applyFont="1" applyFill="1" applyBorder="1" applyAlignment="1" applyProtection="1">
      <alignment vertical="center"/>
    </xf>
    <xf numFmtId="164" fontId="14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3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19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0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/>
    <xf numFmtId="43" fontId="18" fillId="11" borderId="2" xfId="0" applyNumberFormat="1" applyFont="1" applyFill="1" applyBorder="1" applyAlignment="1" applyProtection="1">
      <alignment horizontal="center" vertical="center"/>
    </xf>
    <xf numFmtId="43" fontId="19" fillId="5" borderId="2" xfId="0" applyNumberFormat="1" applyFont="1" applyFill="1" applyBorder="1" applyAlignment="1" applyProtection="1">
      <alignment horizontal="center" vertical="center"/>
    </xf>
    <xf numFmtId="43" fontId="22" fillId="1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/>
    <xf numFmtId="0" fontId="12" fillId="0" borderId="0" xfId="0" applyFont="1" applyAlignment="1" applyProtection="1">
      <alignment horizontal="center"/>
    </xf>
    <xf numFmtId="0" fontId="0" fillId="0" borderId="5" xfId="0" applyBorder="1" applyProtection="1"/>
    <xf numFmtId="0" fontId="8" fillId="0" borderId="0" xfId="0" applyFont="1" applyBorder="1" applyProtection="1"/>
    <xf numFmtId="0" fontId="8" fillId="0" borderId="0" xfId="0" applyFont="1" applyAlignment="1" applyProtection="1"/>
    <xf numFmtId="0" fontId="25" fillId="17" borderId="20" xfId="0" applyFont="1" applyFill="1" applyBorder="1" applyAlignment="1" applyProtection="1">
      <alignment horizontal="left"/>
    </xf>
    <xf numFmtId="0" fontId="8" fillId="0" borderId="7" xfId="0" applyFont="1" applyBorder="1" applyProtection="1"/>
    <xf numFmtId="43" fontId="8" fillId="0" borderId="0" xfId="1" applyFont="1" applyBorder="1" applyAlignment="1" applyProtection="1">
      <alignment horizontal="left"/>
    </xf>
    <xf numFmtId="0" fontId="8" fillId="0" borderId="8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Alignment="1" applyProtection="1">
      <alignment horizontal="left"/>
    </xf>
    <xf numFmtId="0" fontId="9" fillId="5" borderId="0" xfId="0" applyFont="1" applyFill="1" applyBorder="1" applyProtection="1"/>
    <xf numFmtId="0" fontId="0" fillId="0" borderId="11" xfId="0" applyBorder="1" applyProtection="1"/>
    <xf numFmtId="0" fontId="21" fillId="13" borderId="12" xfId="0" applyFont="1" applyFill="1" applyBorder="1" applyAlignment="1" applyProtection="1">
      <alignment vertical="center"/>
      <protection locked="0"/>
    </xf>
    <xf numFmtId="43" fontId="22" fillId="14" borderId="16" xfId="0" applyNumberFormat="1" applyFont="1" applyFill="1" applyBorder="1" applyAlignment="1" applyProtection="1">
      <alignment horizontal="center" vertical="center"/>
      <protection locked="0"/>
    </xf>
    <xf numFmtId="43" fontId="20" fillId="11" borderId="2" xfId="0" applyNumberFormat="1" applyFont="1" applyFill="1" applyBorder="1" applyAlignment="1" applyProtection="1">
      <alignment horizontal="center" vertical="center"/>
    </xf>
    <xf numFmtId="0" fontId="12" fillId="0" borderId="17" xfId="0" applyFont="1" applyFill="1" applyBorder="1" applyProtection="1"/>
    <xf numFmtId="0" fontId="12" fillId="0" borderId="12" xfId="0" applyFont="1" applyFill="1" applyBorder="1" applyProtection="1"/>
    <xf numFmtId="0" fontId="15" fillId="0" borderId="12" xfId="0" applyFont="1" applyFill="1" applyBorder="1" applyProtection="1"/>
    <xf numFmtId="0" fontId="15" fillId="0" borderId="16" xfId="0" applyFont="1" applyFill="1" applyBorder="1" applyProtection="1"/>
    <xf numFmtId="0" fontId="12" fillId="0" borderId="16" xfId="0" applyFont="1" applyFill="1" applyBorder="1" applyProtection="1"/>
    <xf numFmtId="0" fontId="15" fillId="0" borderId="12" xfId="0" applyFont="1" applyFill="1" applyBorder="1" applyAlignment="1" applyProtection="1">
      <alignment vertical="center"/>
    </xf>
    <xf numFmtId="0" fontId="12" fillId="0" borderId="12" xfId="0" applyFont="1" applyFill="1" applyBorder="1" applyAlignment="1" applyProtection="1">
      <alignment vertical="center"/>
    </xf>
    <xf numFmtId="43" fontId="16" fillId="0" borderId="2" xfId="0" applyNumberFormat="1" applyFont="1" applyFill="1" applyBorder="1" applyAlignment="1" applyProtection="1">
      <alignment horizontal="center" vertical="center"/>
    </xf>
    <xf numFmtId="43" fontId="9" fillId="0" borderId="1" xfId="0" applyNumberFormat="1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center" vertical="center"/>
    </xf>
    <xf numFmtId="43" fontId="3" fillId="0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2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/>
    </xf>
    <xf numFmtId="0" fontId="12" fillId="0" borderId="15" xfId="0" applyFont="1" applyFill="1" applyBorder="1" applyAlignment="1" applyProtection="1">
      <alignment horizontal="center" vertical="center"/>
    </xf>
    <xf numFmtId="9" fontId="0" fillId="0" borderId="13" xfId="3" applyFont="1" applyFill="1" applyBorder="1" applyAlignment="1" applyProtection="1">
      <alignment vertical="center"/>
    </xf>
    <xf numFmtId="43" fontId="22" fillId="15" borderId="12" xfId="0" applyNumberFormat="1" applyFont="1" applyFill="1" applyBorder="1" applyAlignment="1" applyProtection="1">
      <alignment horizontal="center" vertical="center"/>
    </xf>
    <xf numFmtId="43" fontId="22" fillId="15" borderId="15" xfId="0" applyNumberFormat="1" applyFont="1" applyFill="1" applyBorder="1" applyAlignment="1" applyProtection="1">
      <alignment horizontal="center" vertical="center"/>
    </xf>
    <xf numFmtId="43" fontId="22" fillId="15" borderId="13" xfId="0" applyNumberFormat="1" applyFont="1" applyFill="1" applyBorder="1" applyAlignment="1" applyProtection="1">
      <alignment horizontal="center" vertical="center"/>
    </xf>
    <xf numFmtId="43" fontId="3" fillId="20" borderId="1" xfId="0" applyNumberFormat="1" applyFont="1" applyFill="1" applyBorder="1" applyAlignment="1" applyProtection="1">
      <alignment horizontal="center" vertical="center"/>
      <protection locked="0"/>
    </xf>
    <xf numFmtId="43" fontId="12" fillId="20" borderId="13" xfId="0" applyNumberFormat="1" applyFont="1" applyFill="1" applyBorder="1" applyAlignment="1" applyProtection="1">
      <alignment vertical="center"/>
      <protection locked="0"/>
    </xf>
    <xf numFmtId="43" fontId="2" fillId="21" borderId="1" xfId="0" applyNumberFormat="1" applyFont="1" applyFill="1" applyBorder="1" applyAlignment="1" applyProtection="1">
      <alignment horizontal="center" vertical="center"/>
    </xf>
    <xf numFmtId="43" fontId="2" fillId="21" borderId="2" xfId="0" applyNumberFormat="1" applyFont="1" applyFill="1" applyBorder="1" applyAlignment="1" applyProtection="1">
      <alignment horizontal="center" vertical="center"/>
    </xf>
    <xf numFmtId="43" fontId="22" fillId="21" borderId="27" xfId="0" applyNumberFormat="1" applyFont="1" applyFill="1" applyBorder="1" applyAlignment="1" applyProtection="1">
      <alignment horizontal="center" vertical="center"/>
    </xf>
    <xf numFmtId="43" fontId="3" fillId="14" borderId="1" xfId="0" applyNumberFormat="1" applyFont="1" applyFill="1" applyBorder="1" applyAlignment="1" applyProtection="1">
      <alignment horizontal="center" vertical="center"/>
      <protection locked="0"/>
    </xf>
    <xf numFmtId="43" fontId="3" fillId="14" borderId="2" xfId="0" applyNumberFormat="1" applyFont="1" applyFill="1" applyBorder="1" applyAlignment="1" applyProtection="1">
      <alignment horizontal="center" vertical="center"/>
    </xf>
    <xf numFmtId="0" fontId="12" fillId="20" borderId="12" xfId="0" applyFont="1" applyFill="1" applyBorder="1" applyAlignment="1" applyProtection="1">
      <alignment vertical="center"/>
    </xf>
    <xf numFmtId="0" fontId="17" fillId="20" borderId="16" xfId="0" applyFont="1" applyFill="1" applyBorder="1" applyAlignment="1" applyProtection="1">
      <alignment vertical="center"/>
    </xf>
    <xf numFmtId="43" fontId="2" fillId="14" borderId="1" xfId="0" applyNumberFormat="1" applyFont="1" applyFill="1" applyBorder="1" applyAlignment="1" applyProtection="1">
      <alignment horizontal="center" vertical="center"/>
    </xf>
    <xf numFmtId="9" fontId="13" fillId="0" borderId="1" xfId="3" applyFont="1" applyFill="1" applyBorder="1" applyAlignment="1" applyProtection="1">
      <alignment horizontal="center" vertical="center"/>
    </xf>
    <xf numFmtId="0" fontId="14" fillId="0" borderId="1" xfId="3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43" fontId="12" fillId="22" borderId="1" xfId="0" applyNumberFormat="1" applyFont="1" applyFill="1" applyBorder="1" applyAlignment="1" applyProtection="1">
      <alignment vertical="center"/>
    </xf>
    <xf numFmtId="0" fontId="0" fillId="0" borderId="7" xfId="0" applyBorder="1" applyProtection="1"/>
    <xf numFmtId="0" fontId="25" fillId="15" borderId="16" xfId="0" applyFont="1" applyFill="1" applyBorder="1" applyAlignment="1" applyProtection="1">
      <alignment horizontal="center"/>
    </xf>
    <xf numFmtId="9" fontId="25" fillId="15" borderId="16" xfId="3" applyFont="1" applyFill="1" applyBorder="1" applyAlignment="1" applyProtection="1">
      <alignment horizontal="center"/>
    </xf>
    <xf numFmtId="0" fontId="25" fillId="17" borderId="16" xfId="0" applyFont="1" applyFill="1" applyBorder="1" applyAlignment="1" applyProtection="1">
      <alignment horizontal="center"/>
    </xf>
    <xf numFmtId="0" fontId="28" fillId="17" borderId="16" xfId="0" applyFont="1" applyFill="1" applyBorder="1" applyAlignment="1" applyProtection="1">
      <alignment horizontal="center"/>
    </xf>
    <xf numFmtId="0" fontId="28" fillId="17" borderId="16" xfId="0" applyFont="1" applyFill="1" applyBorder="1" applyAlignment="1" applyProtection="1">
      <alignment horizontal="right"/>
    </xf>
    <xf numFmtId="0" fontId="0" fillId="15" borderId="19" xfId="0" applyFill="1" applyBorder="1" applyProtection="1"/>
    <xf numFmtId="0" fontId="0" fillId="17" borderId="19" xfId="0" applyFill="1" applyBorder="1" applyProtection="1"/>
    <xf numFmtId="0" fontId="23" fillId="17" borderId="20" xfId="0" applyFont="1" applyFill="1" applyBorder="1" applyAlignment="1" applyProtection="1">
      <alignment horizontal="right" vertical="center"/>
    </xf>
    <xf numFmtId="0" fontId="25" fillId="15" borderId="30" xfId="0" applyFont="1" applyFill="1" applyBorder="1" applyAlignment="1" applyProtection="1">
      <alignment horizontal="center"/>
    </xf>
    <xf numFmtId="0" fontId="0" fillId="15" borderId="24" xfId="0" applyFill="1" applyBorder="1" applyProtection="1"/>
    <xf numFmtId="0" fontId="25" fillId="18" borderId="32" xfId="0" applyFont="1" applyFill="1" applyBorder="1" applyAlignment="1" applyProtection="1">
      <alignment horizontal="center"/>
    </xf>
    <xf numFmtId="0" fontId="0" fillId="15" borderId="34" xfId="0" applyFill="1" applyBorder="1" applyProtection="1"/>
    <xf numFmtId="14" fontId="29" fillId="0" borderId="1" xfId="0" applyNumberFormat="1" applyFont="1" applyBorder="1" applyAlignment="1" applyProtection="1">
      <alignment horizontal="center" vertical="center"/>
    </xf>
    <xf numFmtId="0" fontId="28" fillId="15" borderId="22" xfId="0" applyFont="1" applyFill="1" applyBorder="1" applyAlignment="1" applyProtection="1">
      <alignment horizontal="left" vertical="center"/>
    </xf>
    <xf numFmtId="0" fontId="28" fillId="15" borderId="30" xfId="0" applyFont="1" applyFill="1" applyBorder="1" applyAlignment="1" applyProtection="1">
      <alignment horizontal="center"/>
    </xf>
    <xf numFmtId="0" fontId="28" fillId="15" borderId="20" xfId="0" applyFont="1" applyFill="1" applyBorder="1" applyAlignment="1" applyProtection="1">
      <alignment horizontal="left" vertical="center"/>
    </xf>
    <xf numFmtId="0" fontId="28" fillId="15" borderId="16" xfId="0" applyFont="1" applyFill="1" applyBorder="1" applyAlignment="1" applyProtection="1">
      <alignment horizontal="center"/>
    </xf>
    <xf numFmtId="0" fontId="28" fillId="15" borderId="20" xfId="0" applyFont="1" applyFill="1" applyBorder="1" applyAlignment="1" applyProtection="1">
      <alignment horizontal="left"/>
    </xf>
    <xf numFmtId="0" fontId="28" fillId="15" borderId="20" xfId="0" applyFont="1" applyFill="1" applyBorder="1" applyAlignment="1" applyProtection="1"/>
    <xf numFmtId="0" fontId="28" fillId="17" borderId="20" xfId="0" applyFont="1" applyFill="1" applyBorder="1" applyAlignment="1" applyProtection="1">
      <alignment horizontal="left"/>
    </xf>
    <xf numFmtId="0" fontId="28" fillId="0" borderId="22" xfId="0" applyFont="1" applyBorder="1" applyAlignment="1" applyProtection="1">
      <alignment horizontal="left" vertical="center"/>
    </xf>
    <xf numFmtId="0" fontId="28" fillId="0" borderId="20" xfId="0" applyFont="1" applyBorder="1" applyAlignment="1" applyProtection="1">
      <alignment horizontal="left" vertical="center"/>
    </xf>
    <xf numFmtId="0" fontId="28" fillId="0" borderId="25" xfId="0" applyFont="1" applyBorder="1" applyAlignment="1" applyProtection="1">
      <alignment horizontal="left" vertical="center"/>
    </xf>
    <xf numFmtId="0" fontId="28" fillId="0" borderId="26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right" vertical="center"/>
    </xf>
    <xf numFmtId="0" fontId="34" fillId="0" borderId="0" xfId="0" applyFont="1" applyAlignment="1" applyProtection="1">
      <alignment horizontal="right"/>
    </xf>
    <xf numFmtId="0" fontId="38" fillId="0" borderId="7" xfId="0" applyFont="1" applyBorder="1" applyAlignment="1" applyProtection="1"/>
    <xf numFmtId="0" fontId="8" fillId="0" borderId="13" xfId="0" applyFont="1" applyBorder="1" applyAlignment="1" applyProtection="1">
      <alignment horizontal="center" vertical="center"/>
      <protection locked="0"/>
    </xf>
    <xf numFmtId="49" fontId="12" fillId="15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Protection="1"/>
    <xf numFmtId="0" fontId="8" fillId="0" borderId="5" xfId="0" applyFont="1" applyBorder="1" applyAlignment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3" xfId="0" applyBorder="1" applyProtection="1"/>
    <xf numFmtId="0" fontId="0" fillId="0" borderId="10" xfId="0" applyBorder="1" applyProtection="1"/>
    <xf numFmtId="0" fontId="28" fillId="18" borderId="31" xfId="0" applyFont="1" applyFill="1" applyBorder="1" applyAlignment="1" applyProtection="1">
      <alignment horizontal="left" vertical="center"/>
    </xf>
    <xf numFmtId="43" fontId="19" fillId="5" borderId="2" xfId="0" applyNumberFormat="1" applyFont="1" applyFill="1" applyBorder="1" applyAlignment="1" applyProtection="1">
      <alignment horizontal="center" vertical="center"/>
      <protection locked="0"/>
    </xf>
    <xf numFmtId="43" fontId="2" fillId="10" borderId="16" xfId="0" applyNumberFormat="1" applyFont="1" applyFill="1" applyBorder="1" applyAlignment="1" applyProtection="1">
      <alignment horizontal="center" vertical="center"/>
      <protection locked="0"/>
    </xf>
    <xf numFmtId="43" fontId="22" fillId="15" borderId="1" xfId="0" applyNumberFormat="1" applyFont="1" applyFill="1" applyBorder="1" applyAlignment="1" applyProtection="1">
      <alignment horizontal="center" vertical="center"/>
    </xf>
    <xf numFmtId="43" fontId="46" fillId="0" borderId="1" xfId="0" applyNumberFormat="1" applyFont="1" applyFill="1" applyBorder="1" applyAlignment="1" applyProtection="1">
      <alignment horizontal="center" vertical="center"/>
    </xf>
    <xf numFmtId="43" fontId="10" fillId="0" borderId="1" xfId="0" applyNumberFormat="1" applyFont="1" applyFill="1" applyBorder="1" applyAlignment="1" applyProtection="1">
      <alignment horizontal="center" vertical="center"/>
    </xf>
    <xf numFmtId="43" fontId="46" fillId="0" borderId="2" xfId="0" applyNumberFormat="1" applyFont="1" applyFill="1" applyBorder="1" applyAlignment="1" applyProtection="1">
      <alignment horizontal="center" vertical="center"/>
    </xf>
    <xf numFmtId="43" fontId="19" fillId="0" borderId="1" xfId="0" applyNumberFormat="1" applyFont="1" applyBorder="1" applyAlignment="1" applyProtection="1">
      <alignment horizontal="center" vertical="center"/>
      <protection locked="0"/>
    </xf>
    <xf numFmtId="43" fontId="19" fillId="0" borderId="2" xfId="0" applyNumberFormat="1" applyFont="1" applyBorder="1" applyAlignment="1" applyProtection="1">
      <alignment horizontal="center" vertical="center"/>
    </xf>
    <xf numFmtId="43" fontId="12" fillId="22" borderId="13" xfId="0" applyNumberFormat="1" applyFont="1" applyFill="1" applyBorder="1" applyAlignment="1" applyProtection="1">
      <alignment vertical="center"/>
    </xf>
    <xf numFmtId="43" fontId="12" fillId="20" borderId="1" xfId="0" applyNumberFormat="1" applyFont="1" applyFill="1" applyBorder="1" applyAlignment="1" applyProtection="1">
      <alignment vertical="center"/>
      <protection locked="0"/>
    </xf>
    <xf numFmtId="9" fontId="0" fillId="0" borderId="0" xfId="0" applyNumberFormat="1" applyProtection="1"/>
    <xf numFmtId="0" fontId="35" fillId="5" borderId="9" xfId="0" applyFont="1" applyFill="1" applyBorder="1" applyAlignment="1" applyProtection="1">
      <alignment horizontal="center" vertical="center" wrapText="1"/>
      <protection locked="0"/>
    </xf>
    <xf numFmtId="0" fontId="35" fillId="5" borderId="3" xfId="0" applyFont="1" applyFill="1" applyBorder="1" applyAlignment="1" applyProtection="1">
      <alignment horizontal="center"/>
      <protection locked="0"/>
    </xf>
    <xf numFmtId="0" fontId="35" fillId="5" borderId="3" xfId="0" applyFont="1" applyFill="1" applyBorder="1" applyAlignment="1" applyProtection="1">
      <alignment horizontal="right" vertical="center" wrapText="1"/>
      <protection locked="0"/>
    </xf>
    <xf numFmtId="0" fontId="35" fillId="5" borderId="3" xfId="0" applyFont="1" applyFill="1" applyBorder="1" applyAlignment="1" applyProtection="1">
      <alignment horizontal="left" vertical="center" wrapText="1"/>
      <protection locked="0"/>
    </xf>
    <xf numFmtId="0" fontId="38" fillId="0" borderId="7" xfId="0" applyFont="1" applyBorder="1" applyAlignment="1" applyProtection="1">
      <protection locked="0"/>
    </xf>
    <xf numFmtId="0" fontId="8" fillId="0" borderId="7" xfId="0" applyFont="1" applyBorder="1" applyProtection="1">
      <protection locked="0"/>
    </xf>
    <xf numFmtId="0" fontId="0" fillId="0" borderId="7" xfId="0" applyBorder="1" applyProtection="1">
      <protection locked="0"/>
    </xf>
    <xf numFmtId="0" fontId="8" fillId="0" borderId="0" xfId="0" applyFont="1" applyBorder="1" applyAlignment="1" applyProtection="1">
      <protection locked="0"/>
    </xf>
    <xf numFmtId="0" fontId="0" fillId="0" borderId="11" xfId="0" applyBorder="1" applyProtection="1">
      <protection locked="0"/>
    </xf>
    <xf numFmtId="0" fontId="8" fillId="0" borderId="0" xfId="0" applyFont="1" applyBorder="1" applyProtection="1">
      <protection locked="0"/>
    </xf>
    <xf numFmtId="9" fontId="28" fillId="15" borderId="16" xfId="0" applyNumberFormat="1" applyFont="1" applyFill="1" applyBorder="1" applyAlignment="1" applyProtection="1">
      <alignment horizontal="center"/>
    </xf>
    <xf numFmtId="0" fontId="0" fillId="0" borderId="0" xfId="0" applyFill="1" applyBorder="1" applyAlignment="1" applyProtection="1"/>
    <xf numFmtId="0" fontId="3" fillId="3" borderId="17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</xf>
    <xf numFmtId="0" fontId="12" fillId="3" borderId="16" xfId="0" applyFont="1" applyFill="1" applyBorder="1" applyProtection="1"/>
    <xf numFmtId="0" fontId="0" fillId="5" borderId="0" xfId="0" applyFill="1" applyBorder="1" applyProtection="1"/>
    <xf numFmtId="43" fontId="14" fillId="0" borderId="21" xfId="1" applyFont="1" applyFill="1" applyBorder="1" applyAlignment="1" applyProtection="1">
      <alignment horizontal="center" vertical="center"/>
    </xf>
    <xf numFmtId="0" fontId="15" fillId="0" borderId="16" xfId="0" applyFont="1" applyBorder="1" applyProtection="1"/>
    <xf numFmtId="43" fontId="41" fillId="21" borderId="2" xfId="0" applyNumberFormat="1" applyFont="1" applyFill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vertical="center"/>
    </xf>
    <xf numFmtId="0" fontId="17" fillId="12" borderId="12" xfId="0" applyFont="1" applyFill="1" applyBorder="1" applyAlignment="1" applyProtection="1">
      <alignment vertical="center"/>
    </xf>
    <xf numFmtId="43" fontId="19" fillId="8" borderId="2" xfId="0" applyNumberFormat="1" applyFont="1" applyFill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vertical="center"/>
    </xf>
    <xf numFmtId="43" fontId="16" fillId="21" borderId="2" xfId="0" applyNumberFormat="1" applyFont="1" applyFill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vertical="center"/>
    </xf>
    <xf numFmtId="43" fontId="2" fillId="10" borderId="2" xfId="0" applyNumberFormat="1" applyFont="1" applyFill="1" applyBorder="1" applyAlignment="1" applyProtection="1">
      <alignment horizontal="center" vertical="center"/>
    </xf>
    <xf numFmtId="0" fontId="12" fillId="3" borderId="15" xfId="0" applyFont="1" applyFill="1" applyBorder="1" applyAlignment="1" applyProtection="1">
      <alignment horizontal="center" vertical="center"/>
    </xf>
    <xf numFmtId="9" fontId="0" fillId="3" borderId="13" xfId="3" applyFont="1" applyFill="1" applyBorder="1" applyAlignment="1" applyProtection="1">
      <alignment vertical="center"/>
    </xf>
    <xf numFmtId="43" fontId="41" fillId="21" borderId="29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right"/>
    </xf>
    <xf numFmtId="43" fontId="3" fillId="5" borderId="16" xfId="0" applyNumberFormat="1" applyFont="1" applyFill="1" applyBorder="1" applyAlignment="1" applyProtection="1">
      <alignment horizontal="center" vertical="center"/>
      <protection locked="0"/>
    </xf>
    <xf numFmtId="49" fontId="20" fillId="15" borderId="1" xfId="0" applyNumberFormat="1" applyFont="1" applyFill="1" applyBorder="1" applyAlignment="1" applyProtection="1">
      <alignment horizontal="center" vertical="center"/>
      <protection locked="0"/>
    </xf>
    <xf numFmtId="0" fontId="35" fillId="5" borderId="0" xfId="0" applyFont="1" applyFill="1" applyBorder="1" applyAlignment="1" applyProtection="1">
      <alignment horizontal="left"/>
      <protection locked="0"/>
    </xf>
    <xf numFmtId="0" fontId="8" fillId="0" borderId="9" xfId="0" applyFont="1" applyBorder="1" applyProtection="1">
      <protection locked="0"/>
    </xf>
    <xf numFmtId="0" fontId="8" fillId="0" borderId="3" xfId="0" applyFont="1" applyBorder="1" applyAlignment="1" applyProtection="1">
      <protection locked="0"/>
    </xf>
    <xf numFmtId="0" fontId="35" fillId="5" borderId="7" xfId="0" applyFont="1" applyFill="1" applyBorder="1" applyAlignment="1" applyProtection="1">
      <alignment horizontal="left" vertical="center" wrapText="1"/>
      <protection locked="0"/>
    </xf>
    <xf numFmtId="0" fontId="35" fillId="5" borderId="0" xfId="0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Alignment="1" applyProtection="1">
      <alignment horizontal="right"/>
    </xf>
    <xf numFmtId="14" fontId="30" fillId="0" borderId="1" xfId="0" applyNumberFormat="1" applyFont="1" applyBorder="1" applyAlignment="1" applyProtection="1">
      <alignment horizontal="center" vertical="center"/>
    </xf>
    <xf numFmtId="0" fontId="23" fillId="0" borderId="36" xfId="0" applyFont="1" applyBorder="1" applyAlignment="1" applyProtection="1">
      <alignment horizontal="left" vertical="center"/>
    </xf>
    <xf numFmtId="0" fontId="39" fillId="0" borderId="0" xfId="0" applyFont="1" applyAlignment="1" applyProtection="1">
      <alignment horizontal="right" vertical="center"/>
    </xf>
    <xf numFmtId="0" fontId="23" fillId="0" borderId="37" xfId="0" applyFont="1" applyBorder="1" applyAlignment="1" applyProtection="1">
      <alignment horizontal="left" vertical="center"/>
    </xf>
    <xf numFmtId="0" fontId="23" fillId="0" borderId="38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25" fillId="15" borderId="24" xfId="0" applyFont="1" applyFill="1" applyBorder="1" applyProtection="1"/>
    <xf numFmtId="0" fontId="25" fillId="19" borderId="20" xfId="0" applyFont="1" applyFill="1" applyBorder="1" applyAlignment="1" applyProtection="1"/>
    <xf numFmtId="0" fontId="25" fillId="19" borderId="16" xfId="0" applyFont="1" applyFill="1" applyBorder="1" applyAlignment="1" applyProtection="1"/>
    <xf numFmtId="0" fontId="25" fillId="19" borderId="28" xfId="0" applyFont="1" applyFill="1" applyBorder="1" applyAlignment="1" applyProtection="1"/>
    <xf numFmtId="0" fontId="25" fillId="15" borderId="19" xfId="0" applyFont="1" applyFill="1" applyBorder="1" applyProtection="1"/>
    <xf numFmtId="9" fontId="25" fillId="15" borderId="12" xfId="0" applyNumberFormat="1" applyFont="1" applyFill="1" applyBorder="1" applyAlignment="1" applyProtection="1">
      <alignment horizontal="center"/>
    </xf>
    <xf numFmtId="0" fontId="25" fillId="18" borderId="34" xfId="0" applyFont="1" applyFill="1" applyBorder="1" applyProtection="1"/>
    <xf numFmtId="43" fontId="8" fillId="0" borderId="5" xfId="1" applyFont="1" applyBorder="1" applyAlignment="1" applyProtection="1">
      <alignment horizontal="left"/>
    </xf>
    <xf numFmtId="0" fontId="8" fillId="0" borderId="5" xfId="0" applyFont="1" applyBorder="1" applyAlignment="1" applyProtection="1">
      <alignment horizontal="left"/>
    </xf>
    <xf numFmtId="0" fontId="8" fillId="0" borderId="6" xfId="0" applyFont="1" applyBorder="1" applyProtection="1"/>
    <xf numFmtId="0" fontId="44" fillId="0" borderId="7" xfId="0" applyFont="1" applyBorder="1" applyAlignment="1" applyProtection="1"/>
    <xf numFmtId="0" fontId="0" fillId="0" borderId="6" xfId="0" applyBorder="1" applyProtection="1"/>
    <xf numFmtId="0" fontId="24" fillId="5" borderId="9" xfId="0" applyFont="1" applyFill="1" applyBorder="1" applyAlignment="1" applyProtection="1">
      <alignment horizontal="left" vertical="center"/>
      <protection locked="0"/>
    </xf>
    <xf numFmtId="0" fontId="24" fillId="5" borderId="3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43" fontId="3" fillId="0" borderId="0" xfId="0" applyNumberFormat="1" applyFont="1" applyProtection="1">
      <protection locked="0"/>
    </xf>
    <xf numFmtId="166" fontId="0" fillId="0" borderId="0" xfId="0" applyNumberFormat="1" applyProtection="1"/>
    <xf numFmtId="0" fontId="0" fillId="0" borderId="0" xfId="0" applyFill="1" applyBorder="1" applyAlignment="1" applyProtection="1">
      <alignment horizontal="center"/>
    </xf>
    <xf numFmtId="0" fontId="17" fillId="9" borderId="16" xfId="0" applyFont="1" applyFill="1" applyBorder="1" applyAlignment="1" applyProtection="1">
      <alignment horizontal="center" vertical="center"/>
    </xf>
    <xf numFmtId="0" fontId="17" fillId="9" borderId="12" xfId="0" applyFont="1" applyFill="1" applyBorder="1" applyAlignment="1" applyProtection="1">
      <alignment horizontal="center" vertical="center"/>
    </xf>
    <xf numFmtId="43" fontId="14" fillId="0" borderId="13" xfId="1" applyFont="1" applyFill="1" applyBorder="1" applyAlignment="1" applyProtection="1">
      <alignment horizontal="center" vertical="center"/>
    </xf>
    <xf numFmtId="43" fontId="14" fillId="0" borderId="18" xfId="1" applyFont="1" applyFill="1" applyBorder="1" applyAlignment="1" applyProtection="1">
      <alignment horizontal="center" vertical="center"/>
    </xf>
    <xf numFmtId="0" fontId="3" fillId="8" borderId="14" xfId="0" applyFont="1" applyFill="1" applyBorder="1" applyAlignment="1" applyProtection="1">
      <alignment horizontal="center" vertical="center"/>
    </xf>
    <xf numFmtId="0" fontId="3" fillId="8" borderId="11" xfId="0" applyFont="1" applyFill="1" applyBorder="1" applyAlignment="1" applyProtection="1">
      <alignment horizontal="center" vertical="center"/>
    </xf>
    <xf numFmtId="43" fontId="22" fillId="15" borderId="1" xfId="0" applyNumberFormat="1" applyFont="1" applyFill="1" applyBorder="1" applyAlignment="1" applyProtection="1">
      <alignment horizontal="center" vertical="center"/>
    </xf>
    <xf numFmtId="0" fontId="38" fillId="0" borderId="0" xfId="0" applyFont="1" applyBorder="1" applyAlignment="1" applyProtection="1">
      <alignment horizontal="center"/>
      <protection locked="0"/>
    </xf>
    <xf numFmtId="0" fontId="38" fillId="0" borderId="8" xfId="0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4" fontId="20" fillId="17" borderId="1" xfId="0" applyNumberFormat="1" applyFont="1" applyFill="1" applyBorder="1" applyAlignment="1" applyProtection="1">
      <alignment horizontal="center"/>
    </xf>
    <xf numFmtId="0" fontId="20" fillId="17" borderId="1" xfId="0" applyFont="1" applyFill="1" applyBorder="1" applyAlignment="1" applyProtection="1">
      <alignment horizontal="center"/>
    </xf>
    <xf numFmtId="165" fontId="5" fillId="0" borderId="1" xfId="0" applyNumberFormat="1" applyFont="1" applyBorder="1" applyAlignment="1" applyProtection="1">
      <alignment horizontal="center"/>
    </xf>
    <xf numFmtId="0" fontId="5" fillId="17" borderId="1" xfId="0" applyFont="1" applyFill="1" applyBorder="1" applyAlignment="1" applyProtection="1">
      <alignment horizontal="center"/>
    </xf>
    <xf numFmtId="0" fontId="25" fillId="17" borderId="1" xfId="0" applyFont="1" applyFill="1" applyBorder="1" applyAlignment="1" applyProtection="1">
      <alignment horizontal="center"/>
    </xf>
    <xf numFmtId="165" fontId="20" fillId="0" borderId="1" xfId="0" applyNumberFormat="1" applyFont="1" applyBorder="1" applyAlignment="1" applyProtection="1">
      <alignment horizontal="center"/>
    </xf>
    <xf numFmtId="0" fontId="12" fillId="0" borderId="1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/>
    </xf>
    <xf numFmtId="0" fontId="35" fillId="5" borderId="7" xfId="0" applyFont="1" applyFill="1" applyBorder="1" applyAlignment="1" applyProtection="1">
      <alignment horizontal="left" vertical="center" wrapText="1"/>
      <protection locked="0"/>
    </xf>
    <xf numFmtId="0" fontId="35" fillId="5" borderId="0" xfId="0" applyFont="1" applyFill="1" applyBorder="1" applyAlignment="1" applyProtection="1">
      <alignment horizontal="left" vertical="center" wrapText="1"/>
      <protection locked="0"/>
    </xf>
    <xf numFmtId="0" fontId="35" fillId="5" borderId="8" xfId="0" applyFont="1" applyFill="1" applyBorder="1" applyAlignment="1" applyProtection="1">
      <alignment horizontal="left" vertical="center" wrapText="1"/>
      <protection locked="0"/>
    </xf>
    <xf numFmtId="165" fontId="5" fillId="0" borderId="23" xfId="0" applyNumberFormat="1" applyFont="1" applyBorder="1" applyAlignment="1" applyProtection="1">
      <alignment horizontal="center"/>
    </xf>
    <xf numFmtId="43" fontId="36" fillId="5" borderId="5" xfId="0" applyNumberFormat="1" applyFont="1" applyFill="1" applyBorder="1" applyAlignment="1" applyProtection="1">
      <alignment horizontal="center" wrapText="1"/>
    </xf>
    <xf numFmtId="43" fontId="36" fillId="5" borderId="6" xfId="0" applyNumberFormat="1" applyFont="1" applyFill="1" applyBorder="1" applyAlignment="1" applyProtection="1">
      <alignment horizontal="center" wrapText="1"/>
    </xf>
    <xf numFmtId="0" fontId="40" fillId="5" borderId="7" xfId="0" applyFont="1" applyFill="1" applyBorder="1" applyAlignment="1" applyProtection="1">
      <alignment horizontal="center" vertical="center" wrapText="1"/>
    </xf>
    <xf numFmtId="0" fontId="40" fillId="5" borderId="0" xfId="0" applyFont="1" applyFill="1" applyBorder="1" applyAlignment="1" applyProtection="1">
      <alignment horizontal="center" vertical="center" wrapText="1"/>
    </xf>
    <xf numFmtId="0" fontId="40" fillId="5" borderId="8" xfId="0" applyFont="1" applyFill="1" applyBorder="1" applyAlignment="1" applyProtection="1">
      <alignment horizontal="center" vertical="center" wrapText="1"/>
    </xf>
    <xf numFmtId="165" fontId="27" fillId="0" borderId="33" xfId="0" applyNumberFormat="1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37" fillId="5" borderId="3" xfId="0" applyFont="1" applyFill="1" applyBorder="1" applyAlignment="1" applyProtection="1">
      <alignment horizontal="center" vertical="center" wrapText="1"/>
      <protection locked="0"/>
    </xf>
    <xf numFmtId="0" fontId="37" fillId="5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30" fillId="0" borderId="0" xfId="0" applyFont="1" applyAlignment="1" applyProtection="1">
      <alignment horizontal="left"/>
    </xf>
    <xf numFmtId="0" fontId="31" fillId="0" borderId="0" xfId="0" applyFont="1" applyBorder="1" applyAlignment="1" applyProtection="1">
      <alignment horizontal="left"/>
    </xf>
    <xf numFmtId="0" fontId="28" fillId="0" borderId="4" xfId="0" applyFont="1" applyBorder="1" applyAlignment="1" applyProtection="1">
      <alignment horizontal="center"/>
    </xf>
    <xf numFmtId="0" fontId="28" fillId="0" borderId="5" xfId="0" applyFont="1" applyBorder="1" applyAlignment="1" applyProtection="1">
      <alignment horizontal="center"/>
    </xf>
    <xf numFmtId="0" fontId="28" fillId="0" borderId="6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center"/>
    </xf>
    <xf numFmtId="0" fontId="23" fillId="0" borderId="3" xfId="0" applyFont="1" applyBorder="1" applyAlignment="1" applyProtection="1">
      <alignment horizontal="center"/>
    </xf>
    <xf numFmtId="0" fontId="23" fillId="0" borderId="10" xfId="0" applyFont="1" applyBorder="1" applyAlignment="1" applyProtection="1">
      <alignment horizontal="center"/>
    </xf>
    <xf numFmtId="0" fontId="28" fillId="15" borderId="23" xfId="0" applyFont="1" applyFill="1" applyBorder="1" applyAlignment="1" applyProtection="1">
      <alignment horizontal="left" vertical="center"/>
      <protection locked="0"/>
    </xf>
    <xf numFmtId="0" fontId="28" fillId="15" borderId="24" xfId="0" applyFont="1" applyFill="1" applyBorder="1" applyAlignment="1" applyProtection="1">
      <alignment horizontal="left" vertical="center"/>
      <protection locked="0"/>
    </xf>
    <xf numFmtId="14" fontId="32" fillId="16" borderId="1" xfId="0" applyNumberFormat="1" applyFont="1" applyFill="1" applyBorder="1" applyAlignment="1" applyProtection="1">
      <alignment horizontal="left" vertical="center"/>
      <protection locked="0"/>
    </xf>
    <xf numFmtId="14" fontId="32" fillId="16" borderId="19" xfId="0" applyNumberFormat="1" applyFont="1" applyFill="1" applyBorder="1" applyAlignment="1" applyProtection="1">
      <alignment horizontal="left" vertical="center"/>
      <protection locked="0"/>
    </xf>
    <xf numFmtId="0" fontId="28" fillId="0" borderId="7" xfId="0" applyFont="1" applyBorder="1" applyAlignment="1" applyProtection="1">
      <alignment horizontal="left" vertical="center"/>
      <protection locked="0"/>
    </xf>
    <xf numFmtId="0" fontId="28" fillId="0" borderId="8" xfId="0" applyFont="1" applyBorder="1" applyAlignment="1" applyProtection="1">
      <alignment horizontal="left" vertical="center"/>
      <protection locked="0"/>
    </xf>
    <xf numFmtId="0" fontId="28" fillId="0" borderId="9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/>
    <xf numFmtId="0" fontId="35" fillId="5" borderId="4" xfId="0" applyFont="1" applyFill="1" applyBorder="1" applyAlignment="1" applyProtection="1">
      <alignment horizontal="left" vertical="center" wrapText="1"/>
    </xf>
    <xf numFmtId="0" fontId="35" fillId="5" borderId="5" xfId="0" applyFont="1" applyFill="1" applyBorder="1" applyAlignment="1" applyProtection="1">
      <alignment horizontal="left" vertical="center" wrapText="1"/>
    </xf>
    <xf numFmtId="0" fontId="43" fillId="0" borderId="4" xfId="0" applyFont="1" applyBorder="1" applyAlignment="1" applyProtection="1">
      <alignment horizontal="center"/>
    </xf>
    <xf numFmtId="0" fontId="43" fillId="0" borderId="5" xfId="0" applyFont="1" applyBorder="1" applyAlignment="1" applyProtection="1">
      <alignment horizontal="center"/>
    </xf>
    <xf numFmtId="0" fontId="43" fillId="0" borderId="6" xfId="0" applyFont="1" applyBorder="1" applyAlignment="1" applyProtection="1">
      <alignment horizontal="center"/>
    </xf>
    <xf numFmtId="0" fontId="35" fillId="5" borderId="4" xfId="0" applyFont="1" applyFill="1" applyBorder="1" applyAlignment="1" applyProtection="1">
      <alignment horizontal="center" vertical="center" wrapText="1"/>
    </xf>
    <xf numFmtId="0" fontId="35" fillId="5" borderId="5" xfId="0" applyFont="1" applyFill="1" applyBorder="1" applyAlignment="1" applyProtection="1">
      <alignment horizontal="center" vertical="center" wrapText="1"/>
    </xf>
    <xf numFmtId="43" fontId="36" fillId="5" borderId="5" xfId="0" applyNumberFormat="1" applyFont="1" applyFill="1" applyBorder="1" applyAlignment="1" applyProtection="1">
      <alignment horizontal="left" vertical="center" wrapText="1"/>
    </xf>
    <xf numFmtId="43" fontId="36" fillId="5" borderId="6" xfId="0" applyNumberFormat="1" applyFont="1" applyFill="1" applyBorder="1" applyAlignment="1" applyProtection="1">
      <alignment horizontal="left" vertical="center" wrapText="1"/>
    </xf>
    <xf numFmtId="0" fontId="35" fillId="5" borderId="7" xfId="0" applyFont="1" applyFill="1" applyBorder="1" applyAlignment="1" applyProtection="1">
      <alignment horizontal="center" vertical="center" wrapText="1"/>
      <protection locked="0"/>
    </xf>
    <xf numFmtId="0" fontId="35" fillId="5" borderId="0" xfId="0" applyFont="1" applyFill="1" applyBorder="1" applyAlignment="1" applyProtection="1">
      <alignment horizontal="center" vertical="center" wrapText="1"/>
      <protection locked="0"/>
    </xf>
    <xf numFmtId="0" fontId="35" fillId="5" borderId="8" xfId="0" applyFont="1" applyFill="1" applyBorder="1" applyAlignment="1" applyProtection="1">
      <alignment horizontal="center" vertical="center" wrapText="1"/>
      <protection locked="0"/>
    </xf>
    <xf numFmtId="0" fontId="45" fillId="5" borderId="0" xfId="0" applyFont="1" applyFill="1" applyBorder="1" applyAlignment="1" applyProtection="1">
      <alignment horizontal="left" vertical="center" wrapText="1"/>
      <protection locked="0"/>
    </xf>
    <xf numFmtId="0" fontId="45" fillId="5" borderId="8" xfId="0" applyFont="1" applyFill="1" applyBorder="1" applyAlignment="1" applyProtection="1">
      <alignment horizontal="left" vertical="center" wrapText="1"/>
      <protection locked="0"/>
    </xf>
    <xf numFmtId="0" fontId="42" fillId="0" borderId="9" xfId="0" applyFont="1" applyBorder="1" applyAlignment="1" applyProtection="1">
      <alignment horizontal="center"/>
    </xf>
    <xf numFmtId="0" fontId="42" fillId="0" borderId="3" xfId="0" applyFont="1" applyBorder="1" applyAlignment="1" applyProtection="1">
      <alignment horizontal="center"/>
    </xf>
    <xf numFmtId="0" fontId="42" fillId="0" borderId="10" xfId="0" applyFont="1" applyBorder="1" applyAlignment="1" applyProtection="1">
      <alignment horizontal="center"/>
    </xf>
    <xf numFmtId="0" fontId="28" fillId="15" borderId="35" xfId="0" applyFont="1" applyFill="1" applyBorder="1" applyAlignment="1" applyProtection="1">
      <alignment horizontal="left" vertical="center"/>
      <protection locked="0"/>
    </xf>
    <xf numFmtId="14" fontId="32" fillId="16" borderId="12" xfId="0" applyNumberFormat="1" applyFont="1" applyFill="1" applyBorder="1" applyAlignment="1" applyProtection="1">
      <alignment horizontal="left" vertical="center"/>
      <protection locked="0"/>
    </xf>
    <xf numFmtId="0" fontId="28" fillId="0" borderId="0" xfId="0" applyFont="1" applyBorder="1" applyAlignment="1" applyProtection="1">
      <alignment horizontal="left" vertical="center"/>
      <protection locked="0"/>
    </xf>
    <xf numFmtId="0" fontId="28" fillId="0" borderId="3" xfId="0" applyFont="1" applyBorder="1" applyAlignment="1" applyProtection="1">
      <alignment horizontal="left" vertical="center"/>
      <protection locked="0"/>
    </xf>
    <xf numFmtId="0" fontId="12" fillId="0" borderId="2" xfId="0" applyFont="1" applyBorder="1" applyAlignment="1" applyProtection="1">
      <alignment horizontal="center" vertical="center"/>
    </xf>
    <xf numFmtId="0" fontId="12" fillId="0" borderId="29" xfId="0" applyFont="1" applyBorder="1" applyAlignment="1" applyProtection="1">
      <alignment horizontal="center" vertical="center"/>
    </xf>
    <xf numFmtId="0" fontId="25" fillId="15" borderId="22" xfId="0" applyFont="1" applyFill="1" applyBorder="1" applyAlignment="1" applyProtection="1">
      <alignment horizontal="center"/>
    </xf>
    <xf numFmtId="0" fontId="25" fillId="15" borderId="30" xfId="0" applyFont="1" applyFill="1" applyBorder="1" applyAlignment="1" applyProtection="1">
      <alignment horizontal="center"/>
    </xf>
    <xf numFmtId="0" fontId="25" fillId="15" borderId="35" xfId="0" applyFont="1" applyFill="1" applyBorder="1" applyAlignment="1" applyProtection="1">
      <alignment horizontal="center"/>
    </xf>
    <xf numFmtId="0" fontId="25" fillId="15" borderId="20" xfId="0" applyFont="1" applyFill="1" applyBorder="1" applyAlignment="1" applyProtection="1">
      <alignment horizontal="center"/>
    </xf>
    <xf numFmtId="0" fontId="25" fillId="15" borderId="16" xfId="0" applyFont="1" applyFill="1" applyBorder="1" applyAlignment="1" applyProtection="1">
      <alignment horizontal="center"/>
    </xf>
    <xf numFmtId="0" fontId="25" fillId="15" borderId="12" xfId="0" applyFont="1" applyFill="1" applyBorder="1" applyAlignment="1" applyProtection="1">
      <alignment horizontal="center"/>
    </xf>
    <xf numFmtId="165" fontId="25" fillId="5" borderId="3" xfId="0" applyNumberFormat="1" applyFont="1" applyFill="1" applyBorder="1" applyAlignment="1" applyProtection="1">
      <alignment horizontal="center"/>
      <protection locked="0"/>
    </xf>
    <xf numFmtId="165" fontId="25" fillId="0" borderId="23" xfId="0" applyNumberFormat="1" applyFont="1" applyBorder="1" applyAlignment="1" applyProtection="1">
      <alignment horizontal="center"/>
    </xf>
    <xf numFmtId="165" fontId="25" fillId="0" borderId="1" xfId="0" applyNumberFormat="1" applyFont="1" applyBorder="1" applyAlignment="1" applyProtection="1">
      <alignment horizontal="center"/>
    </xf>
    <xf numFmtId="165" fontId="25" fillId="0" borderId="2" xfId="0" applyNumberFormat="1" applyFont="1" applyBorder="1" applyAlignment="1" applyProtection="1">
      <alignment horizontal="center"/>
    </xf>
    <xf numFmtId="165" fontId="25" fillId="0" borderId="12" xfId="0" applyNumberFormat="1" applyFont="1" applyBorder="1" applyAlignment="1" applyProtection="1">
      <alignment horizontal="center"/>
    </xf>
    <xf numFmtId="165" fontId="24" fillId="0" borderId="2" xfId="0" applyNumberFormat="1" applyFont="1" applyBorder="1" applyAlignment="1" applyProtection="1">
      <alignment horizontal="center"/>
    </xf>
    <xf numFmtId="165" fontId="24" fillId="0" borderId="12" xfId="0" applyNumberFormat="1" applyFont="1" applyBorder="1" applyAlignment="1" applyProtection="1">
      <alignment horizontal="center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10" xfId="0" applyFont="1" applyBorder="1" applyAlignment="1" applyProtection="1">
      <alignment horizontal="center"/>
      <protection locked="0"/>
    </xf>
    <xf numFmtId="165" fontId="24" fillId="0" borderId="40" xfId="0" applyNumberFormat="1" applyFont="1" applyBorder="1" applyAlignment="1" applyProtection="1">
      <alignment horizontal="center"/>
    </xf>
    <xf numFmtId="165" fontId="24" fillId="0" borderId="39" xfId="0" applyNumberFormat="1" applyFont="1" applyBorder="1" applyAlignment="1" applyProtection="1">
      <alignment horizontal="center"/>
    </xf>
    <xf numFmtId="0" fontId="25" fillId="18" borderId="31" xfId="0" applyFont="1" applyFill="1" applyBorder="1" applyAlignment="1" applyProtection="1">
      <alignment horizontal="center"/>
    </xf>
    <xf numFmtId="0" fontId="25" fillId="18" borderId="32" xfId="0" applyFont="1" applyFill="1" applyBorder="1" applyAlignment="1" applyProtection="1">
      <alignment horizontal="center"/>
    </xf>
    <xf numFmtId="0" fontId="25" fillId="18" borderId="39" xfId="0" applyFont="1" applyFill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675441</xdr:colOff>
      <xdr:row>2</xdr:row>
      <xdr:rowOff>0</xdr:rowOff>
    </xdr:from>
    <xdr:ext cx="10906959" cy="781111"/>
    <xdr:sp macro="" textlink="">
      <xdr:nvSpPr>
        <xdr:cNvPr id="56" name="Rectangle 55"/>
        <xdr:cNvSpPr/>
      </xdr:nvSpPr>
      <xdr:spPr>
        <a:xfrm>
          <a:off x="2170866" y="304800"/>
          <a:ext cx="10906959" cy="78111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4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Sinistre </a:t>
          </a:r>
          <a:r>
            <a:rPr lang="fr-FR" sz="44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4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3829050" cy="248851"/>
    <xdr:sp macro="" textlink="">
      <xdr:nvSpPr>
        <xdr:cNvPr id="57" name="Rectangle 56"/>
        <xdr:cNvSpPr/>
      </xdr:nvSpPr>
      <xdr:spPr>
        <a:xfrm>
          <a:off x="9268239" y="1068457"/>
          <a:ext cx="3829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48851"/>
    <xdr:sp macro="" textlink="">
      <xdr:nvSpPr>
        <xdr:cNvPr id="59" name="Rectangle 58"/>
        <xdr:cNvSpPr/>
      </xdr:nvSpPr>
      <xdr:spPr>
        <a:xfrm>
          <a:off x="9048750" y="176212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247650</xdr:rowOff>
    </xdr:from>
    <xdr:ext cx="1912327" cy="248851"/>
    <xdr:sp macro="" textlink="">
      <xdr:nvSpPr>
        <xdr:cNvPr id="60" name="Rectangle 59"/>
        <xdr:cNvSpPr/>
      </xdr:nvSpPr>
      <xdr:spPr>
        <a:xfrm>
          <a:off x="9048750" y="200977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238125</xdr:rowOff>
    </xdr:from>
    <xdr:ext cx="1914525" cy="248851"/>
    <xdr:sp macro="" textlink="">
      <xdr:nvSpPr>
        <xdr:cNvPr id="61" name="Rectangle 60"/>
        <xdr:cNvSpPr/>
      </xdr:nvSpPr>
      <xdr:spPr>
        <a:xfrm>
          <a:off x="9048750" y="2209800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9</xdr:row>
      <xdr:rowOff>238125</xdr:rowOff>
    </xdr:from>
    <xdr:ext cx="1914525" cy="248851"/>
    <xdr:sp macro="" textlink="">
      <xdr:nvSpPr>
        <xdr:cNvPr id="62" name="Rectangle 61"/>
        <xdr:cNvSpPr/>
      </xdr:nvSpPr>
      <xdr:spPr>
        <a:xfrm>
          <a:off x="9048750" y="2457450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238125</xdr:rowOff>
    </xdr:from>
    <xdr:ext cx="1912327" cy="248851"/>
    <xdr:sp macro="" textlink="">
      <xdr:nvSpPr>
        <xdr:cNvPr id="63" name="Rectangle 62"/>
        <xdr:cNvSpPr/>
      </xdr:nvSpPr>
      <xdr:spPr>
        <a:xfrm>
          <a:off x="9048750" y="270510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</a:t>
          </a:r>
        </a:p>
      </xdr:txBody>
    </xdr:sp>
    <xdr:clientData/>
  </xdr:oneCellAnchor>
  <xdr:oneCellAnchor>
    <xdr:from>
      <xdr:col>5</xdr:col>
      <xdr:colOff>1</xdr:colOff>
      <xdr:row>6</xdr:row>
      <xdr:rowOff>0</xdr:rowOff>
    </xdr:from>
    <xdr:ext cx="1959428" cy="248851"/>
    <xdr:sp macro="" textlink="">
      <xdr:nvSpPr>
        <xdr:cNvPr id="64" name="Rectangle 63"/>
        <xdr:cNvSpPr/>
      </xdr:nvSpPr>
      <xdr:spPr>
        <a:xfrm>
          <a:off x="5248276" y="1476375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2</xdr:col>
      <xdr:colOff>1079225</xdr:colOff>
      <xdr:row>6</xdr:row>
      <xdr:rowOff>0</xdr:rowOff>
    </xdr:from>
    <xdr:ext cx="1964250" cy="248851"/>
    <xdr:sp macro="" textlink="">
      <xdr:nvSpPr>
        <xdr:cNvPr id="65" name="Rectangle 64"/>
        <xdr:cNvSpPr/>
      </xdr:nvSpPr>
      <xdr:spPr>
        <a:xfrm>
          <a:off x="2574650" y="1066800"/>
          <a:ext cx="19642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5</xdr:col>
      <xdr:colOff>1960684</xdr:colOff>
      <xdr:row>6</xdr:row>
      <xdr:rowOff>0</xdr:rowOff>
    </xdr:from>
    <xdr:ext cx="1966545" cy="248851"/>
    <xdr:sp macro="" textlink="">
      <xdr:nvSpPr>
        <xdr:cNvPr id="67" name="Rectangle 66"/>
        <xdr:cNvSpPr/>
      </xdr:nvSpPr>
      <xdr:spPr>
        <a:xfrm>
          <a:off x="7285892" y="1066800"/>
          <a:ext cx="196654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4</xdr:col>
      <xdr:colOff>1</xdr:colOff>
      <xdr:row>6</xdr:row>
      <xdr:rowOff>5</xdr:rowOff>
    </xdr:from>
    <xdr:ext cx="782515" cy="248851"/>
    <xdr:sp macro="" textlink="">
      <xdr:nvSpPr>
        <xdr:cNvPr id="68" name="Rectangle 67"/>
        <xdr:cNvSpPr/>
      </xdr:nvSpPr>
      <xdr:spPr>
        <a:xfrm>
          <a:off x="4542693" y="1066805"/>
          <a:ext cx="78251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3</xdr:col>
      <xdr:colOff>5864</xdr:colOff>
      <xdr:row>7</xdr:row>
      <xdr:rowOff>0</xdr:rowOff>
    </xdr:from>
    <xdr:ext cx="1947923" cy="248851"/>
    <xdr:sp macro="" textlink="">
      <xdr:nvSpPr>
        <xdr:cNvPr id="69" name="Rectangle 68"/>
        <xdr:cNvSpPr/>
      </xdr:nvSpPr>
      <xdr:spPr>
        <a:xfrm>
          <a:off x="2596664" y="1724025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FOURNITURES</a:t>
          </a:r>
        </a:p>
      </xdr:txBody>
    </xdr:sp>
    <xdr:clientData/>
  </xdr:oneCellAnchor>
  <xdr:oneCellAnchor>
    <xdr:from>
      <xdr:col>3</xdr:col>
      <xdr:colOff>5864</xdr:colOff>
      <xdr:row>7</xdr:row>
      <xdr:rowOff>244760</xdr:rowOff>
    </xdr:from>
    <xdr:ext cx="1947923" cy="248851"/>
    <xdr:sp macro="" textlink="">
      <xdr:nvSpPr>
        <xdr:cNvPr id="70" name="Rectangle 69"/>
        <xdr:cNvSpPr/>
      </xdr:nvSpPr>
      <xdr:spPr>
        <a:xfrm>
          <a:off x="2596664" y="1968785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Main d'oeuvre</a:t>
          </a:r>
        </a:p>
      </xdr:txBody>
    </xdr:sp>
    <xdr:clientData/>
  </xdr:oneCellAnchor>
  <xdr:oneCellAnchor>
    <xdr:from>
      <xdr:col>3</xdr:col>
      <xdr:colOff>5864</xdr:colOff>
      <xdr:row>8</xdr:row>
      <xdr:rowOff>244759</xdr:rowOff>
    </xdr:from>
    <xdr:ext cx="1947923" cy="248851"/>
    <xdr:sp macro="" textlink="">
      <xdr:nvSpPr>
        <xdr:cNvPr id="71" name="Rectangle 70"/>
        <xdr:cNvSpPr/>
      </xdr:nvSpPr>
      <xdr:spPr>
        <a:xfrm>
          <a:off x="2596664" y="2216434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PEINTURE</a:t>
          </a:r>
        </a:p>
      </xdr:txBody>
    </xdr:sp>
    <xdr:clientData/>
  </xdr:oneCellAnchor>
  <xdr:oneCellAnchor>
    <xdr:from>
      <xdr:col>3</xdr:col>
      <xdr:colOff>5874</xdr:colOff>
      <xdr:row>10</xdr:row>
      <xdr:rowOff>635</xdr:rowOff>
    </xdr:from>
    <xdr:ext cx="1946751" cy="248851"/>
    <xdr:sp macro="" textlink="">
      <xdr:nvSpPr>
        <xdr:cNvPr id="72" name="Rectangle 71"/>
        <xdr:cNvSpPr/>
      </xdr:nvSpPr>
      <xdr:spPr>
        <a:xfrm>
          <a:off x="2596674" y="2058035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BDG</a:t>
          </a:r>
        </a:p>
      </xdr:txBody>
    </xdr:sp>
    <xdr:clientData/>
  </xdr:oneCellAnchor>
  <xdr:oneCellAnchor>
    <xdr:from>
      <xdr:col>3</xdr:col>
      <xdr:colOff>5874</xdr:colOff>
      <xdr:row>11</xdr:row>
      <xdr:rowOff>742</xdr:rowOff>
    </xdr:from>
    <xdr:ext cx="1946751" cy="248851"/>
    <xdr:sp macro="" textlink="">
      <xdr:nvSpPr>
        <xdr:cNvPr id="73" name="Rectangle 72"/>
        <xdr:cNvSpPr/>
      </xdr:nvSpPr>
      <xdr:spPr>
        <a:xfrm>
          <a:off x="2594942" y="2299731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PNEU</a:t>
          </a:r>
        </a:p>
      </xdr:txBody>
    </xdr:sp>
    <xdr:clientData/>
  </xdr:oneCellAnchor>
  <xdr:oneCellAnchor>
    <xdr:from>
      <xdr:col>3</xdr:col>
      <xdr:colOff>5195</xdr:colOff>
      <xdr:row>12</xdr:row>
      <xdr:rowOff>742</xdr:rowOff>
    </xdr:from>
    <xdr:ext cx="1947430" cy="248851"/>
    <xdr:sp macro="" textlink="">
      <xdr:nvSpPr>
        <xdr:cNvPr id="74" name="Rectangle 73"/>
        <xdr:cNvSpPr/>
      </xdr:nvSpPr>
      <xdr:spPr>
        <a:xfrm>
          <a:off x="2594263" y="2546515"/>
          <a:ext cx="194743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</a:t>
          </a:r>
        </a:p>
      </xdr:txBody>
    </xdr:sp>
    <xdr:clientData/>
  </xdr:oneCellAnchor>
  <xdr:oneCellAnchor>
    <xdr:from>
      <xdr:col>3</xdr:col>
      <xdr:colOff>5443</xdr:colOff>
      <xdr:row>12</xdr:row>
      <xdr:rowOff>244759</xdr:rowOff>
    </xdr:from>
    <xdr:ext cx="1948543" cy="248851"/>
    <xdr:sp macro="" textlink="">
      <xdr:nvSpPr>
        <xdr:cNvPr id="75" name="Rectangle 74"/>
        <xdr:cNvSpPr/>
      </xdr:nvSpPr>
      <xdr:spPr>
        <a:xfrm>
          <a:off x="2596243" y="2813788"/>
          <a:ext cx="194854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 sur pneumatique</a:t>
          </a:r>
        </a:p>
      </xdr:txBody>
    </xdr:sp>
    <xdr:clientData/>
  </xdr:oneCellAnchor>
  <xdr:oneCellAnchor>
    <xdr:from>
      <xdr:col>3</xdr:col>
      <xdr:colOff>6798</xdr:colOff>
      <xdr:row>13</xdr:row>
      <xdr:rowOff>245432</xdr:rowOff>
    </xdr:from>
    <xdr:ext cx="6653513" cy="248851"/>
    <xdr:sp macro="" textlink="">
      <xdr:nvSpPr>
        <xdr:cNvPr id="76" name="Rectangle 75"/>
        <xdr:cNvSpPr/>
      </xdr:nvSpPr>
      <xdr:spPr>
        <a:xfrm>
          <a:off x="2598317" y="3049017"/>
          <a:ext cx="665351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3205</xdr:colOff>
      <xdr:row>15</xdr:row>
      <xdr:rowOff>681</xdr:rowOff>
    </xdr:from>
    <xdr:ext cx="1959428" cy="248851"/>
    <xdr:sp macro="" textlink="">
      <xdr:nvSpPr>
        <xdr:cNvPr id="77" name="Rectangle 76"/>
        <xdr:cNvSpPr/>
      </xdr:nvSpPr>
      <xdr:spPr>
        <a:xfrm>
          <a:off x="2594005" y="3705906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3205</xdr:colOff>
      <xdr:row>16</xdr:row>
      <xdr:rowOff>681</xdr:rowOff>
    </xdr:from>
    <xdr:ext cx="1959428" cy="248851"/>
    <xdr:sp macro="" textlink="">
      <xdr:nvSpPr>
        <xdr:cNvPr id="78" name="Rectangle 77"/>
        <xdr:cNvSpPr/>
      </xdr:nvSpPr>
      <xdr:spPr>
        <a:xfrm>
          <a:off x="2594005" y="3953556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3</xdr:col>
      <xdr:colOff>1332</xdr:colOff>
      <xdr:row>17</xdr:row>
      <xdr:rowOff>681</xdr:rowOff>
    </xdr:from>
    <xdr:ext cx="2736006" cy="248851"/>
    <xdr:sp macro="" textlink="">
      <xdr:nvSpPr>
        <xdr:cNvPr id="79" name="Rectangle 78"/>
        <xdr:cNvSpPr/>
      </xdr:nvSpPr>
      <xdr:spPr>
        <a:xfrm>
          <a:off x="2592132" y="3807750"/>
          <a:ext cx="27360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21</xdr:row>
      <xdr:rowOff>2222</xdr:rowOff>
    </xdr:from>
    <xdr:ext cx="1956109" cy="248851"/>
    <xdr:sp macro="" textlink="">
      <xdr:nvSpPr>
        <xdr:cNvPr id="91" name="Rectangle 90"/>
        <xdr:cNvSpPr/>
      </xdr:nvSpPr>
      <xdr:spPr>
        <a:xfrm>
          <a:off x="2592659" y="4764722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1394</xdr:rowOff>
    </xdr:from>
    <xdr:ext cx="1956109" cy="248851"/>
    <xdr:sp macro="" textlink="">
      <xdr:nvSpPr>
        <xdr:cNvPr id="92" name="Rectangle 91"/>
        <xdr:cNvSpPr/>
      </xdr:nvSpPr>
      <xdr:spPr>
        <a:xfrm>
          <a:off x="2592659" y="5010150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immobilisation</a:t>
          </a:r>
        </a:p>
      </xdr:txBody>
    </xdr:sp>
    <xdr:clientData/>
  </xdr:oneCellAnchor>
  <xdr:oneCellAnchor>
    <xdr:from>
      <xdr:col>7</xdr:col>
      <xdr:colOff>0</xdr:colOff>
      <xdr:row>11</xdr:row>
      <xdr:rowOff>240821</xdr:rowOff>
    </xdr:from>
    <xdr:ext cx="3829050" cy="254479"/>
    <xdr:sp macro="" textlink="">
      <xdr:nvSpPr>
        <xdr:cNvPr id="94" name="Rectangle 93"/>
        <xdr:cNvSpPr/>
      </xdr:nvSpPr>
      <xdr:spPr>
        <a:xfrm>
          <a:off x="9220200" y="2545871"/>
          <a:ext cx="3829050" cy="25447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  <xdr:oneCellAnchor>
    <xdr:from>
      <xdr:col>1</xdr:col>
      <xdr:colOff>737151</xdr:colOff>
      <xdr:row>2</xdr:row>
      <xdr:rowOff>0</xdr:rowOff>
    </xdr:from>
    <xdr:ext cx="1104293" cy="6496050"/>
    <xdr:sp macro="" textlink="">
      <xdr:nvSpPr>
        <xdr:cNvPr id="27" name="Rectangle 26"/>
        <xdr:cNvSpPr/>
      </xdr:nvSpPr>
      <xdr:spPr>
        <a:xfrm>
          <a:off x="1499151" y="304800"/>
          <a:ext cx="1104293" cy="64960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9525</xdr:colOff>
      <xdr:row>25</xdr:row>
      <xdr:rowOff>2833</xdr:rowOff>
    </xdr:from>
    <xdr:ext cx="2724150" cy="248851"/>
    <xdr:sp macro="" textlink="">
      <xdr:nvSpPr>
        <xdr:cNvPr id="30" name="Rectangle 29"/>
        <xdr:cNvSpPr/>
      </xdr:nvSpPr>
      <xdr:spPr>
        <a:xfrm>
          <a:off x="2600325" y="5774983"/>
          <a:ext cx="2724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  <xdr:oneCellAnchor>
    <xdr:from>
      <xdr:col>3</xdr:col>
      <xdr:colOff>9524</xdr:colOff>
      <xdr:row>26</xdr:row>
      <xdr:rowOff>1</xdr:rowOff>
    </xdr:from>
    <xdr:ext cx="6648451" cy="781240"/>
    <xdr:sp macro="" textlink="">
      <xdr:nvSpPr>
        <xdr:cNvPr id="31" name="Rectangle 30"/>
        <xdr:cNvSpPr/>
      </xdr:nvSpPr>
      <xdr:spPr>
        <a:xfrm>
          <a:off x="2600324" y="6019801"/>
          <a:ext cx="6648451" cy="78124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1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9</xdr:col>
      <xdr:colOff>0</xdr:colOff>
      <xdr:row>2</xdr:row>
      <xdr:rowOff>1</xdr:rowOff>
    </xdr:from>
    <xdr:ext cx="1104293" cy="6496050"/>
    <xdr:sp macro="" textlink="">
      <xdr:nvSpPr>
        <xdr:cNvPr id="32" name="Rectangle 31"/>
        <xdr:cNvSpPr/>
      </xdr:nvSpPr>
      <xdr:spPr>
        <a:xfrm>
          <a:off x="13077825" y="304801"/>
          <a:ext cx="1104293" cy="64960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829050" cy="1031436"/>
    <xdr:sp macro="" textlink="">
      <xdr:nvSpPr>
        <xdr:cNvPr id="35" name="Rectangle 34"/>
        <xdr:cNvSpPr/>
      </xdr:nvSpPr>
      <xdr:spPr>
        <a:xfrm>
          <a:off x="9248775" y="5772150"/>
          <a:ext cx="3829050" cy="103143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57839</xdr:colOff>
      <xdr:row>3</xdr:row>
      <xdr:rowOff>251572</xdr:rowOff>
    </xdr:from>
    <xdr:to>
      <xdr:col>8</xdr:col>
      <xdr:colOff>743553</xdr:colOff>
      <xdr:row>5</xdr:row>
      <xdr:rowOff>161231</xdr:rowOff>
    </xdr:to>
    <xdr:pic macro="[0]!impression_tableau_1_m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93301" y="830399"/>
          <a:ext cx="685714" cy="495813"/>
        </a:xfrm>
        <a:prstGeom prst="rect">
          <a:avLst/>
        </a:prstGeom>
      </xdr:spPr>
    </xdr:pic>
    <xdr:clientData/>
  </xdr:twoCellAnchor>
  <xdr:twoCellAnchor editAs="oneCell">
    <xdr:from>
      <xdr:col>1</xdr:col>
      <xdr:colOff>7328</xdr:colOff>
      <xdr:row>38</xdr:row>
      <xdr:rowOff>7326</xdr:rowOff>
    </xdr:from>
    <xdr:to>
      <xdr:col>7</xdr:col>
      <xdr:colOff>21981</xdr:colOff>
      <xdr:row>55</xdr:row>
      <xdr:rowOff>139211</xdr:rowOff>
    </xdr:to>
    <xdr:pic>
      <xdr:nvPicPr>
        <xdr:cNvPr id="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63770" y="8887557"/>
          <a:ext cx="7451480" cy="3436328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7</xdr:row>
          <xdr:rowOff>38100</xdr:rowOff>
        </xdr:from>
        <xdr:to>
          <xdr:col>6</xdr:col>
          <xdr:colOff>590550</xdr:colOff>
          <xdr:row>8</xdr:row>
          <xdr:rowOff>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8</xdr:row>
          <xdr:rowOff>180975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3</xdr:row>
      <xdr:rowOff>152400</xdr:rowOff>
    </xdr:from>
    <xdr:ext cx="4638675" cy="609600"/>
    <xdr:sp macro="" textlink="">
      <xdr:nvSpPr>
        <xdr:cNvPr id="4" name="Rectangle 3"/>
        <xdr:cNvSpPr/>
      </xdr:nvSpPr>
      <xdr:spPr>
        <a:xfrm>
          <a:off x="2628900" y="723900"/>
          <a:ext cx="4638675" cy="6096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32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epave </a:t>
          </a:r>
          <a:r>
            <a:rPr lang="fr-FR" sz="32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32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2</xdr:col>
      <xdr:colOff>0</xdr:colOff>
      <xdr:row>3</xdr:row>
      <xdr:rowOff>152401</xdr:rowOff>
    </xdr:from>
    <xdr:ext cx="1104293" cy="3615413"/>
    <xdr:sp macro="" textlink="">
      <xdr:nvSpPr>
        <xdr:cNvPr id="5" name="Rectangle 4"/>
        <xdr:cNvSpPr/>
      </xdr:nvSpPr>
      <xdr:spPr>
        <a:xfrm>
          <a:off x="1524000" y="723901"/>
          <a:ext cx="1104293" cy="361541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6</xdr:col>
      <xdr:colOff>0</xdr:colOff>
      <xdr:row>3</xdr:row>
      <xdr:rowOff>152400</xdr:rowOff>
    </xdr:from>
    <xdr:ext cx="1104293" cy="3615413"/>
    <xdr:sp macro="" textlink="">
      <xdr:nvSpPr>
        <xdr:cNvPr id="6" name="Rectangle 5"/>
        <xdr:cNvSpPr/>
      </xdr:nvSpPr>
      <xdr:spPr>
        <a:xfrm>
          <a:off x="7267575" y="723900"/>
          <a:ext cx="1104293" cy="3615413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l"/>
          <a:endParaRPr lang="fr-FR" sz="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1</xdr:colOff>
      <xdr:row>7</xdr:row>
      <xdr:rowOff>0</xdr:rowOff>
    </xdr:from>
    <xdr:ext cx="1962150" cy="248851"/>
    <xdr:sp macro="" textlink="">
      <xdr:nvSpPr>
        <xdr:cNvPr id="7" name="Rectangle 6"/>
        <xdr:cNvSpPr/>
      </xdr:nvSpPr>
      <xdr:spPr>
        <a:xfrm>
          <a:off x="2628901" y="1333500"/>
          <a:ext cx="1962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15948" cy="248851"/>
    <xdr:sp macro="" textlink="">
      <xdr:nvSpPr>
        <xdr:cNvPr id="8" name="Rectangle 7"/>
        <xdr:cNvSpPr/>
      </xdr:nvSpPr>
      <xdr:spPr>
        <a:xfrm>
          <a:off x="4591050" y="13335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959428" cy="248851"/>
    <xdr:sp macro="" textlink="">
      <xdr:nvSpPr>
        <xdr:cNvPr id="9" name="Rectangle 8"/>
        <xdr:cNvSpPr/>
      </xdr:nvSpPr>
      <xdr:spPr>
        <a:xfrm>
          <a:off x="5305425" y="13335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959428" cy="248851"/>
    <xdr:sp macro="" textlink="">
      <xdr:nvSpPr>
        <xdr:cNvPr id="10" name="Rectangle 9"/>
        <xdr:cNvSpPr/>
      </xdr:nvSpPr>
      <xdr:spPr>
        <a:xfrm>
          <a:off x="2628900" y="158115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0</xdr:colOff>
      <xdr:row>9</xdr:row>
      <xdr:rowOff>0</xdr:rowOff>
    </xdr:from>
    <xdr:ext cx="1959428" cy="248851"/>
    <xdr:sp macro="" textlink="">
      <xdr:nvSpPr>
        <xdr:cNvPr id="11" name="Rectangle 10"/>
        <xdr:cNvSpPr/>
      </xdr:nvSpPr>
      <xdr:spPr>
        <a:xfrm>
          <a:off x="2628900" y="18288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2</xdr:col>
      <xdr:colOff>1101944</xdr:colOff>
      <xdr:row>10</xdr:row>
      <xdr:rowOff>0</xdr:rowOff>
    </xdr:from>
    <xdr:ext cx="1965106" cy="248851"/>
    <xdr:sp macro="" textlink="">
      <xdr:nvSpPr>
        <xdr:cNvPr id="12" name="Rectangle 11"/>
        <xdr:cNvSpPr/>
      </xdr:nvSpPr>
      <xdr:spPr>
        <a:xfrm>
          <a:off x="2625944" y="2076450"/>
          <a:ext cx="19651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amortissement</a:t>
          </a:r>
        </a:p>
      </xdr:txBody>
    </xdr:sp>
    <xdr:clientData/>
  </xdr:oneCellAnchor>
  <xdr:oneCellAnchor>
    <xdr:from>
      <xdr:col>2</xdr:col>
      <xdr:colOff>1101944</xdr:colOff>
      <xdr:row>11</xdr:row>
      <xdr:rowOff>0</xdr:rowOff>
    </xdr:from>
    <xdr:ext cx="1965106" cy="248851"/>
    <xdr:sp macro="" textlink="">
      <xdr:nvSpPr>
        <xdr:cNvPr id="13" name="Rectangle 12"/>
        <xdr:cNvSpPr/>
      </xdr:nvSpPr>
      <xdr:spPr>
        <a:xfrm>
          <a:off x="2625944" y="2324100"/>
          <a:ext cx="19651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epave</a:t>
          </a:r>
        </a:p>
      </xdr:txBody>
    </xdr:sp>
    <xdr:clientData/>
  </xdr:oneCellAnchor>
  <xdr:oneCellAnchor>
    <xdr:from>
      <xdr:col>3</xdr:col>
      <xdr:colOff>0</xdr:colOff>
      <xdr:row>12</xdr:row>
      <xdr:rowOff>0</xdr:rowOff>
    </xdr:from>
    <xdr:ext cx="2675283" cy="248851"/>
    <xdr:sp macro="" textlink="">
      <xdr:nvSpPr>
        <xdr:cNvPr id="14" name="Rectangle 13"/>
        <xdr:cNvSpPr/>
      </xdr:nvSpPr>
      <xdr:spPr>
        <a:xfrm>
          <a:off x="2628900" y="2571750"/>
          <a:ext cx="267528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16</xdr:row>
      <xdr:rowOff>0</xdr:rowOff>
    </xdr:from>
    <xdr:ext cx="1959428" cy="248851"/>
    <xdr:sp macro="" textlink="">
      <xdr:nvSpPr>
        <xdr:cNvPr id="15" name="Rectangle 14"/>
        <xdr:cNvSpPr/>
      </xdr:nvSpPr>
      <xdr:spPr>
        <a:xfrm>
          <a:off x="2628900" y="356235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2675283" cy="256737"/>
    <xdr:sp macro="" textlink="">
      <xdr:nvSpPr>
        <xdr:cNvPr id="16" name="Rectangle 15"/>
        <xdr:cNvSpPr/>
      </xdr:nvSpPr>
      <xdr:spPr>
        <a:xfrm>
          <a:off x="2628900" y="4067175"/>
          <a:ext cx="2675283" cy="25673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5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  <xdr:oneCellAnchor>
    <xdr:from>
      <xdr:col>1</xdr:col>
      <xdr:colOff>761999</xdr:colOff>
      <xdr:row>19</xdr:row>
      <xdr:rowOff>0</xdr:rowOff>
    </xdr:from>
    <xdr:ext cx="6848475" cy="749821"/>
    <xdr:sp macro="" textlink="">
      <xdr:nvSpPr>
        <xdr:cNvPr id="17" name="Rectangle 16"/>
        <xdr:cNvSpPr/>
      </xdr:nvSpPr>
      <xdr:spPr>
        <a:xfrm>
          <a:off x="1523999" y="4305300"/>
          <a:ext cx="6848475" cy="74982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  <a:p>
          <a:pPr algn="ctr"/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15948" cy="248851"/>
    <xdr:sp macro="" textlink="">
      <xdr:nvSpPr>
        <xdr:cNvPr id="25" name="Rectangle 24"/>
        <xdr:cNvSpPr/>
      </xdr:nvSpPr>
      <xdr:spPr>
        <a:xfrm>
          <a:off x="4600575" y="28194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715948" cy="248851"/>
    <xdr:sp macro="" textlink="">
      <xdr:nvSpPr>
        <xdr:cNvPr id="26" name="Rectangle 25"/>
        <xdr:cNvSpPr/>
      </xdr:nvSpPr>
      <xdr:spPr>
        <a:xfrm>
          <a:off x="4600575" y="306705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15948" cy="248851"/>
    <xdr:sp macro="" textlink="">
      <xdr:nvSpPr>
        <xdr:cNvPr id="27" name="Rectangle 26"/>
        <xdr:cNvSpPr/>
      </xdr:nvSpPr>
      <xdr:spPr>
        <a:xfrm>
          <a:off x="4591050" y="207645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715948" cy="248851"/>
    <xdr:sp macro="" textlink="">
      <xdr:nvSpPr>
        <xdr:cNvPr id="28" name="Rectangle 27"/>
        <xdr:cNvSpPr/>
      </xdr:nvSpPr>
      <xdr:spPr>
        <a:xfrm>
          <a:off x="4591050" y="2324100"/>
          <a:ext cx="71594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4</xdr:col>
      <xdr:colOff>0</xdr:colOff>
      <xdr:row>17</xdr:row>
      <xdr:rowOff>1</xdr:rowOff>
    </xdr:from>
    <xdr:ext cx="715948" cy="256737"/>
    <xdr:sp macro="" textlink="">
      <xdr:nvSpPr>
        <xdr:cNvPr id="29" name="Rectangle 28"/>
        <xdr:cNvSpPr/>
      </xdr:nvSpPr>
      <xdr:spPr>
        <a:xfrm>
          <a:off x="4591050" y="3810001"/>
          <a:ext cx="715948" cy="25673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5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142875</xdr:colOff>
      <xdr:row>3</xdr:row>
      <xdr:rowOff>171450</xdr:rowOff>
    </xdr:from>
    <xdr:to>
      <xdr:col>17</xdr:col>
      <xdr:colOff>66589</xdr:colOff>
      <xdr:row>5</xdr:row>
      <xdr:rowOff>76139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87475" y="74295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2</xdr:row>
      <xdr:rowOff>66675</xdr:rowOff>
    </xdr:from>
    <xdr:to>
      <xdr:col>9</xdr:col>
      <xdr:colOff>704764</xdr:colOff>
      <xdr:row>4</xdr:row>
      <xdr:rowOff>28514</xdr:rowOff>
    </xdr:to>
    <xdr:pic macro="[0]!impression_tableau_1_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01125" y="457200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200025</xdr:rowOff>
    </xdr:from>
    <xdr:to>
      <xdr:col>7</xdr:col>
      <xdr:colOff>19050</xdr:colOff>
      <xdr:row>57</xdr:row>
      <xdr:rowOff>114300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7175" y="9858375"/>
          <a:ext cx="7439025" cy="3238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142875</xdr:rowOff>
    </xdr:from>
    <xdr:to>
      <xdr:col>2</xdr:col>
      <xdr:colOff>1228725</xdr:colOff>
      <xdr:row>3</xdr:row>
      <xdr:rowOff>77777</xdr:rowOff>
    </xdr:to>
    <xdr:pic>
      <xdr:nvPicPr>
        <xdr:cNvPr id="5" name="Image 4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175" y="142875"/>
          <a:ext cx="2324100" cy="515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7</xdr:row>
          <xdr:rowOff>9525</xdr:rowOff>
        </xdr:from>
        <xdr:to>
          <xdr:col>8</xdr:col>
          <xdr:colOff>19050</xdr:colOff>
          <xdr:row>7</xdr:row>
          <xdr:rowOff>209550</xdr:rowOff>
        </xdr:to>
        <xdr:sp macro="" textlink="">
          <xdr:nvSpPr>
            <xdr:cNvPr id="5122" name="Option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7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12" sqref="C12"/>
    </sheetView>
  </sheetViews>
  <sheetFormatPr baseColWidth="10" defaultRowHeight="12.75"/>
  <cols>
    <col min="1" max="1" width="10.28515625" style="3" customWidth="1"/>
    <col min="2" max="2" width="30" style="3" customWidth="1"/>
    <col min="3" max="3" width="133.5703125" style="3" customWidth="1"/>
    <col min="4" max="21" width="0.5703125" style="3" hidden="1" customWidth="1"/>
    <col min="22" max="22" width="0.140625" style="3" customWidth="1"/>
    <col min="23" max="24" width="11.5703125" style="3" hidden="1" customWidth="1"/>
    <col min="25" max="256" width="11.42578125" style="3"/>
    <col min="257" max="257" width="10.28515625" style="3" customWidth="1"/>
    <col min="258" max="258" width="30" style="3" customWidth="1"/>
    <col min="259" max="259" width="133.5703125" style="3" customWidth="1"/>
    <col min="260" max="277" width="0" style="3" hidden="1" customWidth="1"/>
    <col min="278" max="278" width="0.140625" style="3" customWidth="1"/>
    <col min="279" max="280" width="0" style="3" hidden="1" customWidth="1"/>
    <col min="281" max="512" width="11.42578125" style="3"/>
    <col min="513" max="513" width="10.28515625" style="3" customWidth="1"/>
    <col min="514" max="514" width="30" style="3" customWidth="1"/>
    <col min="515" max="515" width="133.5703125" style="3" customWidth="1"/>
    <col min="516" max="533" width="0" style="3" hidden="1" customWidth="1"/>
    <col min="534" max="534" width="0.140625" style="3" customWidth="1"/>
    <col min="535" max="536" width="0" style="3" hidden="1" customWidth="1"/>
    <col min="537" max="768" width="11.42578125" style="3"/>
    <col min="769" max="769" width="10.28515625" style="3" customWidth="1"/>
    <col min="770" max="770" width="30" style="3" customWidth="1"/>
    <col min="771" max="771" width="133.5703125" style="3" customWidth="1"/>
    <col min="772" max="789" width="0" style="3" hidden="1" customWidth="1"/>
    <col min="790" max="790" width="0.140625" style="3" customWidth="1"/>
    <col min="791" max="792" width="0" style="3" hidden="1" customWidth="1"/>
    <col min="793" max="1024" width="11.42578125" style="3"/>
    <col min="1025" max="1025" width="10.28515625" style="3" customWidth="1"/>
    <col min="1026" max="1026" width="30" style="3" customWidth="1"/>
    <col min="1027" max="1027" width="133.5703125" style="3" customWidth="1"/>
    <col min="1028" max="1045" width="0" style="3" hidden="1" customWidth="1"/>
    <col min="1046" max="1046" width="0.140625" style="3" customWidth="1"/>
    <col min="1047" max="1048" width="0" style="3" hidden="1" customWidth="1"/>
    <col min="1049" max="1280" width="11.42578125" style="3"/>
    <col min="1281" max="1281" width="10.28515625" style="3" customWidth="1"/>
    <col min="1282" max="1282" width="30" style="3" customWidth="1"/>
    <col min="1283" max="1283" width="133.5703125" style="3" customWidth="1"/>
    <col min="1284" max="1301" width="0" style="3" hidden="1" customWidth="1"/>
    <col min="1302" max="1302" width="0.140625" style="3" customWidth="1"/>
    <col min="1303" max="1304" width="0" style="3" hidden="1" customWidth="1"/>
    <col min="1305" max="1536" width="11.42578125" style="3"/>
    <col min="1537" max="1537" width="10.28515625" style="3" customWidth="1"/>
    <col min="1538" max="1538" width="30" style="3" customWidth="1"/>
    <col min="1539" max="1539" width="133.5703125" style="3" customWidth="1"/>
    <col min="1540" max="1557" width="0" style="3" hidden="1" customWidth="1"/>
    <col min="1558" max="1558" width="0.140625" style="3" customWidth="1"/>
    <col min="1559" max="1560" width="0" style="3" hidden="1" customWidth="1"/>
    <col min="1561" max="1792" width="11.42578125" style="3"/>
    <col min="1793" max="1793" width="10.28515625" style="3" customWidth="1"/>
    <col min="1794" max="1794" width="30" style="3" customWidth="1"/>
    <col min="1795" max="1795" width="133.5703125" style="3" customWidth="1"/>
    <col min="1796" max="1813" width="0" style="3" hidden="1" customWidth="1"/>
    <col min="1814" max="1814" width="0.140625" style="3" customWidth="1"/>
    <col min="1815" max="1816" width="0" style="3" hidden="1" customWidth="1"/>
    <col min="1817" max="2048" width="11.42578125" style="3"/>
    <col min="2049" max="2049" width="10.28515625" style="3" customWidth="1"/>
    <col min="2050" max="2050" width="30" style="3" customWidth="1"/>
    <col min="2051" max="2051" width="133.5703125" style="3" customWidth="1"/>
    <col min="2052" max="2069" width="0" style="3" hidden="1" customWidth="1"/>
    <col min="2070" max="2070" width="0.140625" style="3" customWidth="1"/>
    <col min="2071" max="2072" width="0" style="3" hidden="1" customWidth="1"/>
    <col min="2073" max="2304" width="11.42578125" style="3"/>
    <col min="2305" max="2305" width="10.28515625" style="3" customWidth="1"/>
    <col min="2306" max="2306" width="30" style="3" customWidth="1"/>
    <col min="2307" max="2307" width="133.5703125" style="3" customWidth="1"/>
    <col min="2308" max="2325" width="0" style="3" hidden="1" customWidth="1"/>
    <col min="2326" max="2326" width="0.140625" style="3" customWidth="1"/>
    <col min="2327" max="2328" width="0" style="3" hidden="1" customWidth="1"/>
    <col min="2329" max="2560" width="11.42578125" style="3"/>
    <col min="2561" max="2561" width="10.28515625" style="3" customWidth="1"/>
    <col min="2562" max="2562" width="30" style="3" customWidth="1"/>
    <col min="2563" max="2563" width="133.5703125" style="3" customWidth="1"/>
    <col min="2564" max="2581" width="0" style="3" hidden="1" customWidth="1"/>
    <col min="2582" max="2582" width="0.140625" style="3" customWidth="1"/>
    <col min="2583" max="2584" width="0" style="3" hidden="1" customWidth="1"/>
    <col min="2585" max="2816" width="11.42578125" style="3"/>
    <col min="2817" max="2817" width="10.28515625" style="3" customWidth="1"/>
    <col min="2818" max="2818" width="30" style="3" customWidth="1"/>
    <col min="2819" max="2819" width="133.5703125" style="3" customWidth="1"/>
    <col min="2820" max="2837" width="0" style="3" hidden="1" customWidth="1"/>
    <col min="2838" max="2838" width="0.140625" style="3" customWidth="1"/>
    <col min="2839" max="2840" width="0" style="3" hidden="1" customWidth="1"/>
    <col min="2841" max="3072" width="11.42578125" style="3"/>
    <col min="3073" max="3073" width="10.28515625" style="3" customWidth="1"/>
    <col min="3074" max="3074" width="30" style="3" customWidth="1"/>
    <col min="3075" max="3075" width="133.5703125" style="3" customWidth="1"/>
    <col min="3076" max="3093" width="0" style="3" hidden="1" customWidth="1"/>
    <col min="3094" max="3094" width="0.140625" style="3" customWidth="1"/>
    <col min="3095" max="3096" width="0" style="3" hidden="1" customWidth="1"/>
    <col min="3097" max="3328" width="11.42578125" style="3"/>
    <col min="3329" max="3329" width="10.28515625" style="3" customWidth="1"/>
    <col min="3330" max="3330" width="30" style="3" customWidth="1"/>
    <col min="3331" max="3331" width="133.5703125" style="3" customWidth="1"/>
    <col min="3332" max="3349" width="0" style="3" hidden="1" customWidth="1"/>
    <col min="3350" max="3350" width="0.140625" style="3" customWidth="1"/>
    <col min="3351" max="3352" width="0" style="3" hidden="1" customWidth="1"/>
    <col min="3353" max="3584" width="11.42578125" style="3"/>
    <col min="3585" max="3585" width="10.28515625" style="3" customWidth="1"/>
    <col min="3586" max="3586" width="30" style="3" customWidth="1"/>
    <col min="3587" max="3587" width="133.5703125" style="3" customWidth="1"/>
    <col min="3588" max="3605" width="0" style="3" hidden="1" customWidth="1"/>
    <col min="3606" max="3606" width="0.140625" style="3" customWidth="1"/>
    <col min="3607" max="3608" width="0" style="3" hidden="1" customWidth="1"/>
    <col min="3609" max="3840" width="11.42578125" style="3"/>
    <col min="3841" max="3841" width="10.28515625" style="3" customWidth="1"/>
    <col min="3842" max="3842" width="30" style="3" customWidth="1"/>
    <col min="3843" max="3843" width="133.5703125" style="3" customWidth="1"/>
    <col min="3844" max="3861" width="0" style="3" hidden="1" customWidth="1"/>
    <col min="3862" max="3862" width="0.140625" style="3" customWidth="1"/>
    <col min="3863" max="3864" width="0" style="3" hidden="1" customWidth="1"/>
    <col min="3865" max="4096" width="11.42578125" style="3"/>
    <col min="4097" max="4097" width="10.28515625" style="3" customWidth="1"/>
    <col min="4098" max="4098" width="30" style="3" customWidth="1"/>
    <col min="4099" max="4099" width="133.5703125" style="3" customWidth="1"/>
    <col min="4100" max="4117" width="0" style="3" hidden="1" customWidth="1"/>
    <col min="4118" max="4118" width="0.140625" style="3" customWidth="1"/>
    <col min="4119" max="4120" width="0" style="3" hidden="1" customWidth="1"/>
    <col min="4121" max="4352" width="11.42578125" style="3"/>
    <col min="4353" max="4353" width="10.28515625" style="3" customWidth="1"/>
    <col min="4354" max="4354" width="30" style="3" customWidth="1"/>
    <col min="4355" max="4355" width="133.5703125" style="3" customWidth="1"/>
    <col min="4356" max="4373" width="0" style="3" hidden="1" customWidth="1"/>
    <col min="4374" max="4374" width="0.140625" style="3" customWidth="1"/>
    <col min="4375" max="4376" width="0" style="3" hidden="1" customWidth="1"/>
    <col min="4377" max="4608" width="11.42578125" style="3"/>
    <col min="4609" max="4609" width="10.28515625" style="3" customWidth="1"/>
    <col min="4610" max="4610" width="30" style="3" customWidth="1"/>
    <col min="4611" max="4611" width="133.5703125" style="3" customWidth="1"/>
    <col min="4612" max="4629" width="0" style="3" hidden="1" customWidth="1"/>
    <col min="4630" max="4630" width="0.140625" style="3" customWidth="1"/>
    <col min="4631" max="4632" width="0" style="3" hidden="1" customWidth="1"/>
    <col min="4633" max="4864" width="11.42578125" style="3"/>
    <col min="4865" max="4865" width="10.28515625" style="3" customWidth="1"/>
    <col min="4866" max="4866" width="30" style="3" customWidth="1"/>
    <col min="4867" max="4867" width="133.5703125" style="3" customWidth="1"/>
    <col min="4868" max="4885" width="0" style="3" hidden="1" customWidth="1"/>
    <col min="4886" max="4886" width="0.140625" style="3" customWidth="1"/>
    <col min="4887" max="4888" width="0" style="3" hidden="1" customWidth="1"/>
    <col min="4889" max="5120" width="11.42578125" style="3"/>
    <col min="5121" max="5121" width="10.28515625" style="3" customWidth="1"/>
    <col min="5122" max="5122" width="30" style="3" customWidth="1"/>
    <col min="5123" max="5123" width="133.5703125" style="3" customWidth="1"/>
    <col min="5124" max="5141" width="0" style="3" hidden="1" customWidth="1"/>
    <col min="5142" max="5142" width="0.140625" style="3" customWidth="1"/>
    <col min="5143" max="5144" width="0" style="3" hidden="1" customWidth="1"/>
    <col min="5145" max="5376" width="11.42578125" style="3"/>
    <col min="5377" max="5377" width="10.28515625" style="3" customWidth="1"/>
    <col min="5378" max="5378" width="30" style="3" customWidth="1"/>
    <col min="5379" max="5379" width="133.5703125" style="3" customWidth="1"/>
    <col min="5380" max="5397" width="0" style="3" hidden="1" customWidth="1"/>
    <col min="5398" max="5398" width="0.140625" style="3" customWidth="1"/>
    <col min="5399" max="5400" width="0" style="3" hidden="1" customWidth="1"/>
    <col min="5401" max="5632" width="11.42578125" style="3"/>
    <col min="5633" max="5633" width="10.28515625" style="3" customWidth="1"/>
    <col min="5634" max="5634" width="30" style="3" customWidth="1"/>
    <col min="5635" max="5635" width="133.5703125" style="3" customWidth="1"/>
    <col min="5636" max="5653" width="0" style="3" hidden="1" customWidth="1"/>
    <col min="5654" max="5654" width="0.140625" style="3" customWidth="1"/>
    <col min="5655" max="5656" width="0" style="3" hidden="1" customWidth="1"/>
    <col min="5657" max="5888" width="11.42578125" style="3"/>
    <col min="5889" max="5889" width="10.28515625" style="3" customWidth="1"/>
    <col min="5890" max="5890" width="30" style="3" customWidth="1"/>
    <col min="5891" max="5891" width="133.5703125" style="3" customWidth="1"/>
    <col min="5892" max="5909" width="0" style="3" hidden="1" customWidth="1"/>
    <col min="5910" max="5910" width="0.140625" style="3" customWidth="1"/>
    <col min="5911" max="5912" width="0" style="3" hidden="1" customWidth="1"/>
    <col min="5913" max="6144" width="11.42578125" style="3"/>
    <col min="6145" max="6145" width="10.28515625" style="3" customWidth="1"/>
    <col min="6146" max="6146" width="30" style="3" customWidth="1"/>
    <col min="6147" max="6147" width="133.5703125" style="3" customWidth="1"/>
    <col min="6148" max="6165" width="0" style="3" hidden="1" customWidth="1"/>
    <col min="6166" max="6166" width="0.140625" style="3" customWidth="1"/>
    <col min="6167" max="6168" width="0" style="3" hidden="1" customWidth="1"/>
    <col min="6169" max="6400" width="11.42578125" style="3"/>
    <col min="6401" max="6401" width="10.28515625" style="3" customWidth="1"/>
    <col min="6402" max="6402" width="30" style="3" customWidth="1"/>
    <col min="6403" max="6403" width="133.5703125" style="3" customWidth="1"/>
    <col min="6404" max="6421" width="0" style="3" hidden="1" customWidth="1"/>
    <col min="6422" max="6422" width="0.140625" style="3" customWidth="1"/>
    <col min="6423" max="6424" width="0" style="3" hidden="1" customWidth="1"/>
    <col min="6425" max="6656" width="11.42578125" style="3"/>
    <col min="6657" max="6657" width="10.28515625" style="3" customWidth="1"/>
    <col min="6658" max="6658" width="30" style="3" customWidth="1"/>
    <col min="6659" max="6659" width="133.5703125" style="3" customWidth="1"/>
    <col min="6660" max="6677" width="0" style="3" hidden="1" customWidth="1"/>
    <col min="6678" max="6678" width="0.140625" style="3" customWidth="1"/>
    <col min="6679" max="6680" width="0" style="3" hidden="1" customWidth="1"/>
    <col min="6681" max="6912" width="11.42578125" style="3"/>
    <col min="6913" max="6913" width="10.28515625" style="3" customWidth="1"/>
    <col min="6914" max="6914" width="30" style="3" customWidth="1"/>
    <col min="6915" max="6915" width="133.5703125" style="3" customWidth="1"/>
    <col min="6916" max="6933" width="0" style="3" hidden="1" customWidth="1"/>
    <col min="6934" max="6934" width="0.140625" style="3" customWidth="1"/>
    <col min="6935" max="6936" width="0" style="3" hidden="1" customWidth="1"/>
    <col min="6937" max="7168" width="11.42578125" style="3"/>
    <col min="7169" max="7169" width="10.28515625" style="3" customWidth="1"/>
    <col min="7170" max="7170" width="30" style="3" customWidth="1"/>
    <col min="7171" max="7171" width="133.5703125" style="3" customWidth="1"/>
    <col min="7172" max="7189" width="0" style="3" hidden="1" customWidth="1"/>
    <col min="7190" max="7190" width="0.140625" style="3" customWidth="1"/>
    <col min="7191" max="7192" width="0" style="3" hidden="1" customWidth="1"/>
    <col min="7193" max="7424" width="11.42578125" style="3"/>
    <col min="7425" max="7425" width="10.28515625" style="3" customWidth="1"/>
    <col min="7426" max="7426" width="30" style="3" customWidth="1"/>
    <col min="7427" max="7427" width="133.5703125" style="3" customWidth="1"/>
    <col min="7428" max="7445" width="0" style="3" hidden="1" customWidth="1"/>
    <col min="7446" max="7446" width="0.140625" style="3" customWidth="1"/>
    <col min="7447" max="7448" width="0" style="3" hidden="1" customWidth="1"/>
    <col min="7449" max="7680" width="11.42578125" style="3"/>
    <col min="7681" max="7681" width="10.28515625" style="3" customWidth="1"/>
    <col min="7682" max="7682" width="30" style="3" customWidth="1"/>
    <col min="7683" max="7683" width="133.5703125" style="3" customWidth="1"/>
    <col min="7684" max="7701" width="0" style="3" hidden="1" customWidth="1"/>
    <col min="7702" max="7702" width="0.140625" style="3" customWidth="1"/>
    <col min="7703" max="7704" width="0" style="3" hidden="1" customWidth="1"/>
    <col min="7705" max="7936" width="11.42578125" style="3"/>
    <col min="7937" max="7937" width="10.28515625" style="3" customWidth="1"/>
    <col min="7938" max="7938" width="30" style="3" customWidth="1"/>
    <col min="7939" max="7939" width="133.5703125" style="3" customWidth="1"/>
    <col min="7940" max="7957" width="0" style="3" hidden="1" customWidth="1"/>
    <col min="7958" max="7958" width="0.140625" style="3" customWidth="1"/>
    <col min="7959" max="7960" width="0" style="3" hidden="1" customWidth="1"/>
    <col min="7961" max="8192" width="11.42578125" style="3"/>
    <col min="8193" max="8193" width="10.28515625" style="3" customWidth="1"/>
    <col min="8194" max="8194" width="30" style="3" customWidth="1"/>
    <col min="8195" max="8195" width="133.5703125" style="3" customWidth="1"/>
    <col min="8196" max="8213" width="0" style="3" hidden="1" customWidth="1"/>
    <col min="8214" max="8214" width="0.140625" style="3" customWidth="1"/>
    <col min="8215" max="8216" width="0" style="3" hidden="1" customWidth="1"/>
    <col min="8217" max="8448" width="11.42578125" style="3"/>
    <col min="8449" max="8449" width="10.28515625" style="3" customWidth="1"/>
    <col min="8450" max="8450" width="30" style="3" customWidth="1"/>
    <col min="8451" max="8451" width="133.5703125" style="3" customWidth="1"/>
    <col min="8452" max="8469" width="0" style="3" hidden="1" customWidth="1"/>
    <col min="8470" max="8470" width="0.140625" style="3" customWidth="1"/>
    <col min="8471" max="8472" width="0" style="3" hidden="1" customWidth="1"/>
    <col min="8473" max="8704" width="11.42578125" style="3"/>
    <col min="8705" max="8705" width="10.28515625" style="3" customWidth="1"/>
    <col min="8706" max="8706" width="30" style="3" customWidth="1"/>
    <col min="8707" max="8707" width="133.5703125" style="3" customWidth="1"/>
    <col min="8708" max="8725" width="0" style="3" hidden="1" customWidth="1"/>
    <col min="8726" max="8726" width="0.140625" style="3" customWidth="1"/>
    <col min="8727" max="8728" width="0" style="3" hidden="1" customWidth="1"/>
    <col min="8729" max="8960" width="11.42578125" style="3"/>
    <col min="8961" max="8961" width="10.28515625" style="3" customWidth="1"/>
    <col min="8962" max="8962" width="30" style="3" customWidth="1"/>
    <col min="8963" max="8963" width="133.5703125" style="3" customWidth="1"/>
    <col min="8964" max="8981" width="0" style="3" hidden="1" customWidth="1"/>
    <col min="8982" max="8982" width="0.140625" style="3" customWidth="1"/>
    <col min="8983" max="8984" width="0" style="3" hidden="1" customWidth="1"/>
    <col min="8985" max="9216" width="11.42578125" style="3"/>
    <col min="9217" max="9217" width="10.28515625" style="3" customWidth="1"/>
    <col min="9218" max="9218" width="30" style="3" customWidth="1"/>
    <col min="9219" max="9219" width="133.5703125" style="3" customWidth="1"/>
    <col min="9220" max="9237" width="0" style="3" hidden="1" customWidth="1"/>
    <col min="9238" max="9238" width="0.140625" style="3" customWidth="1"/>
    <col min="9239" max="9240" width="0" style="3" hidden="1" customWidth="1"/>
    <col min="9241" max="9472" width="11.42578125" style="3"/>
    <col min="9473" max="9473" width="10.28515625" style="3" customWidth="1"/>
    <col min="9474" max="9474" width="30" style="3" customWidth="1"/>
    <col min="9475" max="9475" width="133.5703125" style="3" customWidth="1"/>
    <col min="9476" max="9493" width="0" style="3" hidden="1" customWidth="1"/>
    <col min="9494" max="9494" width="0.140625" style="3" customWidth="1"/>
    <col min="9495" max="9496" width="0" style="3" hidden="1" customWidth="1"/>
    <col min="9497" max="9728" width="11.42578125" style="3"/>
    <col min="9729" max="9729" width="10.28515625" style="3" customWidth="1"/>
    <col min="9730" max="9730" width="30" style="3" customWidth="1"/>
    <col min="9731" max="9731" width="133.5703125" style="3" customWidth="1"/>
    <col min="9732" max="9749" width="0" style="3" hidden="1" customWidth="1"/>
    <col min="9750" max="9750" width="0.140625" style="3" customWidth="1"/>
    <col min="9751" max="9752" width="0" style="3" hidden="1" customWidth="1"/>
    <col min="9753" max="9984" width="11.42578125" style="3"/>
    <col min="9985" max="9985" width="10.28515625" style="3" customWidth="1"/>
    <col min="9986" max="9986" width="30" style="3" customWidth="1"/>
    <col min="9987" max="9987" width="133.5703125" style="3" customWidth="1"/>
    <col min="9988" max="10005" width="0" style="3" hidden="1" customWidth="1"/>
    <col min="10006" max="10006" width="0.140625" style="3" customWidth="1"/>
    <col min="10007" max="10008" width="0" style="3" hidden="1" customWidth="1"/>
    <col min="10009" max="10240" width="11.42578125" style="3"/>
    <col min="10241" max="10241" width="10.28515625" style="3" customWidth="1"/>
    <col min="10242" max="10242" width="30" style="3" customWidth="1"/>
    <col min="10243" max="10243" width="133.5703125" style="3" customWidth="1"/>
    <col min="10244" max="10261" width="0" style="3" hidden="1" customWidth="1"/>
    <col min="10262" max="10262" width="0.140625" style="3" customWidth="1"/>
    <col min="10263" max="10264" width="0" style="3" hidden="1" customWidth="1"/>
    <col min="10265" max="10496" width="11.42578125" style="3"/>
    <col min="10497" max="10497" width="10.28515625" style="3" customWidth="1"/>
    <col min="10498" max="10498" width="30" style="3" customWidth="1"/>
    <col min="10499" max="10499" width="133.5703125" style="3" customWidth="1"/>
    <col min="10500" max="10517" width="0" style="3" hidden="1" customWidth="1"/>
    <col min="10518" max="10518" width="0.140625" style="3" customWidth="1"/>
    <col min="10519" max="10520" width="0" style="3" hidden="1" customWidth="1"/>
    <col min="10521" max="10752" width="11.42578125" style="3"/>
    <col min="10753" max="10753" width="10.28515625" style="3" customWidth="1"/>
    <col min="10754" max="10754" width="30" style="3" customWidth="1"/>
    <col min="10755" max="10755" width="133.5703125" style="3" customWidth="1"/>
    <col min="10756" max="10773" width="0" style="3" hidden="1" customWidth="1"/>
    <col min="10774" max="10774" width="0.140625" style="3" customWidth="1"/>
    <col min="10775" max="10776" width="0" style="3" hidden="1" customWidth="1"/>
    <col min="10777" max="11008" width="11.42578125" style="3"/>
    <col min="11009" max="11009" width="10.28515625" style="3" customWidth="1"/>
    <col min="11010" max="11010" width="30" style="3" customWidth="1"/>
    <col min="11011" max="11011" width="133.5703125" style="3" customWidth="1"/>
    <col min="11012" max="11029" width="0" style="3" hidden="1" customWidth="1"/>
    <col min="11030" max="11030" width="0.140625" style="3" customWidth="1"/>
    <col min="11031" max="11032" width="0" style="3" hidden="1" customWidth="1"/>
    <col min="11033" max="11264" width="11.42578125" style="3"/>
    <col min="11265" max="11265" width="10.28515625" style="3" customWidth="1"/>
    <col min="11266" max="11266" width="30" style="3" customWidth="1"/>
    <col min="11267" max="11267" width="133.5703125" style="3" customWidth="1"/>
    <col min="11268" max="11285" width="0" style="3" hidden="1" customWidth="1"/>
    <col min="11286" max="11286" width="0.140625" style="3" customWidth="1"/>
    <col min="11287" max="11288" width="0" style="3" hidden="1" customWidth="1"/>
    <col min="11289" max="11520" width="11.42578125" style="3"/>
    <col min="11521" max="11521" width="10.28515625" style="3" customWidth="1"/>
    <col min="11522" max="11522" width="30" style="3" customWidth="1"/>
    <col min="11523" max="11523" width="133.5703125" style="3" customWidth="1"/>
    <col min="11524" max="11541" width="0" style="3" hidden="1" customWidth="1"/>
    <col min="11542" max="11542" width="0.140625" style="3" customWidth="1"/>
    <col min="11543" max="11544" width="0" style="3" hidden="1" customWidth="1"/>
    <col min="11545" max="11776" width="11.42578125" style="3"/>
    <col min="11777" max="11777" width="10.28515625" style="3" customWidth="1"/>
    <col min="11778" max="11778" width="30" style="3" customWidth="1"/>
    <col min="11779" max="11779" width="133.5703125" style="3" customWidth="1"/>
    <col min="11780" max="11797" width="0" style="3" hidden="1" customWidth="1"/>
    <col min="11798" max="11798" width="0.140625" style="3" customWidth="1"/>
    <col min="11799" max="11800" width="0" style="3" hidden="1" customWidth="1"/>
    <col min="11801" max="12032" width="11.42578125" style="3"/>
    <col min="12033" max="12033" width="10.28515625" style="3" customWidth="1"/>
    <col min="12034" max="12034" width="30" style="3" customWidth="1"/>
    <col min="12035" max="12035" width="133.5703125" style="3" customWidth="1"/>
    <col min="12036" max="12053" width="0" style="3" hidden="1" customWidth="1"/>
    <col min="12054" max="12054" width="0.140625" style="3" customWidth="1"/>
    <col min="12055" max="12056" width="0" style="3" hidden="1" customWidth="1"/>
    <col min="12057" max="12288" width="11.42578125" style="3"/>
    <col min="12289" max="12289" width="10.28515625" style="3" customWidth="1"/>
    <col min="12290" max="12290" width="30" style="3" customWidth="1"/>
    <col min="12291" max="12291" width="133.5703125" style="3" customWidth="1"/>
    <col min="12292" max="12309" width="0" style="3" hidden="1" customWidth="1"/>
    <col min="12310" max="12310" width="0.140625" style="3" customWidth="1"/>
    <col min="12311" max="12312" width="0" style="3" hidden="1" customWidth="1"/>
    <col min="12313" max="12544" width="11.42578125" style="3"/>
    <col min="12545" max="12545" width="10.28515625" style="3" customWidth="1"/>
    <col min="12546" max="12546" width="30" style="3" customWidth="1"/>
    <col min="12547" max="12547" width="133.5703125" style="3" customWidth="1"/>
    <col min="12548" max="12565" width="0" style="3" hidden="1" customWidth="1"/>
    <col min="12566" max="12566" width="0.140625" style="3" customWidth="1"/>
    <col min="12567" max="12568" width="0" style="3" hidden="1" customWidth="1"/>
    <col min="12569" max="12800" width="11.42578125" style="3"/>
    <col min="12801" max="12801" width="10.28515625" style="3" customWidth="1"/>
    <col min="12802" max="12802" width="30" style="3" customWidth="1"/>
    <col min="12803" max="12803" width="133.5703125" style="3" customWidth="1"/>
    <col min="12804" max="12821" width="0" style="3" hidden="1" customWidth="1"/>
    <col min="12822" max="12822" width="0.140625" style="3" customWidth="1"/>
    <col min="12823" max="12824" width="0" style="3" hidden="1" customWidth="1"/>
    <col min="12825" max="13056" width="11.42578125" style="3"/>
    <col min="13057" max="13057" width="10.28515625" style="3" customWidth="1"/>
    <col min="13058" max="13058" width="30" style="3" customWidth="1"/>
    <col min="13059" max="13059" width="133.5703125" style="3" customWidth="1"/>
    <col min="13060" max="13077" width="0" style="3" hidden="1" customWidth="1"/>
    <col min="13078" max="13078" width="0.140625" style="3" customWidth="1"/>
    <col min="13079" max="13080" width="0" style="3" hidden="1" customWidth="1"/>
    <col min="13081" max="13312" width="11.42578125" style="3"/>
    <col min="13313" max="13313" width="10.28515625" style="3" customWidth="1"/>
    <col min="13314" max="13314" width="30" style="3" customWidth="1"/>
    <col min="13315" max="13315" width="133.5703125" style="3" customWidth="1"/>
    <col min="13316" max="13333" width="0" style="3" hidden="1" customWidth="1"/>
    <col min="13334" max="13334" width="0.140625" style="3" customWidth="1"/>
    <col min="13335" max="13336" width="0" style="3" hidden="1" customWidth="1"/>
    <col min="13337" max="13568" width="11.42578125" style="3"/>
    <col min="13569" max="13569" width="10.28515625" style="3" customWidth="1"/>
    <col min="13570" max="13570" width="30" style="3" customWidth="1"/>
    <col min="13571" max="13571" width="133.5703125" style="3" customWidth="1"/>
    <col min="13572" max="13589" width="0" style="3" hidden="1" customWidth="1"/>
    <col min="13590" max="13590" width="0.140625" style="3" customWidth="1"/>
    <col min="13591" max="13592" width="0" style="3" hidden="1" customWidth="1"/>
    <col min="13593" max="13824" width="11.42578125" style="3"/>
    <col min="13825" max="13825" width="10.28515625" style="3" customWidth="1"/>
    <col min="13826" max="13826" width="30" style="3" customWidth="1"/>
    <col min="13827" max="13827" width="133.5703125" style="3" customWidth="1"/>
    <col min="13828" max="13845" width="0" style="3" hidden="1" customWidth="1"/>
    <col min="13846" max="13846" width="0.140625" style="3" customWidth="1"/>
    <col min="13847" max="13848" width="0" style="3" hidden="1" customWidth="1"/>
    <col min="13849" max="14080" width="11.42578125" style="3"/>
    <col min="14081" max="14081" width="10.28515625" style="3" customWidth="1"/>
    <col min="14082" max="14082" width="30" style="3" customWidth="1"/>
    <col min="14083" max="14083" width="133.5703125" style="3" customWidth="1"/>
    <col min="14084" max="14101" width="0" style="3" hidden="1" customWidth="1"/>
    <col min="14102" max="14102" width="0.140625" style="3" customWidth="1"/>
    <col min="14103" max="14104" width="0" style="3" hidden="1" customWidth="1"/>
    <col min="14105" max="14336" width="11.42578125" style="3"/>
    <col min="14337" max="14337" width="10.28515625" style="3" customWidth="1"/>
    <col min="14338" max="14338" width="30" style="3" customWidth="1"/>
    <col min="14339" max="14339" width="133.5703125" style="3" customWidth="1"/>
    <col min="14340" max="14357" width="0" style="3" hidden="1" customWidth="1"/>
    <col min="14358" max="14358" width="0.140625" style="3" customWidth="1"/>
    <col min="14359" max="14360" width="0" style="3" hidden="1" customWidth="1"/>
    <col min="14361" max="14592" width="11.42578125" style="3"/>
    <col min="14593" max="14593" width="10.28515625" style="3" customWidth="1"/>
    <col min="14594" max="14594" width="30" style="3" customWidth="1"/>
    <col min="14595" max="14595" width="133.5703125" style="3" customWidth="1"/>
    <col min="14596" max="14613" width="0" style="3" hidden="1" customWidth="1"/>
    <col min="14614" max="14614" width="0.140625" style="3" customWidth="1"/>
    <col min="14615" max="14616" width="0" style="3" hidden="1" customWidth="1"/>
    <col min="14617" max="14848" width="11.42578125" style="3"/>
    <col min="14849" max="14849" width="10.28515625" style="3" customWidth="1"/>
    <col min="14850" max="14850" width="30" style="3" customWidth="1"/>
    <col min="14851" max="14851" width="133.5703125" style="3" customWidth="1"/>
    <col min="14852" max="14869" width="0" style="3" hidden="1" customWidth="1"/>
    <col min="14870" max="14870" width="0.140625" style="3" customWidth="1"/>
    <col min="14871" max="14872" width="0" style="3" hidden="1" customWidth="1"/>
    <col min="14873" max="15104" width="11.42578125" style="3"/>
    <col min="15105" max="15105" width="10.28515625" style="3" customWidth="1"/>
    <col min="15106" max="15106" width="30" style="3" customWidth="1"/>
    <col min="15107" max="15107" width="133.5703125" style="3" customWidth="1"/>
    <col min="15108" max="15125" width="0" style="3" hidden="1" customWidth="1"/>
    <col min="15126" max="15126" width="0.140625" style="3" customWidth="1"/>
    <col min="15127" max="15128" width="0" style="3" hidden="1" customWidth="1"/>
    <col min="15129" max="15360" width="11.42578125" style="3"/>
    <col min="15361" max="15361" width="10.28515625" style="3" customWidth="1"/>
    <col min="15362" max="15362" width="30" style="3" customWidth="1"/>
    <col min="15363" max="15363" width="133.5703125" style="3" customWidth="1"/>
    <col min="15364" max="15381" width="0" style="3" hidden="1" customWidth="1"/>
    <col min="15382" max="15382" width="0.140625" style="3" customWidth="1"/>
    <col min="15383" max="15384" width="0" style="3" hidden="1" customWidth="1"/>
    <col min="15385" max="15616" width="11.42578125" style="3"/>
    <col min="15617" max="15617" width="10.28515625" style="3" customWidth="1"/>
    <col min="15618" max="15618" width="30" style="3" customWidth="1"/>
    <col min="15619" max="15619" width="133.5703125" style="3" customWidth="1"/>
    <col min="15620" max="15637" width="0" style="3" hidden="1" customWidth="1"/>
    <col min="15638" max="15638" width="0.140625" style="3" customWidth="1"/>
    <col min="15639" max="15640" width="0" style="3" hidden="1" customWidth="1"/>
    <col min="15641" max="15872" width="11.42578125" style="3"/>
    <col min="15873" max="15873" width="10.28515625" style="3" customWidth="1"/>
    <col min="15874" max="15874" width="30" style="3" customWidth="1"/>
    <col min="15875" max="15875" width="133.5703125" style="3" customWidth="1"/>
    <col min="15876" max="15893" width="0" style="3" hidden="1" customWidth="1"/>
    <col min="15894" max="15894" width="0.140625" style="3" customWidth="1"/>
    <col min="15895" max="15896" width="0" style="3" hidden="1" customWidth="1"/>
    <col min="15897" max="16128" width="11.42578125" style="3"/>
    <col min="16129" max="16129" width="10.28515625" style="3" customWidth="1"/>
    <col min="16130" max="16130" width="30" style="3" customWidth="1"/>
    <col min="16131" max="16131" width="133.5703125" style="3" customWidth="1"/>
    <col min="16132" max="16149" width="0" style="3" hidden="1" customWidth="1"/>
    <col min="16150" max="16150" width="0.140625" style="3" customWidth="1"/>
    <col min="16151" max="16152" width="0" style="3" hidden="1" customWidth="1"/>
    <col min="16153" max="16384" width="11.42578125" style="3"/>
  </cols>
  <sheetData>
    <row r="1" spans="1:9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9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9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9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99" s="6" customFormat="1" ht="70.150000000000006" customHeight="1">
      <c r="A5" s="4"/>
      <c r="B5" s="5">
        <f>Modèle_Sinistre!F13</f>
        <v>433174.00652173912</v>
      </c>
      <c r="C5" s="6" t="str">
        <f>UPPER(MID(CU5,1,1))&amp;MID(CU5,2,168)</f>
        <v>Quatre cent trente trois mille cent soixante-quatorze Dinars et un  cent</v>
      </c>
      <c r="D5" s="6">
        <f>INT(B5/1000000)</f>
        <v>0</v>
      </c>
      <c r="E5" s="6">
        <f>INT((B5-D5*1000000)/1000)</f>
        <v>433</v>
      </c>
      <c r="F5" s="6">
        <f>INT(B5-D5*1000000-E5*1000)</f>
        <v>174</v>
      </c>
      <c r="G5" s="6">
        <f>ROUND(B5-D5*1000000-E5*1000-F5,2)*100</f>
        <v>1</v>
      </c>
      <c r="H5" s="6">
        <f>D5-M5*100</f>
        <v>0</v>
      </c>
      <c r="J5" s="6">
        <f>E5-P5*100</f>
        <v>33</v>
      </c>
      <c r="K5" s="6">
        <f>ROUND(F5-S5*100,0)</f>
        <v>74</v>
      </c>
      <c r="L5" s="6">
        <f>G5</f>
        <v>1</v>
      </c>
      <c r="M5" s="6">
        <f>INT(D5/100)</f>
        <v>0</v>
      </c>
      <c r="N5" s="6">
        <f>INT((D5-M5*100)/10)</f>
        <v>0</v>
      </c>
      <c r="O5" s="6">
        <f>D5-M5*100-N5*10</f>
        <v>0</v>
      </c>
      <c r="P5" s="6">
        <f>INT(E5/100)</f>
        <v>4</v>
      </c>
      <c r="Q5" s="6">
        <f>INT((E5-P5*100)/10)</f>
        <v>3</v>
      </c>
      <c r="R5" s="6">
        <f>E5-P5*100-Q5*10</f>
        <v>3</v>
      </c>
      <c r="S5" s="6">
        <f>INT(F5/100)</f>
        <v>1</v>
      </c>
      <c r="T5" s="6">
        <f>INT((F5-S5*100)/10)</f>
        <v>7</v>
      </c>
      <c r="U5" s="6">
        <f>F5-S5*100-T5*10</f>
        <v>4</v>
      </c>
      <c r="V5" s="6">
        <f>INT(G5/10)</f>
        <v>0</v>
      </c>
      <c r="W5" s="6">
        <f>ROUND(G5-V5*10,0)</f>
        <v>1</v>
      </c>
      <c r="X5" s="6" t="str">
        <f>IF(M5=0,"",IF(M5=1,"",IF(M5=2,"deux ",IF(M5=3,"trois ",IF(M5=4,"quatre ",IF(M5=5,"cinq ",AQ5))))))</f>
        <v/>
      </c>
      <c r="Y5" s="4" t="str">
        <f>IF(M5=0,"",IF(M5&lt;2,"cent ",AR5))</f>
        <v/>
      </c>
      <c r="Z5" s="4" t="str">
        <f>IF(N5=1,AS5,IF(N5=7,BM5,IF(N5=9,CC5,CL5)))</f>
        <v/>
      </c>
      <c r="AA5" s="4" t="str">
        <f>IF(H5=11,"",IF(H5=12,"",IF(H5=13,"",IF(H5=14,"",IF(H5=15,"",IF(H5=16,"",AT5))))))</f>
        <v/>
      </c>
      <c r="AB5" s="4" t="str">
        <f>IF(D5=0,"",IF(D5&lt;2,"million ","millions "))</f>
        <v/>
      </c>
      <c r="AC5" s="6" t="str">
        <f>IF(I5=1,"",IF(P5=0,"",IF(P5=1,"",IF(P5=2,"deux ",IF(P5=3,"trois ",IF(P5=4,"quatre ",IF(P5=5,"cinq ",AU5)))))))</f>
        <v xml:space="preserve">quatre </v>
      </c>
      <c r="AD5" s="6" t="str">
        <f>IF(P5=0,"",IF(P5&lt;2,"cent ",AV5))</f>
        <v xml:space="preserve">cent </v>
      </c>
      <c r="AE5" s="6" t="str">
        <f>IF(Q5=1,AW5,IF(Q5=7,BO5,IF(Q5=9,CD5,CM5)))</f>
        <v xml:space="preserve">trente </v>
      </c>
      <c r="AF5" s="6" t="str">
        <f>IF(E5=1,"",AX5)</f>
        <v xml:space="preserve">trois </v>
      </c>
      <c r="AG5" s="6" t="str">
        <f>IF(E5&gt;0,"mille ","")</f>
        <v xml:space="preserve">mille </v>
      </c>
      <c r="AH5" s="6" t="str">
        <f>IF(INT(B5)=0,"zéro ",IF(S5=0,"",IF(S5=1,"",IF(S5=2,"deux ",IF(S5=3,"trois ",IF(S5=4,"quatre ",IF(S5=5,"cinq ",AY5)))))))</f>
        <v/>
      </c>
      <c r="AI5" s="6" t="str">
        <f>IF(S5=0,"",IF(S5&lt;2,"cent ",AZ5))</f>
        <v xml:space="preserve">cent </v>
      </c>
      <c r="AJ5" s="6" t="str">
        <f>IF(T5=1,BA5,IF(T5=7,BQ5,IF(T5=9,CF5,CN5)))</f>
        <v xml:space="preserve">soixante-quatorze </v>
      </c>
      <c r="AK5" s="6" t="str">
        <f>IF(K5=11,"",IF(K5=12,"",IF(K5=13,"",IF(K5=14,"",IF(K5=15,"",IF(K5=16,"",BB5))))))</f>
        <v/>
      </c>
      <c r="AL5" s="6" t="s">
        <v>15</v>
      </c>
      <c r="AM5" s="6" t="str">
        <f>IF(G5&gt;0," et ","")</f>
        <v xml:space="preserve"> et </v>
      </c>
      <c r="AN5" s="6" t="str">
        <f>IF(V5=1,BC5,IF(V5=7,BS5,IF(V5=9,CG5,CO5)))</f>
        <v/>
      </c>
      <c r="AO5" s="6" t="str">
        <f>IF(L5=11,"",IF(L5=12,"",IF(L5=13,"",IF(L5=14,"",IF(L5=15,"",IF(L5=16,"",BD5))))))</f>
        <v xml:space="preserve">un </v>
      </c>
      <c r="AP5" s="6" t="str">
        <f>IF(G5=0," ",IF(G5&lt;2," cent"," cents"))</f>
        <v xml:space="preserve"> cent</v>
      </c>
      <c r="AQ5" s="6" t="str">
        <f>IF(D5=0," ",IF(M5=6,"six ",IF(M5=7,"sept ",IF(M5=8,"huit ",IF(M5=9,"neuf ",)))))</f>
        <v xml:space="preserve"> </v>
      </c>
      <c r="AR5" s="6" t="str">
        <f>IF(H5&gt;0,"cent ", "cents ")</f>
        <v xml:space="preserve">cents </v>
      </c>
      <c r="AS5" s="6" t="str">
        <f>IF(H5=10,"dix ",IF(H5=11,"onze ",IF(H5=12,"douze ",IF(H5=13,"treize ",IF(H5=14,"quatorze ",IF(H5=15,"quinze ",BE5))))))</f>
        <v/>
      </c>
      <c r="AT5" s="6" t="str">
        <f>IF(H5=17,"",IF(H5=18,"",IF(H5=19,"",BF5)))</f>
        <v/>
      </c>
      <c r="AU5" s="6">
        <f>IF(P5=6,"six ",IF(P5=7,"sept ",IF(P5=8,"huit ",IF(P5=9,"neuf ",))))</f>
        <v>0</v>
      </c>
      <c r="AV5" s="6" t="str">
        <f>IF(J5&gt;0,"cent ", "cents ")</f>
        <v xml:space="preserve">cent </v>
      </c>
      <c r="AW5" s="6" t="str">
        <f>IF(J5=10,"dix ",IF(J5=11,"onze ",IF(J5=12,"douze ",IF(J5=13,"treize ",IF(J5=14,"quatorze ",IF(J5=15,"quinze ",BG5))))))</f>
        <v xml:space="preserve">trente </v>
      </c>
      <c r="AX5" s="6" t="str">
        <f>IF(J5=11,"",IF(J5=12,"",IF(J5=13,"",IF(J5=14,"",IF(J5=15,"",IF(J5=16,"",BH5))))))</f>
        <v xml:space="preserve">trois </v>
      </c>
      <c r="AY5" s="6">
        <f>IF(S5=6,"six ",IF(S5=7,"sept ",IF(S5=8,"huit ",IF(S5=9,"neuf ",))))</f>
        <v>0</v>
      </c>
      <c r="AZ5" s="6" t="str">
        <f>IF(K5&gt;0,"cent ", "cents ")</f>
        <v xml:space="preserve">cent </v>
      </c>
      <c r="BA5" s="6" t="str">
        <f>IF(K5=10,"dix ",IF(K5=11,"onze ",IF(K5=12,"douze ",IF(K5=13,"treize ",IF(K5=14,"quatorze ",IF(K5=15,"quinze ",BI5))))))</f>
        <v xml:space="preserve">soixante-quatorze </v>
      </c>
      <c r="BB5" s="6" t="str">
        <f>IF(K5=17,"",IF(K5=18,"",IF(K5=19,"",BJ5)))</f>
        <v/>
      </c>
      <c r="BC5" s="6" t="str">
        <f>IF(L5=10,"dix ",IF(L5=11,"onze ",IF(L5=12,"douze ",IF(L5=13,"treize ",IF(L5=14,"quatorze ",IF(L5=15,"quinze ",BK5))))))</f>
        <v/>
      </c>
      <c r="BD5" s="6" t="str">
        <f>IF(L5=17,"",IF(L5=18,"",IF(L5=19,"",BL5)))</f>
        <v xml:space="preserve">un </v>
      </c>
      <c r="BE5" s="6" t="str">
        <f>IF(H5=16,"seize ",IF(H5=17,"dix-sept ",IF(H5=18,"dix-huit ",IF(H5=19,"dix-neuf ",BM5))))</f>
        <v/>
      </c>
      <c r="BF5" s="6" t="str">
        <f>IF(H5=21,"et un ",IF(H5=31,"et un ",IF(H5=41,"et un ",IF(H5=51,"et un ",IF(H5=61,"et un ",BN5)))))</f>
        <v/>
      </c>
      <c r="BG5" s="6" t="str">
        <f>IF(J5=16,"seize ",IF(J5=17,"dix-sept ",IF(J5=18,"dix-huit ",IF(J5=19,"dix-neuf ",BO5))))</f>
        <v xml:space="preserve">trente </v>
      </c>
      <c r="BH5" s="6" t="str">
        <f>IF(J5=17,"",IF(J5=18,"",IF(J5=19,"",BP5)))</f>
        <v xml:space="preserve">trois </v>
      </c>
      <c r="BI5" s="6" t="str">
        <f>IF(K5=16,"seize ",IF(K5=17,"dix-sept ",IF(K5=18,"dix-huit ",IF(K5=19,"dix-neuf ",BQ5))))</f>
        <v xml:space="preserve">soixante-quatorze </v>
      </c>
      <c r="BJ5" s="6" t="str">
        <f>IF(K5=21,"et un ",IF(K5=31,"et un ",IF(K5=41,"et un ",IF(K5=51,"et un ",IF(K5=61,"et un ",BR5)))))</f>
        <v/>
      </c>
      <c r="BK5" s="6" t="str">
        <f>IF(L5=16,"seize ",IF(L5=17,"dix-sept ",IF(L5=18,"dix-huit ",IF(L5=19,"dix-neuf ",BS5))))</f>
        <v/>
      </c>
      <c r="BL5" s="6" t="str">
        <f>IF(L5=21,"et un ",IF(L5=31,"et un ",IF(L5=41,"et un ",IF(L5=51,"et un ",IF(L5=61,"et un ",BT5)))))</f>
        <v xml:space="preserve">un </v>
      </c>
      <c r="BM5" s="6" t="str">
        <f>IF(H5=70,"soixante-dix ",IF(H5=71,"soixante et onze ",IF(H5=72,"soixante-douze ",IF(H5=73,"soixante-treize ",IF(H5=74,"soixante-quatorze ",IF(H5=75,"soixante-quinze ",BU5))))))</f>
        <v/>
      </c>
      <c r="BN5" s="6" t="str">
        <f>IF(N5=9,"",IF(N5=7,"",IF(O5=0,"",IF(O5=1,"un ",IF(O5=2,"deux ",IF(O5=3,"trois ",IF(O5=4,"quatre ",IF(O5=5,"cinq ",BV5))))))))</f>
        <v/>
      </c>
      <c r="BO5" s="6" t="str">
        <f>IF(J5=70,"soixante-dix ",IF(J5=71,"soixante et onze ",IF(J5=72,"soixante-douze ",IF(J5=73,"soixante-treize ",IF(J5=74,"soixante-quatorze ",IF(J5=75,"soixante-quinze ",BW5))))))</f>
        <v xml:space="preserve">trente </v>
      </c>
      <c r="BP5" s="6" t="str">
        <f>IF(J5=21,"et un ",IF(J5=31,"et un ",IF(J5=41,"et un ",IF(J5=51,"et un ",IF(J5=61,"et un ",BX5)))))</f>
        <v xml:space="preserve">trois </v>
      </c>
      <c r="BQ5" s="6" t="str">
        <f>IF(K5=70,"soixante-dix ",IF(K5=71,"soixante et onze ",IF(K5=72,"soixante-douze ",IF(K5=73,"soixante-treize ",IF(K5=74,"soixante-quatorze ",IF(K5=75,"soixante-quinze ",BY5))))))</f>
        <v xml:space="preserve">soixante-quatorze </v>
      </c>
      <c r="BR5" s="6" t="str">
        <f>IF(T5=9,"",IF(T5=7,"",IF(U5=0,"",IF(U5=1,"un ",IF(U5=2,"deux ",IF(U5=3,"trois ",IF(U5=4,"quatre ",IF(U5=5,"cinq ",BZ5))))))))</f>
        <v/>
      </c>
      <c r="BS5" s="6" t="str">
        <f>IF(L5=70,"soixante-dix ",IF(L5=71,"soixante et onze ",IF(L5=72,"soixante-douze ",IF(L5=73,"soixante-treize ",IF(L5=74,"soixante-quatorze ",IF(L5=75,"soixante-quinze ",CA5))))))</f>
        <v/>
      </c>
      <c r="BT5" s="6" t="str">
        <f>IF(V5=9,"",IF(V5=7,"",IF(W5=0,"",IF(W5=1,"un ",IF(W5=2,"deux ",IF(W5=3,"trois ",IF(W5=4,"quatre ",IF(W5=5,"cinq ",CB5))))))))</f>
        <v xml:space="preserve">un </v>
      </c>
      <c r="BU5" s="6" t="str">
        <f>IF(H5=76,"soixante-seize ",IF(H5=77,"soixante-dix-sept ",IF(H5=78,"soixante-dix-huit ",IF(H5=79,"soixante-dix-neuf ",CC5))))</f>
        <v/>
      </c>
      <c r="BV5" s="6">
        <f>IF(N5=9,"",IF(O5=6,"six ",IF(O5=7,"sept ",IF(O5=8,"huit ",IF(O5=9,"neuf ",)))))</f>
        <v>0</v>
      </c>
      <c r="BW5" s="6" t="str">
        <f>IF(J5=76,"soixante-seize ",IF(J5=77,"soixante-dix-sept ",IF(J5=78,"soixante-dix-huit ",IF(J5=79,"soixante-dix-neuf ",CD5))))</f>
        <v xml:space="preserve">trente </v>
      </c>
      <c r="BX5" s="6" t="str">
        <f>IF(Q5=9,"",IF(Q5=7,"",IF(R5=0,"",IF(R5=1,"un ",IF(R5=2,"deux ",IF(R5=3,"trois ",IF(R5=4,"quatre ",IF(R5=5,"cinq ",CE5))))))))</f>
        <v xml:space="preserve">trois </v>
      </c>
      <c r="BY5" s="6" t="str">
        <f>IF(K5=76,"soixante-seize ",IF(K5=77,"soixante-dix-sept ",IF(K5=78,"soixante-dix-huit ",IF(K5=79,"soixante-dix-neuf ",CF5))))</f>
        <v/>
      </c>
      <c r="BZ5" s="6">
        <f>IF(T5=9,"",IF(U5=6,"six ",IF(U5=7,"sept ",IF(U5=8,"huit ",IF(U5=9,"neuf ",)))))</f>
        <v>0</v>
      </c>
      <c r="CA5" s="6" t="str">
        <f>IF(L5=76,"soixante-seize ",IF(L5=77,"soixante-dix-sept ",IF(L5=78,"soixante-dix-huit ",IF(L5=79,"soixante-dix-neuf ",CG5))))</f>
        <v/>
      </c>
      <c r="CB5" s="6">
        <f>IF(V5=9,"",IF(W5=6,"six ",IF(W5=7,"sept ",IF(W5=8,"huit ",IF(W5=9,"neuf ",)))))</f>
        <v>0</v>
      </c>
      <c r="CC5" s="6" t="str">
        <f>IF(H5=90,"quatre-vingt-dix ",IF(H5=91,"quatre-vingt-onze ",IF(H5=92,"quatre-vingt-douze ",IF(H5=93,"quatre-vingt-treize ",IF(H5=94,"quatre-vingt-quatorze ",IF(H5=95,"quatre-vingt-quinze ",CH5))))))</f>
        <v/>
      </c>
      <c r="CD5" s="6" t="str">
        <f>IF(J5=90,"quatre-vingt-dix ",IF(J5=91,"quatre-vingt-onze ",IF(J5=92,"quatre-vingt-douze ",IF(J5=93,"quatre-vingt-treize ",IF(J5=94,"quatre-vingt-quatorze ",IF(J5=95,"quatre-vingt-quinze ",CI5))))))</f>
        <v xml:space="preserve">trente </v>
      </c>
      <c r="CE5" s="6">
        <f>IF(Q5=9,"",IF(R5=6,"six ",IF(R5=7,"sept ",IF(R5=8,"huit ",IF(R5=9,"neuf ",)))))</f>
        <v>0</v>
      </c>
      <c r="CF5" s="6" t="str">
        <f>IF(K5=90,"quatre-vingt-dix ",IF(K5=91,"quatre-vingt-onze ",IF(K5=92,"quatre-vingt-douze ",IF(K5=93,"quatre-vingt-treize ",IF(K5=94,"quatre-vingt-quatorze ",IF(K5=95,"quatre-vingt-quinze ",CJ5))))))</f>
        <v/>
      </c>
      <c r="CG5" s="6" t="str">
        <f>IF(L5=90,"quatre-vingt-dix ",IF(L5=91,"quatre-vingt-onze ",IF(L5=92,"quatre-vingt-douze ",IF(L5=93,"quatre-vingt-treize ",IF(L5=94,"quatre-vingt-quatorze ",IF(L5=95,"quatre-vingt-quinze ",CK5))))))</f>
        <v/>
      </c>
      <c r="CH5" s="6" t="str">
        <f>IF(H5=96,"quatre-vingt-seize ",IF(H5=97,"quatre-vingt-dix-sept ",IF(H5=98,"quatre-vingt-dix-huit ",IF(H5=99,"quatre-vingt-dix-neuf ",CL5))))</f>
        <v/>
      </c>
      <c r="CI5" s="6" t="str">
        <f>IF(J5=96,"quatre-vingt-seize ",IF(J5=97,"quatre-vingt-dix-sept ",IF(J5=98,"quatre-vingt-dix-huit ",IF(J5=99,"quatre-vingt-dix-neuf ",CM5))))</f>
        <v xml:space="preserve">trente </v>
      </c>
      <c r="CJ5" s="6" t="str">
        <f>IF(K5=96,"quatre-vingt-seize ",IF(K5=97,"quatre-vingt-dix-sept ",IF(K5=98,"quatre-vingt-dix-huit ",IF(K5=99,"quatre-vingt-dix-neuf ",CN5))))</f>
        <v/>
      </c>
      <c r="CK5" s="6" t="str">
        <f>IF(L5=96,"quatre-vingt-seize ",IF(L5=97,"quatre-vingt-dix-sept ",IF(L5=98,"quatre-vingt-dix-huit ",IF(L5=99,"quatre-vingt-dix-neuf ",CO5))))</f>
        <v/>
      </c>
      <c r="CL5" s="6" t="str">
        <f>IF(N5=2,"vingt ",IF(N5=3,"trente ",IF(N5=4,"quarante ",IF(N5=5,"cinquante ",CP5))))</f>
        <v/>
      </c>
      <c r="CM5" s="6" t="str">
        <f>IF(Q5=2,"vingt ",IF(Q5=3,"trente ",IF(Q5=4,"quarante ",IF(Q5=5,"cinquante ",CQ5))))</f>
        <v xml:space="preserve">trente </v>
      </c>
      <c r="CN5" s="6" t="str">
        <f>IF(T5=2,"vingt ",IF(T5=3,"trente ",IF(T5=4,"quarante ",IF(T5=5,"cinquante ",CR5))))</f>
        <v/>
      </c>
      <c r="CO5" s="6" t="str">
        <f>IF(V5=2,"vingt ",IF(V5=3,"trente ",IF(V5=4,"quarante ",IF(V5=5,"cinquante ",CS5))))</f>
        <v/>
      </c>
      <c r="CP5" s="6" t="str">
        <f>IF(N5=6,"soixante ",IF(H5=80,"quatre-vingts ",IF(N5=8,"quatre-vingt-","")))</f>
        <v/>
      </c>
      <c r="CQ5" s="6" t="str">
        <f>IF(Q5=6,"soixante ",IF(J5=80,"quatre-vingts ",IF(Q5=8,"quatre-vingt-","")))</f>
        <v/>
      </c>
      <c r="CR5" s="6" t="str">
        <f>IF(T5=6,"soixante ",IF(K5=80,"quatre-vingts ",IF(T5=8,"quatre-vingt-","")))</f>
        <v/>
      </c>
      <c r="CS5" s="6" t="str">
        <f>IF(V5=6,"soixante ",IF(L5=80,"quatre-vingts ",IF(V5=8,"quatre-vingt-","")))</f>
        <v/>
      </c>
      <c r="CU5" s="6" t="str">
        <f>(X5&amp;Y5&amp;Z5&amp;AA5&amp;AB5&amp;AC5&amp;AD5&amp;AE5&amp;AF5&amp;AG5&amp;AH5&amp;AI5&amp;AJ5&amp;AK5&amp;AL5&amp;AM5&amp;AN5&amp;AO5&amp;AP5)</f>
        <v>quatre cent trente trois mille cent soixante-quatorze Dinars et un  cent</v>
      </c>
    </row>
    <row r="6" spans="1:99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99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99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9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99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99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99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99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99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99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9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29"/>
  <sheetViews>
    <sheetView topLeftCell="A15" workbookViewId="0">
      <selection activeCell="H22" sqref="H22"/>
    </sheetView>
  </sheetViews>
  <sheetFormatPr baseColWidth="10" defaultColWidth="11.42578125" defaultRowHeight="15"/>
  <cols>
    <col min="1" max="1" width="16.42578125" style="209" customWidth="1"/>
    <col min="2" max="2" width="11" style="25" customWidth="1"/>
    <col min="3" max="3" width="16.42578125" style="24" customWidth="1"/>
    <col min="4" max="4" width="29.28515625" style="25" customWidth="1"/>
    <col min="5" max="5" width="11.7109375" style="25" customWidth="1"/>
    <col min="6" max="7" width="29.42578125" style="25" customWidth="1"/>
    <col min="8" max="9" width="28.7109375" style="25" customWidth="1"/>
    <col min="10" max="10" width="16.5703125" style="25" customWidth="1"/>
    <col min="11" max="12" width="11.42578125" style="25"/>
    <col min="13" max="13" width="26.85546875" style="25" bestFit="1" customWidth="1"/>
    <col min="14" max="14" width="11.42578125" style="25"/>
    <col min="15" max="15" width="22.140625" style="25" customWidth="1"/>
    <col min="16" max="16" width="21.42578125" style="25" customWidth="1"/>
    <col min="17" max="18" width="11.42578125" style="25"/>
    <col min="19" max="19" width="14.28515625" style="25" bestFit="1" customWidth="1"/>
    <col min="20" max="20" width="18.85546875" style="25" bestFit="1" customWidth="1"/>
    <col min="21" max="16384" width="11.42578125" style="25"/>
  </cols>
  <sheetData>
    <row r="2" spans="1:16" ht="9" customHeight="1"/>
    <row r="3" spans="1:16" ht="15" customHeight="1">
      <c r="C3" s="210"/>
      <c r="D3" s="210"/>
      <c r="E3" s="210"/>
      <c r="F3" s="210"/>
      <c r="G3" s="210"/>
      <c r="H3" s="210"/>
      <c r="I3" s="210"/>
      <c r="J3" s="210"/>
    </row>
    <row r="4" spans="1:16" ht="15" customHeight="1">
      <c r="C4" s="210"/>
      <c r="D4" s="210"/>
      <c r="E4" s="210"/>
      <c r="F4" s="210"/>
      <c r="G4" s="210"/>
      <c r="H4" s="210"/>
      <c r="I4" s="210"/>
      <c r="J4" s="210"/>
    </row>
    <row r="5" spans="1:16" ht="15" customHeight="1">
      <c r="C5" s="210"/>
      <c r="D5" s="210"/>
      <c r="E5" s="210"/>
      <c r="F5" s="210"/>
      <c r="G5" s="210"/>
      <c r="H5" s="210"/>
      <c r="I5" s="210"/>
      <c r="J5" s="210"/>
    </row>
    <row r="6" spans="1:16" ht="15" customHeight="1">
      <c r="C6" s="210"/>
      <c r="D6" s="210"/>
      <c r="E6" s="210"/>
      <c r="F6" s="210"/>
      <c r="G6" s="210"/>
      <c r="H6" s="210"/>
      <c r="I6" s="210"/>
      <c r="J6" s="210"/>
    </row>
    <row r="7" spans="1:16" ht="20.100000000000001" customHeight="1" thickBot="1">
      <c r="C7" s="210"/>
      <c r="D7" s="26"/>
      <c r="E7" s="75" t="s">
        <v>124</v>
      </c>
      <c r="F7" s="76" t="s">
        <v>125</v>
      </c>
      <c r="G7" s="76" t="s">
        <v>126</v>
      </c>
      <c r="H7" s="215"/>
      <c r="I7" s="216"/>
      <c r="J7" s="210"/>
    </row>
    <row r="8" spans="1:16" ht="20.100000000000001" customHeight="1">
      <c r="C8" s="210"/>
      <c r="D8" s="66" t="s">
        <v>127</v>
      </c>
      <c r="E8" s="95"/>
      <c r="F8" s="208">
        <v>112930.3</v>
      </c>
      <c r="G8" s="21">
        <f>F8/1.19</f>
        <v>94899.411764705888</v>
      </c>
      <c r="H8" s="82"/>
      <c r="I8" s="49"/>
      <c r="J8" s="210"/>
    </row>
    <row r="9" spans="1:16" ht="20.100000000000001" customHeight="1">
      <c r="C9" s="210"/>
      <c r="D9" s="67" t="s">
        <v>128</v>
      </c>
      <c r="E9" s="96"/>
      <c r="F9" s="18">
        <v>18500</v>
      </c>
      <c r="G9" s="21">
        <f>F9</f>
        <v>18500</v>
      </c>
      <c r="H9" s="82"/>
      <c r="I9" s="49"/>
      <c r="J9" s="210"/>
      <c r="M9" s="25" t="s">
        <v>602</v>
      </c>
      <c r="O9" s="25" t="s">
        <v>602</v>
      </c>
    </row>
    <row r="10" spans="1:16" ht="20.100000000000001" customHeight="1">
      <c r="C10" s="210"/>
      <c r="D10" s="67" t="s">
        <v>129</v>
      </c>
      <c r="E10" s="95"/>
      <c r="F10" s="18">
        <v>16000</v>
      </c>
      <c r="G10" s="21">
        <f>F10</f>
        <v>16000</v>
      </c>
      <c r="H10" s="83"/>
      <c r="I10" s="49"/>
      <c r="J10" s="210"/>
      <c r="M10" s="25" t="s">
        <v>136</v>
      </c>
      <c r="N10" s="29">
        <f>IFERROR((F19*E21)+F19,"")</f>
        <v>1794.0115000000001</v>
      </c>
      <c r="O10" s="25" t="s">
        <v>136</v>
      </c>
      <c r="P10" s="147">
        <v>0.15</v>
      </c>
    </row>
    <row r="11" spans="1:16" ht="20.100000000000001" customHeight="1">
      <c r="A11" s="29">
        <f>ROUND(F18*F19,2)</f>
        <v>221184122.44</v>
      </c>
      <c r="C11" s="210"/>
      <c r="D11" s="67" t="s">
        <v>130</v>
      </c>
      <c r="E11" s="95"/>
      <c r="F11" s="87">
        <f>I12</f>
        <v>0</v>
      </c>
      <c r="G11" s="88">
        <f>F11/1.19</f>
        <v>0</v>
      </c>
      <c r="H11" s="139"/>
      <c r="I11" s="64"/>
      <c r="J11" s="210"/>
      <c r="M11" s="25" t="s">
        <v>137</v>
      </c>
      <c r="N11" s="29">
        <f>IFERROR((F19*E21)+F19,"")</f>
        <v>1794.0115000000001</v>
      </c>
      <c r="O11" s="25" t="s">
        <v>137</v>
      </c>
      <c r="P11" s="147">
        <v>0.25</v>
      </c>
    </row>
    <row r="12" spans="1:16" ht="20.100000000000001" customHeight="1">
      <c r="A12" s="29">
        <f>ROUND(F19*E21+F19,2)</f>
        <v>1794.01</v>
      </c>
      <c r="C12" s="210"/>
      <c r="D12" s="67" t="s">
        <v>131</v>
      </c>
      <c r="E12" s="95"/>
      <c r="F12" s="90"/>
      <c r="G12" s="91">
        <f>F12/1.19</f>
        <v>0</v>
      </c>
      <c r="H12" s="84"/>
      <c r="I12" s="89">
        <f>SUM(I8:I11)</f>
        <v>0</v>
      </c>
      <c r="J12" s="210"/>
      <c r="M12" s="25" t="s">
        <v>144</v>
      </c>
      <c r="O12" s="25" t="s">
        <v>144</v>
      </c>
    </row>
    <row r="13" spans="1:16" ht="20.100000000000001" customHeight="1">
      <c r="A13" s="209">
        <f>A11/A12</f>
        <v>123290.35091220227</v>
      </c>
      <c r="C13" s="210"/>
      <c r="D13" s="68" t="s">
        <v>132</v>
      </c>
      <c r="E13" s="19">
        <v>0.05</v>
      </c>
      <c r="F13" s="140">
        <f>(F8-(F12+F11))*E13</f>
        <v>5646.5150000000003</v>
      </c>
      <c r="G13" s="142">
        <f>F13/1.19</f>
        <v>4744.9705882352946</v>
      </c>
      <c r="H13" s="217"/>
      <c r="I13" s="217"/>
      <c r="J13" s="210"/>
      <c r="M13" s="46"/>
      <c r="N13" s="46"/>
      <c r="O13" s="25" t="s">
        <v>624</v>
      </c>
    </row>
    <row r="14" spans="1:16" ht="20.100000000000001" customHeight="1">
      <c r="C14" s="210"/>
      <c r="D14" s="68" t="s">
        <v>133</v>
      </c>
      <c r="E14" s="19">
        <v>0.5</v>
      </c>
      <c r="F14" s="141">
        <f>F12*E14</f>
        <v>0</v>
      </c>
      <c r="G14" s="142">
        <f>F14/1.19</f>
        <v>0</v>
      </c>
      <c r="H14" s="85"/>
      <c r="I14" s="85"/>
      <c r="J14" s="210"/>
      <c r="M14" s="46"/>
      <c r="N14" s="46"/>
      <c r="O14" s="25" t="s">
        <v>139</v>
      </c>
    </row>
    <row r="15" spans="1:16" ht="20.100000000000001" customHeight="1">
      <c r="C15" s="210"/>
      <c r="D15" s="69" t="s">
        <v>149</v>
      </c>
      <c r="E15" s="27"/>
      <c r="F15" s="74"/>
      <c r="G15" s="73"/>
      <c r="H15" s="85"/>
      <c r="I15" s="85"/>
      <c r="J15" s="210"/>
      <c r="M15" s="46"/>
      <c r="N15" s="46"/>
      <c r="O15" s="25" t="s">
        <v>140</v>
      </c>
    </row>
    <row r="16" spans="1:16" ht="20.100000000000001" customHeight="1">
      <c r="C16" s="210"/>
      <c r="D16" s="70" t="s">
        <v>147</v>
      </c>
      <c r="E16" s="213" t="str">
        <f>IF(ISERROR(F16*100/F17)-100,"",F16*100/F17-100)</f>
        <v/>
      </c>
      <c r="F16" s="77"/>
      <c r="G16" s="78">
        <f>F16</f>
        <v>0</v>
      </c>
      <c r="H16" s="85"/>
      <c r="I16" s="85"/>
      <c r="J16" s="210"/>
      <c r="M16" s="46"/>
      <c r="N16" s="46"/>
      <c r="O16" s="25" t="s">
        <v>145</v>
      </c>
    </row>
    <row r="17" spans="2:20" ht="20.100000000000001" customHeight="1">
      <c r="C17" s="210"/>
      <c r="D17" s="70" t="s">
        <v>148</v>
      </c>
      <c r="E17" s="214"/>
      <c r="F17" s="77"/>
      <c r="G17" s="78">
        <f>F17</f>
        <v>0</v>
      </c>
      <c r="H17" s="85"/>
      <c r="I17" s="85"/>
      <c r="J17" s="210"/>
      <c r="M17" s="46"/>
      <c r="N17" s="46"/>
      <c r="O17" s="25" t="s">
        <v>625</v>
      </c>
    </row>
    <row r="18" spans="2:20" ht="20.100000000000001" customHeight="1">
      <c r="C18" s="210"/>
      <c r="D18" s="211" t="s">
        <v>134</v>
      </c>
      <c r="E18" s="212"/>
      <c r="F18" s="28">
        <f>(F8+F9+F10)-(F13+F14)</f>
        <v>141783.78499999997</v>
      </c>
      <c r="G18" s="47">
        <f>(G8+G9+G10)-(G13+G14)</f>
        <v>124654.44117647059</v>
      </c>
      <c r="H18" s="85"/>
      <c r="I18" s="85"/>
      <c r="J18" s="210"/>
      <c r="M18" s="46"/>
      <c r="N18" s="46"/>
      <c r="O18" s="25" t="s">
        <v>141</v>
      </c>
    </row>
    <row r="19" spans="2:20" ht="20.100000000000001" customHeight="1">
      <c r="C19" s="210"/>
      <c r="D19" s="93" t="s">
        <v>135</v>
      </c>
      <c r="E19" s="79"/>
      <c r="F19" s="20">
        <v>1560.01</v>
      </c>
      <c r="G19" s="48">
        <f>F19</f>
        <v>1560.01</v>
      </c>
      <c r="H19" s="85"/>
      <c r="I19" s="85"/>
      <c r="J19" s="210"/>
      <c r="M19" s="46"/>
      <c r="N19" s="46"/>
      <c r="O19" s="25" t="s">
        <v>142</v>
      </c>
    </row>
    <row r="20" spans="2:20" ht="20.100000000000001" customHeight="1">
      <c r="B20" s="29"/>
      <c r="C20" s="210"/>
      <c r="D20" s="93" t="s">
        <v>150</v>
      </c>
      <c r="E20" s="79"/>
      <c r="F20" s="23">
        <v>1794.0115000000001</v>
      </c>
      <c r="G20" s="48">
        <f>F20</f>
        <v>1794.0115000000001</v>
      </c>
      <c r="H20" s="85"/>
      <c r="I20" s="85"/>
      <c r="J20" s="210"/>
      <c r="M20" s="37" t="s">
        <v>602</v>
      </c>
      <c r="N20" s="46"/>
      <c r="O20" s="25" t="s">
        <v>146</v>
      </c>
    </row>
    <row r="21" spans="2:20" ht="20.100000000000001" customHeight="1">
      <c r="B21" s="29"/>
      <c r="C21" s="210"/>
      <c r="D21" s="63" t="s">
        <v>136</v>
      </c>
      <c r="E21" s="22">
        <f>IFERROR(VLOOKUP(D21,$O$10:$P$11,2,0),"")</f>
        <v>0.15</v>
      </c>
      <c r="F21" s="30">
        <f>IF(F19&gt;0,IFERROR(IF($D$21="S /Total REG PRP Capitaux",(F18*F16)/F17,IF($D$21="Sous total REG Prp Usage",(F18*F19)/F20,IF(OR($D$21="Sous total REG Prp Permis",$D$21="Sous total REG Prp AGE"),ROUND((F18*F19),2)/ROUND((F19*E21+F19),2),0))),"0"),0)</f>
        <v>123290.35091220227</v>
      </c>
      <c r="G21" s="30">
        <f>IF(G19&gt;0,IFERROR(IF($D$21="S /Total REG PRP Capitaux",(G18*G16)/G17,IF($D$21="Sous total REG Prp Usage",(G18*G19)/G20,IF(OR($D$21="Sous total REG Prp Permis",$D$21="Sous total REG Prp AGE"),(G18*G19)/(G20),0))),"0"),0)</f>
        <v>108395.16624040921</v>
      </c>
      <c r="H21" s="85"/>
      <c r="I21" s="85"/>
      <c r="J21" s="210"/>
      <c r="M21" s="37" t="s">
        <v>136</v>
      </c>
      <c r="N21" s="38">
        <v>0.15</v>
      </c>
      <c r="O21" s="42">
        <f>IFERROR((F18*F19)/((ROUND(F20,2))),"")</f>
        <v>123290.35091100383</v>
      </c>
      <c r="P21" s="42">
        <f>IFERROR((G24-G22)*G18/(G19+(ROUND(G19*F21,2))),"")</f>
        <v>10.537775389568692</v>
      </c>
    </row>
    <row r="22" spans="2:20" ht="20.100000000000001" customHeight="1">
      <c r="C22" s="210"/>
      <c r="D22" s="71" t="s">
        <v>117</v>
      </c>
      <c r="E22" s="19">
        <v>0.05</v>
      </c>
      <c r="F22" s="140"/>
      <c r="G22" s="142"/>
      <c r="H22" s="85"/>
      <c r="I22" s="85"/>
      <c r="J22" s="210"/>
      <c r="M22" s="37" t="s">
        <v>137</v>
      </c>
      <c r="N22" s="38">
        <v>0.25</v>
      </c>
      <c r="O22" s="42">
        <f>IFERROR((F18)*F19/(ROUND(F20,2)),"")</f>
        <v>123290.35091100383</v>
      </c>
      <c r="P22" s="42" t="str">
        <f>IFERROR((G23-G18)*G19/(G19+ROUND(G19*#REF!,2)),"")</f>
        <v/>
      </c>
    </row>
    <row r="23" spans="2:20" ht="20.100000000000001" customHeight="1">
      <c r="C23" s="210"/>
      <c r="D23" s="72" t="s">
        <v>138</v>
      </c>
      <c r="E23" s="31"/>
      <c r="F23" s="143"/>
      <c r="G23" s="144">
        <f>F23</f>
        <v>0</v>
      </c>
      <c r="H23" s="85"/>
      <c r="I23" s="85"/>
      <c r="J23" s="210"/>
      <c r="M23" s="37" t="s">
        <v>144</v>
      </c>
      <c r="N23" s="38"/>
      <c r="O23" s="42"/>
      <c r="P23" s="42"/>
    </row>
    <row r="24" spans="2:20" ht="20.100000000000001" customHeight="1">
      <c r="C24" s="210"/>
      <c r="D24" s="92" t="str">
        <f>IFERROR(INDEX($O$9:$O$20,MATCH($D$21,$O$9:$O$20,0)+4),"")</f>
        <v>Montant Rpr Âge</v>
      </c>
      <c r="E24" s="31"/>
      <c r="F24" s="87">
        <f>IF(F21&gt;0,IFERROR(IF($D$24="Montant Rpr Usage",F18-F21,IF($D$24="Montant Rpr Capitaux",F18-F21,IF(OR($D$24="Montant Rpr Permis",$D$24="Montant Rpr Âge"),(F18-F21),0))),""),"")</f>
        <v>18493.434087797708</v>
      </c>
      <c r="G24" s="87">
        <f>IF(G21&gt;0,IFERROR(IF($D$24="Montant Rpr Usage",G18-G21,IF($D$24="Montant Rpr Capitaux",G18-G21,IF(OR($D$24="Montant Rpr Permis",$D$24="Montant Rpr Âge"),(G18-G21),0))),""),"")</f>
        <v>16259.274936061382</v>
      </c>
      <c r="H24" s="86"/>
      <c r="I24" s="146"/>
      <c r="J24" s="210"/>
      <c r="M24" s="39" t="s">
        <v>139</v>
      </c>
      <c r="N24" s="40"/>
      <c r="O24" s="43">
        <f>(F16-F22)+F18</f>
        <v>141783.78499999997</v>
      </c>
      <c r="P24" s="43">
        <f>(G16-G22)+G18</f>
        <v>124654.44117647059</v>
      </c>
      <c r="S24" s="29"/>
      <c r="T24" s="29"/>
    </row>
    <row r="25" spans="2:20" ht="20.100000000000001" customHeight="1">
      <c r="C25" s="210"/>
      <c r="D25" s="92" t="str">
        <f>IFERROR(INDEX($O$9:$O$20,MATCH($D$21,$O$9:$O$20,0)+8),"")</f>
        <v>Total à payer Rpr Âge</v>
      </c>
      <c r="E25" s="31"/>
      <c r="F25" s="94">
        <f>IF(F21&gt;0,IFERROR(IF($D$25="Total à payer Rpr Usage",F21-F22+F23,IF($D$25="Total à payer Rpr Capitaux",F21-F22+F23,IF(OR($D$25="Total à payer Rpr Âge",$D$25="Total à payer Rpr Permis"),(F21-F22+F23),0))),""),"")</f>
        <v>123290.35091220227</v>
      </c>
      <c r="G25" s="94">
        <f>IF(G21&gt;0,IFERROR(IF($D$25="Total à payer Rpr Usage",G21-G22+G23,IF($D$25="Total à payer Rpr Capitaux",G21-G22+G23,IF(OR($D$25="Total à payer Rpr Âge",$D$25="Total à payer Rpr Permis"),(G21-G22+G23),0))),""),"")</f>
        <v>108395.16624040921</v>
      </c>
      <c r="H25" s="145">
        <f>SUM(H14:H24)</f>
        <v>0</v>
      </c>
      <c r="I25" s="98">
        <f>SUM(I14:I24)</f>
        <v>0</v>
      </c>
      <c r="J25" s="210"/>
      <c r="M25" s="39" t="s">
        <v>140</v>
      </c>
      <c r="N25" s="40"/>
      <c r="O25" s="43">
        <f>(F18-F22)+F19</f>
        <v>143343.79499999998</v>
      </c>
      <c r="P25" s="43">
        <f>(G18-G22)+G19</f>
        <v>126214.45117647058</v>
      </c>
      <c r="S25" s="32"/>
    </row>
    <row r="26" spans="2:20" ht="20.100000000000001" customHeight="1" thickBot="1">
      <c r="C26" s="210"/>
      <c r="D26" s="80" t="s">
        <v>143</v>
      </c>
      <c r="E26" s="81"/>
      <c r="F26" s="33">
        <f>IFERROR(F18-F22+F23,"")</f>
        <v>141783.78499999997</v>
      </c>
      <c r="G26" s="65">
        <f>IFERROR(G18-G22+G23,"")</f>
        <v>124654.44117647059</v>
      </c>
      <c r="H26" s="97"/>
      <c r="I26" s="97"/>
      <c r="J26" s="210"/>
      <c r="M26" s="39" t="s">
        <v>145</v>
      </c>
      <c r="N26" s="40"/>
      <c r="O26" s="43">
        <f>IFERROR(F18-F21,"")</f>
        <v>18493.434087797708</v>
      </c>
      <c r="P26" s="43">
        <f>IFERROR(G18-G21,"")</f>
        <v>16259.274936061382</v>
      </c>
      <c r="S26" s="32"/>
    </row>
    <row r="27" spans="2:20" ht="20.100000000000001" customHeight="1">
      <c r="C27" s="210"/>
      <c r="D27" s="34"/>
      <c r="E27" s="34"/>
      <c r="F27" s="35"/>
      <c r="G27" s="35"/>
      <c r="H27" s="97"/>
      <c r="I27" s="97"/>
      <c r="J27" s="210"/>
      <c r="M27" s="39" t="s">
        <v>141</v>
      </c>
      <c r="N27" s="41"/>
      <c r="O27" s="44">
        <f>IF(ISERROR(F18-F21+F22-F23),"",F18-F21+F22-F23)</f>
        <v>18493.434087797708</v>
      </c>
      <c r="P27" s="44">
        <f>IF(ISERROR(G18-G21+G22-G23),"",G18-G21+G22-G23)</f>
        <v>16259.274936061382</v>
      </c>
      <c r="S27" s="32"/>
    </row>
    <row r="28" spans="2:20" ht="20.100000000000001" customHeight="1" thickBot="1">
      <c r="C28" s="210"/>
      <c r="D28" s="36"/>
      <c r="E28" s="36"/>
      <c r="F28" s="36"/>
      <c r="G28" s="36"/>
      <c r="H28" s="97"/>
      <c r="I28" s="97"/>
      <c r="J28" s="210"/>
      <c r="M28" s="39" t="s">
        <v>142</v>
      </c>
      <c r="N28" s="41"/>
      <c r="O28" s="44">
        <f>IF(ISERROR(F16-F22+F23-F25),"",F16-F22+F23-F25)</f>
        <v>-123290.35091220227</v>
      </c>
      <c r="P28" s="44">
        <f>IF(ISERROR(G16-G22+G23-G25),"",G16-G22+G23-G25)</f>
        <v>-108395.16624040921</v>
      </c>
      <c r="S28" s="32"/>
    </row>
    <row r="29" spans="2:20" ht="21.75" customHeight="1">
      <c r="M29" s="39" t="s">
        <v>146</v>
      </c>
      <c r="N29" s="45"/>
      <c r="O29" s="44">
        <f>F16-F22+F23-F26</f>
        <v>-141783.78499999997</v>
      </c>
      <c r="P29" s="44">
        <f>G16-G22+G23-G26</f>
        <v>-124654.44117647059</v>
      </c>
    </row>
  </sheetData>
  <sheetProtection algorithmName="SHA-512" hashValue="WnQpe9IIBVop5qz9MNarlo0XDZjknA8FYzRrtbdsCYh77ObM1+nBUw4meRko+klyqvZHYxcGk6YxnX8Pvf+O3w==" saltValue="HVqOCPV8gWAcYMKL+A393g==" spinCount="100000" sheet="1" objects="1" scenarios="1" selectLockedCells="1"/>
  <mergeCells count="7">
    <mergeCell ref="C3:C28"/>
    <mergeCell ref="D3:I6"/>
    <mergeCell ref="J3:J28"/>
    <mergeCell ref="D18:E18"/>
    <mergeCell ref="E16:E17"/>
    <mergeCell ref="H7:I7"/>
    <mergeCell ref="H13:I13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ignoredErrors>
    <ignoredError sqref="G18" formula="1"/>
    <ignoredError sqref="G2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abSelected="1" zoomScale="130" zoomScaleNormal="130" workbookViewId="0">
      <selection activeCell="H1" sqref="H1"/>
    </sheetView>
  </sheetViews>
  <sheetFormatPr baseColWidth="10" defaultRowHeight="15"/>
  <cols>
    <col min="1" max="1" width="3.85546875" style="25" customWidth="1"/>
    <col min="2" max="2" width="16.42578125" style="25" bestFit="1" customWidth="1"/>
    <col min="3" max="3" width="19.140625" style="50" customWidth="1"/>
    <col min="4" max="4" width="23.5703125" style="50" customWidth="1"/>
    <col min="5" max="5" width="22.85546875" style="50" customWidth="1"/>
    <col min="6" max="6" width="17.5703125" style="50" customWidth="1"/>
    <col min="7" max="7" width="11.85546875" style="25" customWidth="1"/>
    <col min="8" max="8" width="8.140625" style="16" customWidth="1"/>
    <col min="9" max="16384" width="11.42578125" style="25"/>
  </cols>
  <sheetData>
    <row r="1" spans="2:30" ht="15.75">
      <c r="B1" s="248"/>
      <c r="C1" s="248"/>
      <c r="F1" s="126" t="s">
        <v>2</v>
      </c>
      <c r="G1" s="112">
        <f ca="1">TODAY()</f>
        <v>43846</v>
      </c>
    </row>
    <row r="2" spans="2:30">
      <c r="B2" s="248"/>
      <c r="C2" s="248"/>
      <c r="D2" s="249" t="s">
        <v>4</v>
      </c>
      <c r="E2" s="249"/>
    </row>
    <row r="3" spans="2:30">
      <c r="B3" s="248"/>
      <c r="C3" s="248"/>
      <c r="D3" s="249" t="s">
        <v>5</v>
      </c>
      <c r="E3" s="249"/>
      <c r="I3" s="25" t="s">
        <v>152</v>
      </c>
      <c r="AD3" s="25" t="s">
        <v>11</v>
      </c>
    </row>
    <row r="4" spans="2:30" ht="26.25" thickBot="1">
      <c r="B4" s="248"/>
      <c r="C4" s="248"/>
      <c r="D4" s="250" t="s">
        <v>616</v>
      </c>
      <c r="E4" s="250"/>
      <c r="F4" s="250"/>
      <c r="AD4" s="51" t="s">
        <v>12</v>
      </c>
    </row>
    <row r="5" spans="2:30" ht="19.5">
      <c r="B5" s="251" t="s">
        <v>6</v>
      </c>
      <c r="C5" s="252"/>
      <c r="D5" s="252"/>
      <c r="E5" s="252"/>
      <c r="F5" s="252"/>
      <c r="G5" s="253"/>
      <c r="AD5" s="51" t="s">
        <v>13</v>
      </c>
    </row>
    <row r="6" spans="2:30" ht="20.25" thickBot="1">
      <c r="B6" s="254" t="s">
        <v>619</v>
      </c>
      <c r="C6" s="255"/>
      <c r="D6" s="255"/>
      <c r="E6" s="255"/>
      <c r="F6" s="255"/>
      <c r="G6" s="256"/>
      <c r="AD6" s="51" t="s">
        <v>14</v>
      </c>
    </row>
    <row r="7" spans="2:30" ht="16.5" thickBot="1">
      <c r="G7" s="52"/>
      <c r="H7" s="17"/>
      <c r="AD7" s="51" t="s">
        <v>154</v>
      </c>
    </row>
    <row r="8" spans="2:30" ht="19.5">
      <c r="B8" s="120" t="s">
        <v>589</v>
      </c>
      <c r="C8" s="257" t="s">
        <v>590</v>
      </c>
      <c r="D8" s="258"/>
      <c r="E8" s="125" t="s">
        <v>9</v>
      </c>
      <c r="F8" s="129" t="s">
        <v>68</v>
      </c>
      <c r="G8" s="157"/>
      <c r="H8" s="17"/>
    </row>
    <row r="9" spans="2:30" ht="19.5">
      <c r="B9" s="121" t="s">
        <v>591</v>
      </c>
      <c r="C9" s="259">
        <v>43780</v>
      </c>
      <c r="D9" s="260"/>
      <c r="E9" s="125" t="s">
        <v>10</v>
      </c>
      <c r="F9" s="129">
        <v>16113</v>
      </c>
      <c r="G9" s="157"/>
      <c r="H9" s="17"/>
    </row>
    <row r="10" spans="2:30" ht="19.5">
      <c r="B10" s="122" t="s">
        <v>592</v>
      </c>
      <c r="C10" s="261" t="s">
        <v>593</v>
      </c>
      <c r="D10" s="262"/>
      <c r="E10" s="54"/>
      <c r="F10" s="54"/>
      <c r="G10" s="53"/>
      <c r="H10" s="17"/>
    </row>
    <row r="11" spans="2:30" ht="18.75" customHeight="1" thickBot="1">
      <c r="B11" s="123" t="s">
        <v>8</v>
      </c>
      <c r="C11" s="263" t="s">
        <v>594</v>
      </c>
      <c r="D11" s="264"/>
      <c r="E11" s="54"/>
      <c r="F11" s="232" t="s">
        <v>595</v>
      </c>
      <c r="G11" s="124" t="s">
        <v>596</v>
      </c>
      <c r="H11" s="17"/>
    </row>
    <row r="12" spans="2:30" ht="19.5" customHeight="1" thickBot="1">
      <c r="F12" s="233"/>
      <c r="G12" s="128" t="s">
        <v>597</v>
      </c>
      <c r="M12" s="25" t="b">
        <f>LEN(C8)=18</f>
        <v>0</v>
      </c>
    </row>
    <row r="13" spans="2:30" ht="18">
      <c r="B13" s="266" t="s">
        <v>118</v>
      </c>
      <c r="C13" s="267"/>
      <c r="D13" s="267"/>
      <c r="E13" s="267"/>
      <c r="F13" s="238">
        <f>E30</f>
        <v>433174.00652173912</v>
      </c>
      <c r="G13" s="239"/>
      <c r="M13" s="46"/>
      <c r="N13" s="46"/>
    </row>
    <row r="14" spans="2:30">
      <c r="B14" s="240" t="str">
        <f>'.'!C5</f>
        <v>Quatre cent trente trois mille cent soixante-quatorze Dinars et un  cent</v>
      </c>
      <c r="C14" s="241"/>
      <c r="D14" s="241"/>
      <c r="E14" s="241"/>
      <c r="F14" s="241"/>
      <c r="G14" s="242"/>
      <c r="M14" s="46"/>
      <c r="N14" s="46"/>
    </row>
    <row r="15" spans="2:30" ht="15" customHeight="1">
      <c r="B15" s="240"/>
      <c r="C15" s="241"/>
      <c r="D15" s="241"/>
      <c r="E15" s="241"/>
      <c r="F15" s="241"/>
      <c r="G15" s="242"/>
      <c r="M15" s="46"/>
      <c r="N15" s="46"/>
    </row>
    <row r="16" spans="2:30" ht="17.25" customHeight="1">
      <c r="B16" s="234" t="s">
        <v>620</v>
      </c>
      <c r="C16" s="235"/>
      <c r="D16" s="235"/>
      <c r="E16" s="235"/>
      <c r="F16" s="235"/>
      <c r="G16" s="236"/>
      <c r="M16" s="46"/>
      <c r="N16" s="46"/>
    </row>
    <row r="17" spans="2:16" ht="19.5" customHeight="1" thickBot="1">
      <c r="B17" s="148"/>
      <c r="C17" s="149" t="s">
        <v>154</v>
      </c>
      <c r="D17" s="150" t="s">
        <v>587</v>
      </c>
      <c r="E17" s="151" t="s">
        <v>588</v>
      </c>
      <c r="F17" s="246" t="s">
        <v>579</v>
      </c>
      <c r="G17" s="247"/>
      <c r="M17" s="46"/>
      <c r="N17" s="46"/>
    </row>
    <row r="18" spans="2:16" ht="21">
      <c r="B18" s="113" t="s">
        <v>609</v>
      </c>
      <c r="C18" s="114"/>
      <c r="D18" s="108"/>
      <c r="E18" s="237">
        <v>95000</v>
      </c>
      <c r="F18" s="237"/>
      <c r="G18" s="109"/>
      <c r="H18" s="17"/>
      <c r="M18" s="46"/>
      <c r="N18" s="46"/>
    </row>
    <row r="19" spans="2:16" ht="21">
      <c r="B19" s="115" t="s">
        <v>610</v>
      </c>
      <c r="C19" s="116"/>
      <c r="D19" s="100"/>
      <c r="E19" s="228">
        <v>38000</v>
      </c>
      <c r="F19" s="228"/>
      <c r="G19" s="105"/>
      <c r="H19" s="17"/>
      <c r="M19" s="46"/>
      <c r="N19" s="46"/>
    </row>
    <row r="20" spans="2:16" ht="21">
      <c r="B20" s="115" t="s">
        <v>611</v>
      </c>
      <c r="C20" s="116"/>
      <c r="D20" s="100"/>
      <c r="E20" s="228">
        <v>546966.29</v>
      </c>
      <c r="F20" s="228"/>
      <c r="G20" s="105"/>
      <c r="H20" s="17"/>
      <c r="M20" s="46"/>
      <c r="N20" s="46"/>
    </row>
    <row r="21" spans="2:16" ht="21" customHeight="1">
      <c r="B21" s="107" t="s">
        <v>598</v>
      </c>
      <c r="C21" s="104"/>
      <c r="D21" s="104"/>
      <c r="E21" s="226">
        <f>SUM(E18:F20)</f>
        <v>679966.29</v>
      </c>
      <c r="F21" s="227"/>
      <c r="G21" s="106"/>
      <c r="H21" s="17"/>
      <c r="M21" s="46"/>
      <c r="N21" s="46"/>
      <c r="O21" s="46"/>
      <c r="P21" s="46"/>
    </row>
    <row r="22" spans="2:16" ht="21">
      <c r="B22" s="117" t="s">
        <v>612</v>
      </c>
      <c r="C22" s="158">
        <v>0.15</v>
      </c>
      <c r="D22" s="100"/>
      <c r="E22" s="228">
        <v>74026.788</v>
      </c>
      <c r="F22" s="228"/>
      <c r="G22" s="105"/>
      <c r="H22" s="17"/>
      <c r="M22" s="46"/>
      <c r="N22" s="46"/>
      <c r="O22" s="46"/>
      <c r="P22" s="46"/>
    </row>
    <row r="23" spans="2:16" ht="21">
      <c r="B23" s="117" t="s">
        <v>617</v>
      </c>
      <c r="C23" s="158">
        <v>0.5</v>
      </c>
      <c r="D23" s="100"/>
      <c r="E23" s="228">
        <v>4223.3500000000004</v>
      </c>
      <c r="F23" s="228"/>
      <c r="G23" s="105"/>
      <c r="H23" s="17"/>
      <c r="M23" s="46"/>
      <c r="N23" s="46"/>
      <c r="O23" s="46"/>
      <c r="P23" s="46"/>
    </row>
    <row r="24" spans="2:16" ht="21" customHeight="1">
      <c r="B24" s="107" t="s">
        <v>599</v>
      </c>
      <c r="C24" s="103"/>
      <c r="D24" s="103"/>
      <c r="E24" s="226">
        <f>E21-E22-E23</f>
        <v>601716.15200000012</v>
      </c>
      <c r="F24" s="226"/>
      <c r="G24" s="106"/>
      <c r="H24" s="17"/>
      <c r="M24" s="46"/>
      <c r="N24" s="46"/>
      <c r="O24" s="46"/>
      <c r="P24" s="46"/>
    </row>
    <row r="25" spans="2:16" ht="21">
      <c r="B25" s="117" t="s">
        <v>613</v>
      </c>
      <c r="C25" s="116"/>
      <c r="D25" s="100"/>
      <c r="E25" s="228">
        <v>523231.43652173912</v>
      </c>
      <c r="F25" s="228"/>
      <c r="G25" s="105"/>
      <c r="H25" s="17"/>
      <c r="M25" s="46"/>
      <c r="N25" s="46"/>
      <c r="O25" s="46"/>
      <c r="P25" s="46"/>
    </row>
    <row r="26" spans="2:16" ht="21">
      <c r="B26" s="118" t="s">
        <v>614</v>
      </c>
      <c r="C26" s="116"/>
      <c r="D26" s="101">
        <v>0.15</v>
      </c>
      <c r="E26" s="228">
        <v>90257.43</v>
      </c>
      <c r="F26" s="228"/>
      <c r="G26" s="105"/>
      <c r="H26" s="17"/>
      <c r="M26" s="46"/>
      <c r="N26" s="46"/>
      <c r="O26" s="46"/>
      <c r="P26" s="46"/>
    </row>
    <row r="27" spans="2:16" ht="21">
      <c r="B27" s="119"/>
      <c r="C27" s="103"/>
      <c r="D27" s="102"/>
      <c r="E27" s="229"/>
      <c r="F27" s="229"/>
      <c r="G27" s="106"/>
      <c r="H27" s="17"/>
      <c r="M27" s="46"/>
      <c r="N27" s="46"/>
      <c r="O27" s="46"/>
      <c r="P27" s="46"/>
    </row>
    <row r="28" spans="2:16" ht="21">
      <c r="B28" s="117" t="s">
        <v>615</v>
      </c>
      <c r="C28" s="116"/>
      <c r="D28" s="100"/>
      <c r="E28" s="231">
        <v>200</v>
      </c>
      <c r="F28" s="231"/>
      <c r="G28" s="105"/>
      <c r="H28" s="17"/>
      <c r="M28" s="46"/>
      <c r="N28" s="46"/>
      <c r="O28" s="46"/>
      <c r="P28" s="46"/>
    </row>
    <row r="29" spans="2:16" ht="21">
      <c r="B29" s="55"/>
      <c r="C29" s="102"/>
      <c r="D29" s="102"/>
      <c r="E29" s="230"/>
      <c r="F29" s="230"/>
      <c r="G29" s="106"/>
      <c r="H29" s="17"/>
      <c r="M29" s="46"/>
      <c r="N29" s="46"/>
      <c r="O29" s="46"/>
      <c r="P29" s="46"/>
    </row>
    <row r="30" spans="2:16" ht="23.25" customHeight="1" thickBot="1">
      <c r="B30" s="136" t="s">
        <v>618</v>
      </c>
      <c r="C30" s="110"/>
      <c r="D30" s="110"/>
      <c r="E30" s="243">
        <v>433174.00652173912</v>
      </c>
      <c r="F30" s="243"/>
      <c r="G30" s="111"/>
      <c r="H30" s="17"/>
    </row>
    <row r="31" spans="2:16" ht="15.75">
      <c r="B31" s="56"/>
      <c r="C31" s="265"/>
      <c r="D31" s="265"/>
      <c r="E31" s="57"/>
      <c r="F31" s="57"/>
      <c r="G31" s="58"/>
      <c r="H31" s="17"/>
    </row>
    <row r="32" spans="2:16" ht="15.75">
      <c r="B32" s="127" t="s">
        <v>3</v>
      </c>
      <c r="C32" s="59"/>
      <c r="D32" s="59"/>
      <c r="E32" s="57"/>
      <c r="F32" s="60"/>
      <c r="G32" s="58"/>
      <c r="H32" s="17"/>
    </row>
    <row r="33" spans="1:9" ht="15.75">
      <c r="A33" s="24"/>
      <c r="B33" s="152"/>
      <c r="C33" s="218"/>
      <c r="D33" s="218"/>
      <c r="E33" s="218"/>
      <c r="F33" s="218"/>
      <c r="G33" s="219"/>
      <c r="H33" s="17"/>
      <c r="I33" s="24"/>
    </row>
    <row r="34" spans="1:9" ht="15.75">
      <c r="A34" s="24"/>
      <c r="B34" s="153"/>
      <c r="C34" s="220"/>
      <c r="D34" s="220"/>
      <c r="E34" s="220"/>
      <c r="F34" s="220"/>
      <c r="G34" s="221"/>
      <c r="H34" s="17"/>
      <c r="I34" s="24"/>
    </row>
    <row r="35" spans="1:9" ht="15.75">
      <c r="A35" s="24"/>
      <c r="B35" s="153"/>
      <c r="C35" s="222"/>
      <c r="D35" s="222"/>
      <c r="E35" s="222"/>
      <c r="F35" s="222"/>
      <c r="G35" s="223"/>
      <c r="H35" s="17"/>
      <c r="I35" s="24"/>
    </row>
    <row r="36" spans="1:9" ht="15.75" customHeight="1">
      <c r="A36" s="24"/>
      <c r="B36" s="154"/>
      <c r="C36" s="224"/>
      <c r="D36" s="224"/>
      <c r="E36" s="224"/>
      <c r="F36" s="224"/>
      <c r="G36" s="225"/>
      <c r="H36" s="17"/>
      <c r="I36" s="24"/>
    </row>
    <row r="37" spans="1:9" ht="15.75">
      <c r="A37" s="24"/>
      <c r="B37" s="153"/>
      <c r="C37" s="222"/>
      <c r="D37" s="222"/>
      <c r="E37" s="222"/>
      <c r="F37" s="222"/>
      <c r="G37" s="223"/>
      <c r="H37" s="17"/>
    </row>
    <row r="38" spans="1:9" ht="16.5" thickBot="1">
      <c r="A38" s="24"/>
      <c r="B38" s="153"/>
      <c r="C38" s="155"/>
      <c r="D38" s="222"/>
      <c r="E38" s="222"/>
      <c r="F38" s="222"/>
      <c r="G38" s="223"/>
      <c r="H38" s="17"/>
    </row>
    <row r="39" spans="1:9" ht="15.75">
      <c r="A39" s="24"/>
      <c r="B39" s="130"/>
      <c r="C39" s="131"/>
      <c r="D39" s="244"/>
      <c r="E39" s="244"/>
      <c r="F39" s="244"/>
      <c r="G39" s="245"/>
      <c r="H39" s="17"/>
    </row>
    <row r="40" spans="1:9" ht="15.75">
      <c r="B40" s="56"/>
      <c r="C40" s="59"/>
      <c r="D40" s="59"/>
      <c r="E40" s="59"/>
      <c r="F40" s="59"/>
      <c r="G40" s="58"/>
      <c r="H40" s="17"/>
    </row>
    <row r="41" spans="1:9" ht="18" customHeight="1">
      <c r="B41" s="99"/>
      <c r="C41" s="24"/>
      <c r="D41" s="24"/>
      <c r="E41" s="24"/>
      <c r="F41" s="24"/>
      <c r="G41" s="132"/>
    </row>
    <row r="42" spans="1:9" ht="15" customHeight="1">
      <c r="B42" s="99"/>
      <c r="C42" s="24"/>
      <c r="D42" s="24"/>
      <c r="E42" s="24"/>
      <c r="F42" s="24"/>
      <c r="G42" s="132"/>
    </row>
    <row r="43" spans="1:9" ht="15" customHeight="1">
      <c r="B43" s="99"/>
      <c r="C43" s="24"/>
      <c r="D43" s="24"/>
      <c r="E43" s="24"/>
      <c r="F43" s="24"/>
      <c r="G43" s="132"/>
    </row>
    <row r="44" spans="1:9" ht="15" customHeight="1">
      <c r="B44" s="99"/>
      <c r="C44" s="24"/>
      <c r="D44" s="24"/>
      <c r="E44" s="24"/>
      <c r="F44" s="24"/>
      <c r="G44" s="132"/>
    </row>
    <row r="45" spans="1:9" ht="15" customHeight="1">
      <c r="B45" s="99"/>
      <c r="C45" s="24"/>
      <c r="D45" s="24"/>
      <c r="E45" s="24"/>
      <c r="F45" s="24"/>
      <c r="G45" s="132"/>
    </row>
    <row r="46" spans="1:9" ht="15.75" customHeight="1">
      <c r="B46" s="99"/>
      <c r="C46" s="24"/>
      <c r="D46" s="24"/>
      <c r="E46" s="24"/>
      <c r="F46" s="24"/>
      <c r="G46" s="132"/>
    </row>
    <row r="47" spans="1:9">
      <c r="B47" s="99"/>
      <c r="C47" s="24"/>
      <c r="D47" s="24"/>
      <c r="E47" s="24"/>
      <c r="F47" s="24"/>
      <c r="G47" s="132"/>
    </row>
    <row r="48" spans="1:9" ht="15" customHeight="1">
      <c r="B48" s="99"/>
      <c r="C48" s="24"/>
      <c r="D48" s="24"/>
      <c r="E48" s="24"/>
      <c r="F48" s="24"/>
      <c r="G48" s="132"/>
    </row>
    <row r="49" spans="1:8" ht="15" customHeight="1">
      <c r="B49" s="99"/>
      <c r="C49" s="24"/>
      <c r="D49" s="24"/>
      <c r="E49" s="24"/>
      <c r="F49" s="24"/>
      <c r="G49" s="132"/>
    </row>
    <row r="50" spans="1:8" ht="15" customHeight="1">
      <c r="B50" s="99"/>
      <c r="C50" s="24"/>
      <c r="D50" s="24"/>
      <c r="E50" s="24"/>
      <c r="F50" s="24"/>
      <c r="G50" s="132"/>
    </row>
    <row r="51" spans="1:8" ht="15" customHeight="1">
      <c r="B51" s="99"/>
      <c r="C51" s="24"/>
      <c r="D51" s="24"/>
      <c r="E51" s="24"/>
      <c r="F51" s="24"/>
      <c r="G51" s="132"/>
    </row>
    <row r="52" spans="1:8" ht="15" customHeight="1">
      <c r="B52" s="99"/>
      <c r="C52" s="24"/>
      <c r="D52" s="24"/>
      <c r="E52" s="24"/>
      <c r="F52" s="24"/>
      <c r="G52" s="132"/>
    </row>
    <row r="53" spans="1:8" s="62" customFormat="1" ht="15.75" customHeight="1" thickBot="1">
      <c r="A53" s="61">
        <v>11</v>
      </c>
      <c r="B53" s="133"/>
      <c r="C53" s="134"/>
      <c r="D53" s="134"/>
      <c r="E53" s="134"/>
      <c r="F53" s="134"/>
      <c r="G53" s="135"/>
      <c r="H53" s="156"/>
    </row>
    <row r="56" spans="1:8">
      <c r="H56" s="16" t="s">
        <v>153</v>
      </c>
    </row>
    <row r="87" spans="8:8">
      <c r="H87" s="17"/>
    </row>
    <row r="88" spans="8:8">
      <c r="H88" s="17"/>
    </row>
    <row r="89" spans="8:8">
      <c r="H89" s="17"/>
    </row>
    <row r="90" spans="8:8">
      <c r="H90" s="17"/>
    </row>
    <row r="91" spans="8:8">
      <c r="H91" s="17"/>
    </row>
    <row r="92" spans="8:8">
      <c r="H92" s="17"/>
    </row>
    <row r="93" spans="8:8">
      <c r="H93" s="17"/>
    </row>
    <row r="106" spans="8:8">
      <c r="H106" s="156"/>
    </row>
  </sheetData>
  <sheetProtection algorithmName="SHA-512" hashValue="U+UKsNB22CdLBTK9lo6PV5MSAyFMKnczHriSZsH2HX4IrEnmqUeywZ7dVYsv7M0SoJq81s3jGoQyHvfkSPmFEg==" saltValue="lvkU4F3k9WtiOrtHrnZbvQ==" spinCount="100000" sheet="1" objects="1" scenarios="1" selectLockedCells="1"/>
  <mergeCells count="37">
    <mergeCell ref="E30:F30"/>
    <mergeCell ref="D38:G38"/>
    <mergeCell ref="D39:G39"/>
    <mergeCell ref="F17:G17"/>
    <mergeCell ref="B1:C4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31:D31"/>
    <mergeCell ref="B13:E13"/>
    <mergeCell ref="F11:F12"/>
    <mergeCell ref="B16:G16"/>
    <mergeCell ref="E18:F18"/>
    <mergeCell ref="E19:F19"/>
    <mergeCell ref="E20:F20"/>
    <mergeCell ref="F13:G13"/>
    <mergeCell ref="B14:G15"/>
    <mergeCell ref="E21:F21"/>
    <mergeCell ref="E23:F23"/>
    <mergeCell ref="E26:F26"/>
    <mergeCell ref="E27:F27"/>
    <mergeCell ref="E29:F29"/>
    <mergeCell ref="E22:F22"/>
    <mergeCell ref="E24:F24"/>
    <mergeCell ref="E25:F25"/>
    <mergeCell ref="E28:F28"/>
    <mergeCell ref="C33:G33"/>
    <mergeCell ref="C34:G34"/>
    <mergeCell ref="C35:G35"/>
    <mergeCell ref="C36:G36"/>
    <mergeCell ref="C37:G37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sqref="F9 G9">
      <formula1>codeagence</formula1>
    </dataValidation>
  </dataValidations>
  <pageMargins left="0.7" right="0.7" top="0.75" bottom="0.75" header="0.3" footer="0.3"/>
  <pageSetup paperSize="9" scale="78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8</xdr:row>
                <xdr:rowOff>180975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209550</xdr:colOff>
                <xdr:row>7</xdr:row>
                <xdr:rowOff>38100</xdr:rowOff>
              </from>
              <to>
                <xdr:col>6</xdr:col>
                <xdr:colOff>590550</xdr:colOff>
                <xdr:row>8</xdr:row>
                <xdr:rowOff>0</xdr:rowOff>
              </to>
            </anchor>
          </controlPr>
        </control>
      </mc:Choice>
      <mc:Fallback>
        <control shapeId="1027" r:id="rId6" name="Optio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4:P29"/>
  <sheetViews>
    <sheetView workbookViewId="0">
      <selection activeCell="F9" sqref="F9"/>
    </sheetView>
  </sheetViews>
  <sheetFormatPr baseColWidth="10" defaultColWidth="11.42578125" defaultRowHeight="15"/>
  <cols>
    <col min="1" max="2" width="11.42578125" style="25"/>
    <col min="3" max="3" width="16.5703125" style="24" customWidth="1"/>
    <col min="4" max="4" width="29.42578125" style="25" customWidth="1"/>
    <col min="5" max="5" width="10.7109375" style="25" customWidth="1"/>
    <col min="6" max="6" width="29.42578125" style="25" customWidth="1"/>
    <col min="7" max="7" width="16.42578125" style="25" customWidth="1"/>
    <col min="8" max="8" width="24.85546875" style="25" customWidth="1"/>
    <col min="9" max="9" width="27.140625" style="25" customWidth="1"/>
    <col min="10" max="10" width="20.5703125" style="25" customWidth="1"/>
    <col min="11" max="12" width="11.42578125" style="25"/>
    <col min="13" max="13" width="26.85546875" style="25" bestFit="1" customWidth="1"/>
    <col min="14" max="16" width="11.42578125" style="25"/>
    <col min="17" max="17" width="18.85546875" style="25" bestFit="1" customWidth="1"/>
    <col min="18" max="16384" width="11.42578125" style="25"/>
  </cols>
  <sheetData>
    <row r="4" spans="3:14">
      <c r="C4" s="159"/>
      <c r="D4" s="159"/>
      <c r="E4" s="159"/>
      <c r="F4" s="159"/>
      <c r="G4" s="159"/>
    </row>
    <row r="5" spans="3:14">
      <c r="C5" s="159"/>
      <c r="D5" s="159"/>
      <c r="E5" s="159"/>
      <c r="F5" s="159"/>
      <c r="G5" s="159"/>
    </row>
    <row r="6" spans="3:14">
      <c r="C6" s="159"/>
      <c r="D6" s="159"/>
      <c r="E6" s="159"/>
      <c r="F6" s="159"/>
      <c r="G6" s="159"/>
    </row>
    <row r="7" spans="3:14">
      <c r="C7" s="159"/>
      <c r="D7" s="159"/>
      <c r="E7" s="159"/>
      <c r="F7" s="159"/>
      <c r="G7" s="159"/>
    </row>
    <row r="8" spans="3:14" ht="20.100000000000001" customHeight="1" thickBot="1">
      <c r="C8" s="159"/>
      <c r="D8" s="26"/>
      <c r="E8" s="160" t="s">
        <v>124</v>
      </c>
      <c r="F8" s="161" t="s">
        <v>125</v>
      </c>
      <c r="G8" s="159"/>
    </row>
    <row r="9" spans="3:14" ht="20.100000000000001" customHeight="1">
      <c r="C9" s="159"/>
      <c r="D9" s="162" t="s">
        <v>147</v>
      </c>
      <c r="E9" s="213">
        <f>IF(F10=0,0,F9*100/F10-100)</f>
        <v>0</v>
      </c>
      <c r="F9" s="178"/>
      <c r="G9" s="159"/>
      <c r="J9" s="163"/>
      <c r="K9" s="163"/>
      <c r="L9" s="163"/>
      <c r="M9" s="163"/>
    </row>
    <row r="10" spans="3:14" ht="20.100000000000001" customHeight="1">
      <c r="C10" s="159"/>
      <c r="D10" s="162" t="s">
        <v>148</v>
      </c>
      <c r="E10" s="214"/>
      <c r="F10" s="178"/>
      <c r="G10" s="159"/>
      <c r="J10" s="163"/>
      <c r="K10" s="163"/>
      <c r="L10" s="163"/>
      <c r="M10" s="163"/>
    </row>
    <row r="11" spans="3:14" ht="20.100000000000001" customHeight="1">
      <c r="C11" s="159"/>
      <c r="D11" s="162" t="s">
        <v>151</v>
      </c>
      <c r="E11" s="164"/>
      <c r="F11" s="178"/>
      <c r="G11" s="159"/>
      <c r="J11" s="163"/>
      <c r="K11" s="163"/>
      <c r="L11" s="163"/>
      <c r="M11" s="163"/>
    </row>
    <row r="12" spans="3:14" ht="20.100000000000001" customHeight="1">
      <c r="C12" s="159"/>
      <c r="D12" s="165" t="s">
        <v>149</v>
      </c>
      <c r="E12" s="27"/>
      <c r="F12" s="138"/>
      <c r="G12" s="159"/>
      <c r="J12" s="163"/>
      <c r="K12" s="163"/>
      <c r="L12" s="163"/>
      <c r="M12" s="163"/>
    </row>
    <row r="13" spans="3:14" ht="20.100000000000001" customHeight="1">
      <c r="C13" s="159"/>
      <c r="D13" s="211" t="s">
        <v>134</v>
      </c>
      <c r="E13" s="212"/>
      <c r="F13" s="166" t="b">
        <f>IFERROR(IF(F9&lt;F10,F9-(F12+F11),IF(F9&gt;F10,F10-(F12+F11))),0)</f>
        <v>0</v>
      </c>
      <c r="G13" s="159"/>
      <c r="J13" s="37" t="s">
        <v>136</v>
      </c>
      <c r="K13" s="38">
        <v>0.15</v>
      </c>
      <c r="L13" s="163"/>
      <c r="M13" s="45"/>
      <c r="N13" s="46"/>
    </row>
    <row r="14" spans="3:14" ht="20.100000000000001" customHeight="1">
      <c r="C14" s="159"/>
      <c r="D14" s="167" t="s">
        <v>135</v>
      </c>
      <c r="E14" s="79"/>
      <c r="F14" s="137"/>
      <c r="G14" s="159"/>
      <c r="J14" s="37" t="s">
        <v>137</v>
      </c>
      <c r="K14" s="38">
        <v>0.25</v>
      </c>
      <c r="L14" s="163"/>
      <c r="M14" s="45"/>
      <c r="N14" s="46"/>
    </row>
    <row r="15" spans="3:14" ht="20.100000000000001" customHeight="1">
      <c r="C15" s="159"/>
      <c r="D15" s="167" t="s">
        <v>150</v>
      </c>
      <c r="E15" s="79"/>
      <c r="F15" s="48">
        <f>IFERROR(IF(E16&gt;0,(F14*E16)+F14,0),0)</f>
        <v>0</v>
      </c>
      <c r="G15" s="159"/>
      <c r="J15" s="37"/>
      <c r="K15" s="38"/>
      <c r="L15" s="163"/>
      <c r="M15" s="45"/>
      <c r="N15" s="46"/>
    </row>
    <row r="16" spans="3:14" ht="20.100000000000001" customHeight="1">
      <c r="C16" s="159"/>
      <c r="D16" s="168" t="s">
        <v>137</v>
      </c>
      <c r="E16" s="22">
        <f>IFERROR(VLOOKUP($D$16,$J$13:$K$14,2,0),0)</f>
        <v>0.25</v>
      </c>
      <c r="F16" s="169">
        <f>IFERROR(IF($D$16="Sous total REG Prp AGE",F13*F14/F15,IF($D$16="Sous total REG Prp Permis",F13*F14/F15)),0)</f>
        <v>0</v>
      </c>
      <c r="G16" s="159"/>
      <c r="J16" s="39" t="s">
        <v>139</v>
      </c>
      <c r="K16" s="40"/>
      <c r="L16" s="163"/>
      <c r="M16" s="45"/>
      <c r="N16" s="46"/>
    </row>
    <row r="17" spans="3:16" ht="20.100000000000001" customHeight="1">
      <c r="C17" s="159"/>
      <c r="D17" s="170" t="s">
        <v>117</v>
      </c>
      <c r="E17" s="19">
        <v>0.15</v>
      </c>
      <c r="F17" s="171"/>
      <c r="G17" s="159"/>
      <c r="J17" s="39" t="s">
        <v>140</v>
      </c>
      <c r="K17" s="40"/>
      <c r="L17" s="163"/>
      <c r="M17" s="45"/>
      <c r="N17" s="46"/>
    </row>
    <row r="18" spans="3:16" ht="20.25" customHeight="1">
      <c r="C18" s="159"/>
      <c r="D18" s="172" t="str">
        <f>INDEX($J$12:$J$21,MATCH($D$16,$J$12:$J$21,0)+6)</f>
        <v>Total à payer Rpr Permis</v>
      </c>
      <c r="E18" s="95"/>
      <c r="F18" s="173">
        <f>IFERROR(IF($D$18="Total à payer Rpr Âge",F16-F17,IF($D$18="Total à payer Rpr Permis",F16-F17,)),0)</f>
        <v>0</v>
      </c>
      <c r="G18" s="159"/>
      <c r="J18" s="39" t="s">
        <v>145</v>
      </c>
      <c r="K18" s="40"/>
      <c r="L18" s="163"/>
      <c r="M18" s="45"/>
      <c r="N18" s="46"/>
    </row>
    <row r="19" spans="3:16" ht="20.25" customHeight="1">
      <c r="C19" s="159"/>
      <c r="D19" s="174" t="s">
        <v>143</v>
      </c>
      <c r="E19" s="175"/>
      <c r="F19" s="176">
        <f>IF(F16&gt;0,F16-F17,F13-F17)</f>
        <v>0</v>
      </c>
      <c r="G19" s="159"/>
      <c r="J19" s="39" t="s">
        <v>141</v>
      </c>
      <c r="K19" s="41"/>
      <c r="L19" s="163"/>
      <c r="M19" s="45"/>
      <c r="N19" s="46"/>
    </row>
    <row r="20" spans="3:16" ht="15.75">
      <c r="C20" s="159"/>
      <c r="D20" s="177"/>
      <c r="E20" s="177"/>
      <c r="F20" s="177"/>
      <c r="G20" s="159"/>
      <c r="J20" s="39" t="s">
        <v>142</v>
      </c>
      <c r="K20" s="45"/>
      <c r="L20" s="163"/>
      <c r="M20" s="45"/>
      <c r="N20" s="46"/>
    </row>
    <row r="21" spans="3:16" ht="15.75">
      <c r="C21" s="159"/>
      <c r="D21" s="177"/>
      <c r="E21" s="177"/>
      <c r="F21" s="177"/>
      <c r="G21" s="159"/>
      <c r="J21" s="39" t="s">
        <v>146</v>
      </c>
      <c r="K21" s="45"/>
      <c r="L21" s="45"/>
      <c r="M21" s="45"/>
      <c r="N21" s="46"/>
      <c r="O21" s="46"/>
      <c r="P21" s="46"/>
    </row>
    <row r="22" spans="3:16">
      <c r="M22" s="45"/>
      <c r="N22" s="45"/>
      <c r="O22" s="45"/>
      <c r="P22" s="45"/>
    </row>
    <row r="23" spans="3:16" ht="13.5" customHeight="1">
      <c r="M23" s="46"/>
      <c r="N23" s="46"/>
      <c r="O23" s="46"/>
      <c r="P23" s="46"/>
    </row>
    <row r="24" spans="3:16">
      <c r="M24" s="46"/>
      <c r="N24" s="46"/>
      <c r="O24" s="46"/>
      <c r="P24" s="46"/>
    </row>
    <row r="25" spans="3:16">
      <c r="M25" s="46"/>
      <c r="N25" s="46"/>
      <c r="O25" s="46"/>
      <c r="P25" s="46"/>
    </row>
    <row r="26" spans="3:16">
      <c r="M26" s="46"/>
      <c r="N26" s="46"/>
      <c r="O26" s="46"/>
      <c r="P26" s="46"/>
    </row>
    <row r="27" spans="3:16">
      <c r="M27" s="46"/>
      <c r="N27" s="46"/>
      <c r="O27" s="46"/>
      <c r="P27" s="46"/>
    </row>
    <row r="28" spans="3:16">
      <c r="M28" s="46"/>
      <c r="N28" s="46"/>
      <c r="O28" s="46"/>
      <c r="P28" s="46"/>
    </row>
    <row r="29" spans="3:16">
      <c r="M29" s="46"/>
      <c r="N29" s="46"/>
      <c r="O29" s="46"/>
      <c r="P29" s="46"/>
    </row>
  </sheetData>
  <sheetProtection algorithmName="SHA-512" hashValue="+ptFDo1sb7DCeufPQySGnTuVtYr5GH0MV7KeWvtTopKkWpqi9CyR9XCrkvHrinmQUplO2WNlInJhJ60SuHphEQ==" saltValue="KYa9o5psG8TitJMEEoO91Q==" spinCount="100000" sheet="1" objects="1" scenarios="1" selectLockedCells="1"/>
  <mergeCells count="2">
    <mergeCell ref="E9:E10"/>
    <mergeCell ref="D13:E13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K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$J$12:$J$14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D108"/>
  <sheetViews>
    <sheetView workbookViewId="0">
      <selection activeCell="F9" sqref="F9"/>
    </sheetView>
  </sheetViews>
  <sheetFormatPr baseColWidth="10" defaultRowHeight="15"/>
  <cols>
    <col min="1" max="1" width="3.85546875" style="25" customWidth="1"/>
    <col min="2" max="2" width="16.42578125" style="25" bestFit="1" customWidth="1"/>
    <col min="3" max="3" width="19.140625" style="50" customWidth="1"/>
    <col min="4" max="4" width="22.28515625" style="50" customWidth="1"/>
    <col min="5" max="5" width="23.140625" style="50" bestFit="1" customWidth="1"/>
    <col min="6" max="6" width="18.42578125" style="50" customWidth="1"/>
    <col min="7" max="7" width="11.85546875" style="25" customWidth="1"/>
    <col min="8" max="8" width="8.140625" style="25" customWidth="1"/>
    <col min="9" max="16384" width="11.42578125" style="25"/>
  </cols>
  <sheetData>
    <row r="1" spans="2:30" ht="15.75">
      <c r="B1" s="248"/>
      <c r="C1" s="248"/>
      <c r="F1" s="185" t="s">
        <v>2</v>
      </c>
      <c r="G1" s="186">
        <f ca="1">TODAY()</f>
        <v>43846</v>
      </c>
    </row>
    <row r="2" spans="2:30">
      <c r="B2" s="248"/>
      <c r="C2" s="248"/>
      <c r="D2" s="249" t="s">
        <v>4</v>
      </c>
      <c r="E2" s="249"/>
    </row>
    <row r="3" spans="2:30">
      <c r="B3" s="248"/>
      <c r="C3" s="248"/>
      <c r="D3" s="249" t="s">
        <v>5</v>
      </c>
      <c r="E3" s="249"/>
      <c r="AD3" s="25" t="s">
        <v>11</v>
      </c>
    </row>
    <row r="4" spans="2:30" ht="26.25" thickBot="1">
      <c r="B4" s="248"/>
      <c r="C4" s="248"/>
      <c r="D4" s="250" t="s">
        <v>621</v>
      </c>
      <c r="E4" s="250"/>
      <c r="F4" s="250"/>
      <c r="AD4" s="51" t="s">
        <v>12</v>
      </c>
    </row>
    <row r="5" spans="2:30" ht="19.5">
      <c r="B5" s="268" t="s">
        <v>6</v>
      </c>
      <c r="C5" s="269"/>
      <c r="D5" s="269"/>
      <c r="E5" s="269"/>
      <c r="F5" s="269"/>
      <c r="G5" s="270"/>
      <c r="AD5" s="51" t="s">
        <v>13</v>
      </c>
    </row>
    <row r="6" spans="2:30" ht="20.25" thickBot="1">
      <c r="B6" s="280" t="s">
        <v>622</v>
      </c>
      <c r="C6" s="281"/>
      <c r="D6" s="281"/>
      <c r="E6" s="281"/>
      <c r="F6" s="281"/>
      <c r="G6" s="282"/>
      <c r="AD6" s="51" t="s">
        <v>14</v>
      </c>
    </row>
    <row r="7" spans="2:30" ht="16.5" thickBot="1">
      <c r="G7" s="52"/>
      <c r="H7" s="24"/>
      <c r="AD7" s="51" t="s">
        <v>154</v>
      </c>
    </row>
    <row r="8" spans="2:30" ht="19.5">
      <c r="B8" s="187" t="s">
        <v>589</v>
      </c>
      <c r="C8" s="283" t="s">
        <v>590</v>
      </c>
      <c r="D8" s="258"/>
      <c r="E8" s="188" t="s">
        <v>9</v>
      </c>
      <c r="F8" s="129" t="s">
        <v>19</v>
      </c>
      <c r="G8" s="53"/>
      <c r="H8" s="24"/>
    </row>
    <row r="9" spans="2:30" ht="19.5">
      <c r="B9" s="189" t="s">
        <v>591</v>
      </c>
      <c r="C9" s="284">
        <v>43780</v>
      </c>
      <c r="D9" s="260"/>
      <c r="E9" s="188" t="s">
        <v>10</v>
      </c>
      <c r="F9" s="179" t="s">
        <v>626</v>
      </c>
      <c r="G9" s="53"/>
      <c r="H9" s="24"/>
    </row>
    <row r="10" spans="2:30" ht="19.5">
      <c r="B10" s="189" t="s">
        <v>592</v>
      </c>
      <c r="C10" s="285" t="s">
        <v>593</v>
      </c>
      <c r="D10" s="262"/>
      <c r="E10" s="54"/>
      <c r="F10" s="54"/>
      <c r="G10" s="53"/>
      <c r="H10" s="24"/>
    </row>
    <row r="11" spans="2:30" ht="20.25" thickBot="1">
      <c r="B11" s="190" t="s">
        <v>8</v>
      </c>
      <c r="C11" s="286" t="s">
        <v>594</v>
      </c>
      <c r="D11" s="264"/>
      <c r="E11" s="54"/>
      <c r="F11" s="287" t="s">
        <v>595</v>
      </c>
      <c r="G11" s="191" t="s">
        <v>596</v>
      </c>
      <c r="H11" s="24"/>
    </row>
    <row r="12" spans="2:30" ht="20.25" customHeight="1" thickBot="1">
      <c r="F12" s="288"/>
      <c r="G12" s="192" t="s">
        <v>597</v>
      </c>
    </row>
    <row r="13" spans="2:30" ht="18">
      <c r="B13" s="271" t="s">
        <v>118</v>
      </c>
      <c r="C13" s="272"/>
      <c r="D13" s="272"/>
      <c r="E13" s="272"/>
      <c r="F13" s="273">
        <f>E32</f>
        <v>0</v>
      </c>
      <c r="G13" s="274"/>
      <c r="M13" s="46"/>
      <c r="N13" s="46"/>
    </row>
    <row r="14" spans="2:30">
      <c r="B14" s="240" t="str">
        <f>'.'!C5</f>
        <v>Quatre cent trente trois mille cent soixante-quatorze Dinars et un  cent</v>
      </c>
      <c r="C14" s="241"/>
      <c r="D14" s="241"/>
      <c r="E14" s="241"/>
      <c r="F14" s="241"/>
      <c r="G14" s="242"/>
      <c r="M14" s="46"/>
      <c r="N14" s="46"/>
    </row>
    <row r="15" spans="2:30" ht="13.5" customHeight="1">
      <c r="B15" s="240"/>
      <c r="C15" s="241"/>
      <c r="D15" s="241"/>
      <c r="E15" s="241"/>
      <c r="F15" s="241"/>
      <c r="G15" s="242"/>
      <c r="M15" s="46"/>
      <c r="N15" s="46"/>
    </row>
    <row r="16" spans="2:30" ht="18" customHeight="1">
      <c r="B16" s="275" t="s">
        <v>601</v>
      </c>
      <c r="C16" s="276"/>
      <c r="D16" s="276"/>
      <c r="E16" s="276"/>
      <c r="F16" s="276"/>
      <c r="G16" s="277"/>
      <c r="M16" s="46"/>
      <c r="N16" s="46"/>
    </row>
    <row r="17" spans="2:16" ht="18">
      <c r="B17" s="183"/>
      <c r="C17" s="180" t="s">
        <v>154</v>
      </c>
      <c r="D17" s="184" t="s">
        <v>587</v>
      </c>
      <c r="E17" s="184" t="s">
        <v>588</v>
      </c>
      <c r="F17" s="278" t="s">
        <v>580</v>
      </c>
      <c r="G17" s="279"/>
      <c r="M17" s="46"/>
      <c r="N17" s="46"/>
    </row>
    <row r="18" spans="2:16" ht="15" customHeight="1" thickBot="1">
      <c r="B18" s="205"/>
      <c r="C18" s="206"/>
      <c r="D18" s="206"/>
      <c r="E18" s="295"/>
      <c r="F18" s="295"/>
      <c r="G18" s="207"/>
      <c r="H18" s="24"/>
      <c r="M18" s="46"/>
      <c r="N18" s="46"/>
    </row>
    <row r="19" spans="2:16" ht="21">
      <c r="B19" s="289" t="s">
        <v>603</v>
      </c>
      <c r="C19" s="290"/>
      <c r="D19" s="291"/>
      <c r="E19" s="296">
        <f>Base_Epave!F9</f>
        <v>0</v>
      </c>
      <c r="F19" s="296"/>
      <c r="G19" s="193"/>
      <c r="H19" s="24"/>
      <c r="M19" s="46"/>
      <c r="N19" s="46"/>
    </row>
    <row r="20" spans="2:16" ht="21">
      <c r="B20" s="194"/>
      <c r="C20" s="195"/>
      <c r="D20" s="195"/>
      <c r="E20" s="195"/>
      <c r="F20" s="195"/>
      <c r="G20" s="196"/>
      <c r="H20" s="24"/>
      <c r="M20" s="46"/>
      <c r="N20" s="46"/>
    </row>
    <row r="21" spans="2:16" ht="21" customHeight="1">
      <c r="B21" s="292" t="s">
        <v>604</v>
      </c>
      <c r="C21" s="293"/>
      <c r="D21" s="294"/>
      <c r="E21" s="297">
        <f>Base_Epave!F10</f>
        <v>0</v>
      </c>
      <c r="F21" s="297"/>
      <c r="G21" s="197"/>
      <c r="H21" s="24"/>
      <c r="M21" s="46"/>
      <c r="N21" s="46"/>
      <c r="O21" s="46"/>
      <c r="P21" s="46"/>
    </row>
    <row r="22" spans="2:16" ht="21">
      <c r="B22" s="194"/>
      <c r="C22" s="195"/>
      <c r="D22" s="195"/>
      <c r="E22" s="195"/>
      <c r="F22" s="195"/>
      <c r="G22" s="196"/>
      <c r="H22" s="24"/>
      <c r="M22" s="46"/>
      <c r="N22" s="46"/>
      <c r="O22" s="46"/>
      <c r="P22" s="46"/>
    </row>
    <row r="23" spans="2:16" ht="21">
      <c r="B23" s="292" t="s">
        <v>605</v>
      </c>
      <c r="C23" s="293"/>
      <c r="D23" s="294"/>
      <c r="E23" s="298">
        <f>Base_Epave!F12</f>
        <v>0</v>
      </c>
      <c r="F23" s="299"/>
      <c r="G23" s="197"/>
      <c r="H23" s="24"/>
      <c r="M23" s="46"/>
      <c r="N23" s="46"/>
      <c r="O23" s="46"/>
      <c r="P23" s="46"/>
    </row>
    <row r="24" spans="2:16" ht="21">
      <c r="B24" s="194" t="s">
        <v>606</v>
      </c>
      <c r="C24" s="195"/>
      <c r="D24" s="195"/>
      <c r="E24" s="195"/>
      <c r="F24" s="195"/>
      <c r="G24" s="196"/>
      <c r="H24" s="24"/>
      <c r="M24" s="46"/>
      <c r="N24" s="46"/>
      <c r="O24" s="46"/>
      <c r="P24" s="46"/>
    </row>
    <row r="25" spans="2:16" ht="21" customHeight="1">
      <c r="B25" s="292" t="s">
        <v>151</v>
      </c>
      <c r="C25" s="293"/>
      <c r="D25" s="294"/>
      <c r="E25" s="300">
        <f>Base_Epave!F11</f>
        <v>0</v>
      </c>
      <c r="F25" s="301"/>
      <c r="G25" s="197"/>
      <c r="H25" s="24"/>
      <c r="M25" s="46"/>
      <c r="N25" s="46"/>
      <c r="O25" s="46"/>
      <c r="P25" s="46"/>
    </row>
    <row r="26" spans="2:16" ht="21" customHeight="1">
      <c r="B26" s="194" t="s">
        <v>123</v>
      </c>
      <c r="C26" s="195"/>
      <c r="D26" s="195"/>
      <c r="E26" s="195"/>
      <c r="F26" s="195"/>
      <c r="G26" s="196"/>
      <c r="H26" s="24"/>
      <c r="M26" s="46"/>
      <c r="N26" s="46"/>
      <c r="O26" s="46"/>
      <c r="P26" s="46"/>
    </row>
    <row r="27" spans="2:16" ht="21">
      <c r="B27" s="292" t="s">
        <v>607</v>
      </c>
      <c r="C27" s="293"/>
      <c r="D27" s="294"/>
      <c r="E27" s="300" t="b">
        <f>Base_Epave!F13</f>
        <v>0</v>
      </c>
      <c r="F27" s="301"/>
      <c r="G27" s="197"/>
      <c r="H27" s="24"/>
      <c r="M27" s="46"/>
      <c r="N27" s="46"/>
      <c r="O27" s="46"/>
      <c r="P27" s="46"/>
    </row>
    <row r="28" spans="2:16" ht="21">
      <c r="B28" s="194" t="s">
        <v>123</v>
      </c>
      <c r="C28" s="195"/>
      <c r="D28" s="195"/>
      <c r="E28" s="195"/>
      <c r="F28" s="195"/>
      <c r="G28" s="196"/>
      <c r="H28" s="24"/>
      <c r="M28" s="46"/>
      <c r="N28" s="46"/>
      <c r="O28" s="46"/>
      <c r="P28" s="46"/>
    </row>
    <row r="29" spans="2:16" ht="21">
      <c r="B29" s="292" t="s">
        <v>608</v>
      </c>
      <c r="C29" s="293"/>
      <c r="D29" s="294"/>
      <c r="E29" s="298">
        <f>Base_Epave!F16</f>
        <v>0</v>
      </c>
      <c r="F29" s="299"/>
      <c r="G29" s="197"/>
      <c r="H29" s="24"/>
      <c r="M29" s="46"/>
      <c r="N29" s="46"/>
      <c r="O29" s="46"/>
      <c r="P29" s="46"/>
    </row>
    <row r="30" spans="2:16" ht="21">
      <c r="B30" s="194" t="s">
        <v>123</v>
      </c>
      <c r="C30" s="195"/>
      <c r="D30" s="195"/>
      <c r="E30" s="195"/>
      <c r="F30" s="195"/>
      <c r="G30" s="196"/>
      <c r="H30" s="24"/>
      <c r="M30" s="46"/>
      <c r="N30" s="46"/>
      <c r="O30" s="46"/>
      <c r="P30" s="46"/>
    </row>
    <row r="31" spans="2:16" ht="21">
      <c r="B31" s="292" t="s">
        <v>623</v>
      </c>
      <c r="C31" s="293"/>
      <c r="D31" s="198">
        <f>Base_Epave!E17</f>
        <v>0.15</v>
      </c>
      <c r="E31" s="298">
        <f>Base_Epave!F17</f>
        <v>0</v>
      </c>
      <c r="F31" s="299"/>
      <c r="G31" s="197"/>
      <c r="H31" s="24"/>
      <c r="M31" s="46"/>
      <c r="N31" s="46"/>
      <c r="O31" s="46"/>
      <c r="P31" s="46"/>
    </row>
    <row r="32" spans="2:16" ht="23.25" customHeight="1">
      <c r="B32" s="194"/>
      <c r="C32" s="195"/>
      <c r="D32" s="195"/>
      <c r="E32" s="195"/>
      <c r="F32" s="195"/>
      <c r="G32" s="196"/>
      <c r="H32" s="24"/>
    </row>
    <row r="33" spans="1:9" ht="21.75" thickBot="1">
      <c r="B33" s="306" t="s">
        <v>600</v>
      </c>
      <c r="C33" s="307"/>
      <c r="D33" s="308"/>
      <c r="E33" s="304">
        <f>IF(E29&gt;0,E29-E31,E27-E31)</f>
        <v>0</v>
      </c>
      <c r="F33" s="305"/>
      <c r="G33" s="199"/>
      <c r="H33" s="24"/>
    </row>
    <row r="34" spans="1:9" ht="15.75">
      <c r="B34" s="130"/>
      <c r="C34" s="131"/>
      <c r="D34" s="131"/>
      <c r="E34" s="200"/>
      <c r="F34" s="201"/>
      <c r="G34" s="202"/>
      <c r="H34" s="24"/>
    </row>
    <row r="35" spans="1:9" ht="19.5">
      <c r="A35" s="24"/>
      <c r="B35" s="203" t="s">
        <v>3</v>
      </c>
      <c r="C35" s="309"/>
      <c r="D35" s="309"/>
      <c r="E35" s="309"/>
      <c r="F35" s="309"/>
      <c r="G35" s="310"/>
      <c r="H35" s="24"/>
      <c r="I35" s="24"/>
    </row>
    <row r="36" spans="1:9" ht="15.75">
      <c r="A36" s="24"/>
      <c r="B36" s="153"/>
      <c r="C36" s="220"/>
      <c r="D36" s="220"/>
      <c r="E36" s="220"/>
      <c r="F36" s="220"/>
      <c r="G36" s="221"/>
      <c r="H36" s="24"/>
      <c r="I36" s="24"/>
    </row>
    <row r="37" spans="1:9" ht="15.75">
      <c r="A37" s="24"/>
      <c r="B37" s="153"/>
      <c r="C37" s="222"/>
      <c r="D37" s="222"/>
      <c r="E37" s="222"/>
      <c r="F37" s="222"/>
      <c r="G37" s="223"/>
      <c r="H37" s="24"/>
      <c r="I37" s="24"/>
    </row>
    <row r="38" spans="1:9" ht="15.75" customHeight="1">
      <c r="A38" s="24"/>
      <c r="B38" s="154"/>
      <c r="C38" s="224"/>
      <c r="D38" s="224"/>
      <c r="E38" s="224"/>
      <c r="F38" s="224"/>
      <c r="G38" s="225"/>
      <c r="H38" s="24"/>
      <c r="I38" s="24"/>
    </row>
    <row r="39" spans="1:9" ht="15.75">
      <c r="A39" s="24"/>
      <c r="B39" s="153"/>
      <c r="C39" s="222"/>
      <c r="D39" s="222"/>
      <c r="E39" s="222"/>
      <c r="F39" s="222"/>
      <c r="G39" s="223"/>
      <c r="H39" s="24"/>
      <c r="I39" s="24"/>
    </row>
    <row r="40" spans="1:9" ht="15.75">
      <c r="A40" s="24"/>
      <c r="B40" s="153"/>
      <c r="C40" s="222"/>
      <c r="D40" s="222"/>
      <c r="E40" s="222"/>
      <c r="F40" s="222"/>
      <c r="G40" s="223"/>
      <c r="H40" s="24"/>
    </row>
    <row r="41" spans="1:9" ht="16.5" thickBot="1">
      <c r="A41" s="24"/>
      <c r="B41" s="181"/>
      <c r="C41" s="182"/>
      <c r="D41" s="302"/>
      <c r="E41" s="302"/>
      <c r="F41" s="302"/>
      <c r="G41" s="303"/>
      <c r="H41" s="24"/>
    </row>
    <row r="42" spans="1:9" ht="15.75">
      <c r="B42" s="130"/>
      <c r="C42" s="131"/>
      <c r="D42" s="52"/>
      <c r="E42" s="52"/>
      <c r="F42" s="52"/>
      <c r="G42" s="204"/>
      <c r="H42" s="24"/>
    </row>
    <row r="43" spans="1:9" ht="18" customHeight="1">
      <c r="B43" s="99"/>
      <c r="C43" s="24"/>
      <c r="D43" s="24"/>
      <c r="E43" s="24"/>
      <c r="F43" s="24"/>
      <c r="G43" s="132"/>
    </row>
    <row r="44" spans="1:9" ht="15" customHeight="1">
      <c r="B44" s="99"/>
      <c r="C44" s="24"/>
      <c r="D44" s="24"/>
      <c r="E44" s="24"/>
      <c r="F44" s="24"/>
      <c r="G44" s="132"/>
    </row>
    <row r="45" spans="1:9" ht="15" customHeight="1">
      <c r="B45" s="99"/>
      <c r="C45" s="24"/>
      <c r="D45" s="24"/>
      <c r="E45" s="24"/>
      <c r="F45" s="24"/>
      <c r="G45" s="132"/>
    </row>
    <row r="46" spans="1:9" ht="15" customHeight="1">
      <c r="B46" s="99"/>
      <c r="C46" s="24"/>
      <c r="D46" s="24"/>
      <c r="E46" s="24"/>
      <c r="F46" s="24"/>
      <c r="G46" s="132"/>
    </row>
    <row r="47" spans="1:9" ht="15" customHeight="1">
      <c r="B47" s="99"/>
      <c r="C47" s="24"/>
      <c r="D47" s="24"/>
      <c r="E47" s="24"/>
      <c r="F47" s="24"/>
      <c r="G47" s="132"/>
    </row>
    <row r="48" spans="1:9" ht="15.75" customHeight="1">
      <c r="B48" s="99"/>
      <c r="C48" s="24"/>
      <c r="D48" s="24"/>
      <c r="E48" s="24"/>
      <c r="F48" s="24"/>
      <c r="G48" s="132"/>
    </row>
    <row r="49" spans="1:8">
      <c r="B49" s="99"/>
      <c r="C49" s="24"/>
      <c r="D49" s="24"/>
      <c r="E49" s="24"/>
      <c r="F49" s="24"/>
      <c r="G49" s="132"/>
    </row>
    <row r="50" spans="1:8" ht="15" customHeight="1">
      <c r="B50" s="99"/>
      <c r="C50" s="24"/>
      <c r="D50" s="24"/>
      <c r="E50" s="24"/>
      <c r="F50" s="24"/>
      <c r="G50" s="132"/>
    </row>
    <row r="51" spans="1:8" ht="15" customHeight="1">
      <c r="B51" s="99"/>
      <c r="C51" s="24"/>
      <c r="D51" s="24"/>
      <c r="E51" s="24"/>
      <c r="F51" s="24"/>
      <c r="G51" s="132"/>
    </row>
    <row r="52" spans="1:8" ht="15" customHeight="1">
      <c r="B52" s="99"/>
      <c r="C52" s="24"/>
      <c r="D52" s="24"/>
      <c r="E52" s="24"/>
      <c r="F52" s="24"/>
      <c r="G52" s="132"/>
    </row>
    <row r="53" spans="1:8" ht="15" customHeight="1">
      <c r="B53" s="99"/>
      <c r="C53" s="24"/>
      <c r="D53" s="24"/>
      <c r="E53" s="24"/>
      <c r="F53" s="24"/>
      <c r="G53" s="132"/>
    </row>
    <row r="54" spans="1:8" ht="15" customHeight="1">
      <c r="B54" s="99"/>
      <c r="C54" s="24"/>
      <c r="D54" s="24"/>
      <c r="E54" s="24"/>
      <c r="F54" s="24"/>
      <c r="G54" s="132"/>
    </row>
    <row r="55" spans="1:8" s="62" customFormat="1" ht="15.75" customHeight="1" thickBot="1">
      <c r="A55" s="61">
        <v>11</v>
      </c>
      <c r="B55" s="133"/>
      <c r="C55" s="134"/>
      <c r="D55" s="134"/>
      <c r="E55" s="134"/>
      <c r="F55" s="134"/>
      <c r="G55" s="135"/>
    </row>
    <row r="58" spans="1:8">
      <c r="H58" s="25" t="s">
        <v>153</v>
      </c>
    </row>
    <row r="89" spans="8:8">
      <c r="H89" s="24"/>
    </row>
    <row r="90" spans="8:8">
      <c r="H90" s="24"/>
    </row>
    <row r="91" spans="8:8">
      <c r="H91" s="24"/>
    </row>
    <row r="92" spans="8:8">
      <c r="H92" s="24"/>
    </row>
    <row r="93" spans="8:8">
      <c r="H93" s="24"/>
    </row>
    <row r="94" spans="8:8">
      <c r="H94" s="24"/>
    </row>
    <row r="95" spans="8:8">
      <c r="H95" s="24"/>
    </row>
    <row r="108" spans="8:8">
      <c r="H108" s="62"/>
    </row>
  </sheetData>
  <sheetProtection algorithmName="SHA-512" hashValue="BOE1NRY5bOjpHlyOIbNJBP6Su/Y5HHIwjNUoIGP0Xpsi4toySEG7zKnYuOYAU105Oa2i70eLIxUDywQMbTq7SQ==" saltValue="DWlqPbp5hbg4u0bu9SiuQQ==" spinCount="100000" sheet="1" objects="1" scenarios="1" selectLockedCells="1"/>
  <mergeCells count="40">
    <mergeCell ref="D41:G41"/>
    <mergeCell ref="C40:G40"/>
    <mergeCell ref="E33:F33"/>
    <mergeCell ref="B25:D25"/>
    <mergeCell ref="E25:F25"/>
    <mergeCell ref="B31:C31"/>
    <mergeCell ref="E31:F31"/>
    <mergeCell ref="B33:D33"/>
    <mergeCell ref="C35:G35"/>
    <mergeCell ref="C36:G36"/>
    <mergeCell ref="C37:G37"/>
    <mergeCell ref="C38:G38"/>
    <mergeCell ref="C39:G39"/>
    <mergeCell ref="E18:F18"/>
    <mergeCell ref="E19:F19"/>
    <mergeCell ref="E21:F21"/>
    <mergeCell ref="E23:F23"/>
    <mergeCell ref="E29:F29"/>
    <mergeCell ref="E27:F27"/>
    <mergeCell ref="B19:D19"/>
    <mergeCell ref="B21:D21"/>
    <mergeCell ref="B23:D23"/>
    <mergeCell ref="B27:D27"/>
    <mergeCell ref="B29:D29"/>
    <mergeCell ref="B6:G6"/>
    <mergeCell ref="C8:D8"/>
    <mergeCell ref="C9:D9"/>
    <mergeCell ref="C10:D10"/>
    <mergeCell ref="C11:D11"/>
    <mergeCell ref="F11:F12"/>
    <mergeCell ref="B13:E13"/>
    <mergeCell ref="F13:G13"/>
    <mergeCell ref="B14:G15"/>
    <mergeCell ref="B16:G16"/>
    <mergeCell ref="F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5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sqref="F8">
      <formula1>listeDR2</formula1>
    </dataValidation>
  </dataValidations>
  <pageMargins left="0.7" right="0.7" top="0.75" bottom="0.75" header="0.3" footer="0.3"/>
  <pageSetup paperSize="9" scale="75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OptionButton1">
          <controlPr defaultSize="0" autoLine="0" r:id="rId5">
            <anchor moveWithCells="1">
              <from>
                <xdr:col>6</xdr:col>
                <xdr:colOff>38100</xdr:colOff>
                <xdr:row>7</xdr:row>
                <xdr:rowOff>9525</xdr:rowOff>
              </from>
              <to>
                <xdr:col>8</xdr:col>
                <xdr:colOff>19050</xdr:colOff>
                <xdr:row>7</xdr:row>
                <xdr:rowOff>209550</xdr:rowOff>
              </to>
            </anchor>
          </controlPr>
        </control>
      </mc:Choice>
      <mc:Fallback>
        <control shapeId="5122" r:id="rId4" name="Option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G10" sqref="G10"/>
    </sheetView>
  </sheetViews>
  <sheetFormatPr baseColWidth="10" defaultRowHeight="15"/>
  <cols>
    <col min="1" max="1" width="11.42578125" style="9"/>
    <col min="2" max="2" width="17.28515625" style="10" bestFit="1" customWidth="1"/>
    <col min="3" max="3" width="19.140625" style="11" customWidth="1"/>
    <col min="4" max="4" width="11.42578125" style="11"/>
    <col min="5" max="5" width="19.7109375" style="11" customWidth="1"/>
    <col min="6" max="6" width="23" style="11" customWidth="1"/>
    <col min="7" max="7" width="11.42578125" style="10"/>
    <col min="8" max="8" width="23.28515625" style="10" customWidth="1"/>
    <col min="9" max="9" width="26" customWidth="1"/>
  </cols>
  <sheetData>
    <row r="1" spans="1:9">
      <c r="A1" s="9" t="s">
        <v>16</v>
      </c>
      <c r="B1" s="10" t="s">
        <v>17</v>
      </c>
      <c r="E1" s="12" t="s">
        <v>109</v>
      </c>
      <c r="F1" s="13" t="s">
        <v>110</v>
      </c>
    </row>
    <row r="2" spans="1:9">
      <c r="A2" s="9" t="s">
        <v>18</v>
      </c>
      <c r="B2" s="10" t="s">
        <v>19</v>
      </c>
      <c r="C2" s="12">
        <f>Modèle_Sinistre!$F$9</f>
        <v>16113</v>
      </c>
      <c r="E2" t="str">
        <f>IFERROR(VLOOKUP($C$2,$A$2:$B$262,2,FALSE),"")</f>
        <v xml:space="preserve">DR - Centre Ouest </v>
      </c>
      <c r="F2" s="11">
        <f t="array" ref="F2">IF(ROW()-1&gt;COUNTIF($B$1:$B$262,$C$3),"",INDEX($A$1:$A$262,SMALL(IF($B$1:$B$262=$C$3,ROW($A$1:$A$262),""),ROW()-1)))</f>
        <v>16001</v>
      </c>
      <c r="H2" s="10" t="s">
        <v>19</v>
      </c>
      <c r="I2" s="10" t="s">
        <v>19</v>
      </c>
    </row>
    <row r="3" spans="1:9">
      <c r="A3" s="9" t="s">
        <v>20</v>
      </c>
      <c r="B3" s="10" t="s">
        <v>19</v>
      </c>
      <c r="C3" s="14" t="str">
        <f>Modèle_Sinistre!$F$8</f>
        <v xml:space="preserve">DR - Centre Ouest </v>
      </c>
      <c r="F3" s="11">
        <f t="array" ref="F3">IF(ROW()-1&gt;COUNTIF($B$1:$B$262,$C$3),"",INDEX($A$1:$A$262,SMALL(IF($B$1:$B$262=$C$3,ROW($A$1:$A$262),""),ROW()-1)))</f>
        <v>16083</v>
      </c>
      <c r="H3" s="10" t="s">
        <v>31</v>
      </c>
      <c r="I3" s="10" t="s">
        <v>31</v>
      </c>
    </row>
    <row r="4" spans="1:9">
      <c r="A4" s="9" t="s">
        <v>21</v>
      </c>
      <c r="B4" s="10" t="s">
        <v>19</v>
      </c>
      <c r="F4" s="11">
        <f t="array" ref="F4">IF(ROW()-1&gt;COUNTIF($B$1:$B$262,$C$3),"",INDEX($A$1:$A$262,SMALL(IF($B$1:$B$262=$C$3,ROW($A$1:$A$262),""),ROW()-1)))</f>
        <v>16108</v>
      </c>
      <c r="H4" s="10" t="s">
        <v>59</v>
      </c>
      <c r="I4" s="10" t="s">
        <v>59</v>
      </c>
    </row>
    <row r="5" spans="1:9">
      <c r="A5" s="9">
        <v>12053</v>
      </c>
      <c r="B5" s="10" t="s">
        <v>19</v>
      </c>
      <c r="F5" s="11">
        <f t="array" ref="F5">IF(ROW()-1&gt;COUNTIF($B$1:$B$262,$C$3),"",INDEX($A$1:$A$262,SMALL(IF($B$1:$B$262=$C$3,ROW($A$1:$A$262),""),ROW()-1)))</f>
        <v>16113</v>
      </c>
      <c r="H5" s="10" t="s">
        <v>68</v>
      </c>
      <c r="I5" s="10" t="s">
        <v>68</v>
      </c>
    </row>
    <row r="6" spans="1:9">
      <c r="A6" s="9" t="s">
        <v>22</v>
      </c>
      <c r="B6" s="10" t="s">
        <v>19</v>
      </c>
      <c r="F6" s="11" t="str">
        <f t="array" ref="F6">IF(ROW()-1&gt;COUNTIF($B$1:$B$262,$C$3),"",INDEX($A$1:$A$262,SMALL(IF($B$1:$B$262=$C$3,ROW($A$1:$A$262),""),ROW()-1)))</f>
        <v>16113.1</v>
      </c>
      <c r="H6" s="10" t="s">
        <v>75</v>
      </c>
      <c r="I6" s="10" t="s">
        <v>75</v>
      </c>
    </row>
    <row r="7" spans="1:9">
      <c r="A7" s="9" t="s">
        <v>23</v>
      </c>
      <c r="B7" s="10" t="s">
        <v>19</v>
      </c>
      <c r="F7" s="11">
        <f t="array" ref="F7">IF(ROW()-1&gt;COUNTIF($B$1:$B$262,$C$3),"",INDEX($A$1:$A$262,SMALL(IF($B$1:$B$262=$C$3,ROW($A$1:$A$262),""),ROW()-1)))</f>
        <v>16117</v>
      </c>
      <c r="H7" s="10" t="s">
        <v>94</v>
      </c>
      <c r="I7" s="10" t="s">
        <v>94</v>
      </c>
    </row>
    <row r="8" spans="1:9">
      <c r="A8" s="9">
        <v>12185</v>
      </c>
      <c r="B8" s="10" t="s">
        <v>19</v>
      </c>
      <c r="F8" s="11">
        <f t="array" ref="F8">IF(ROW()-1&gt;COUNTIF($B$1:$B$262,$C$3),"",INDEX($A$1:$A$262,SMALL(IF($B$1:$B$262=$C$3,ROW($A$1:$A$262),""),ROW()-1)))</f>
        <v>16135</v>
      </c>
      <c r="H8" s="10" t="s">
        <v>104</v>
      </c>
      <c r="I8" s="10" t="s">
        <v>104</v>
      </c>
    </row>
    <row r="9" spans="1:9">
      <c r="A9" s="9">
        <v>21060</v>
      </c>
      <c r="B9" s="10" t="s">
        <v>19</v>
      </c>
      <c r="F9" s="11">
        <f t="array" ref="F9">IF(ROW()-1&gt;COUNTIF($B$1:$B$262,$C$3),"",INDEX($A$1:$A$262,SMALL(IF($B$1:$B$262=$C$3,ROW($A$1:$A$262),""),ROW()-1)))</f>
        <v>16140</v>
      </c>
    </row>
    <row r="10" spans="1:9">
      <c r="A10" s="9">
        <v>21085</v>
      </c>
      <c r="B10" s="10" t="s">
        <v>19</v>
      </c>
      <c r="F10" s="11">
        <f t="array" ref="F10">IF(ROW()-1&gt;COUNTIF($B$1:$B$262,$C$3),"",INDEX($A$1:$A$262,SMALL(IF($B$1:$B$262=$C$3,ROW($A$1:$A$262),""),ROW()-1)))</f>
        <v>16148</v>
      </c>
    </row>
    <row r="11" spans="1:9">
      <c r="A11" s="9" t="s">
        <v>24</v>
      </c>
      <c r="B11" s="10" t="s">
        <v>19</v>
      </c>
      <c r="F11" s="11">
        <f t="array" ref="F11">IF(ROW()-1&gt;COUNTIF($B$1:$B$262,$C$3),"",INDEX($A$1:$A$262,SMALL(IF($B$1:$B$262=$C$3,ROW($A$1:$A$262),""),ROW()-1)))</f>
        <v>16306</v>
      </c>
    </row>
    <row r="12" spans="1:9">
      <c r="A12" s="9">
        <v>21177</v>
      </c>
      <c r="B12" s="10" t="s">
        <v>19</v>
      </c>
      <c r="F12" s="11">
        <f t="array" ref="F12">IF(ROW()-1&gt;COUNTIF($B$1:$B$262,$C$3),"",INDEX($A$1:$A$262,SMALL(IF($B$1:$B$262=$C$3,ROW($A$1:$A$262),""),ROW()-1)))</f>
        <v>16150</v>
      </c>
      <c r="H12" s="10" t="s">
        <v>111</v>
      </c>
      <c r="I12" t="s">
        <v>112</v>
      </c>
    </row>
    <row r="13" spans="1:9">
      <c r="A13" s="9">
        <v>23036</v>
      </c>
      <c r="B13" s="10" t="s">
        <v>19</v>
      </c>
      <c r="F13" s="11" t="str">
        <f t="array" ref="F13">IF(ROW()-1&gt;COUNTIF($B$1:$B$262,$C$3),"",INDEX($A$1:$A$262,SMALL(IF($B$1:$B$262=$C$3,ROW($A$1:$A$262),""),ROW()-1)))</f>
        <v>16150.2</v>
      </c>
      <c r="H13" s="10" t="s">
        <v>113</v>
      </c>
      <c r="I13" t="s">
        <v>114</v>
      </c>
    </row>
    <row r="14" spans="1:9">
      <c r="A14" s="9">
        <v>23652</v>
      </c>
      <c r="B14" s="10" t="s">
        <v>19</v>
      </c>
      <c r="F14" s="11">
        <f t="array" ref="F14">IF(ROW()-1&gt;COUNTIF($B$1:$B$262,$C$3),"",INDEX($A$1:$A$262,SMALL(IF($B$1:$B$262=$C$3,ROW($A$1:$A$262),""),ROW()-1)))</f>
        <v>16170</v>
      </c>
      <c r="H14" s="10" t="s">
        <v>115</v>
      </c>
      <c r="I14" t="s">
        <v>116</v>
      </c>
    </row>
    <row r="15" spans="1:9">
      <c r="A15" s="9">
        <v>23658</v>
      </c>
      <c r="B15" s="10" t="s">
        <v>19</v>
      </c>
      <c r="F15" s="11">
        <f t="array" ref="F15">IF(ROW()-1&gt;COUNTIF($B$1:$B$262,$C$3),"",INDEX($A$1:$A$262,SMALL(IF($B$1:$B$262=$C$3,ROW($A$1:$A$262),""),ROW()-1)))</f>
        <v>16194</v>
      </c>
    </row>
    <row r="16" spans="1:9">
      <c r="A16" s="9">
        <v>23179</v>
      </c>
      <c r="B16" s="10" t="s">
        <v>19</v>
      </c>
      <c r="F16" s="11">
        <f t="array" ref="F16">IF(ROW()-1&gt;COUNTIF($B$1:$B$262,$C$3),"",INDEX($A$1:$A$262,SMALL(IF($B$1:$B$262=$C$3,ROW($A$1:$A$262),""),ROW()-1)))</f>
        <v>16206</v>
      </c>
    </row>
    <row r="17" spans="1:6">
      <c r="A17" s="9">
        <v>23203</v>
      </c>
      <c r="B17" s="10" t="s">
        <v>19</v>
      </c>
      <c r="F17" s="11">
        <f t="array" ref="F17">IF(ROW()-1&gt;COUNTIF($B$1:$B$262,$C$3),"",INDEX($A$1:$A$262,SMALL(IF($B$1:$B$262=$C$3,ROW($A$1:$A$262),""),ROW()-1)))</f>
        <v>16708</v>
      </c>
    </row>
    <row r="18" spans="1:6">
      <c r="A18" s="9">
        <v>23252</v>
      </c>
      <c r="B18" s="10" t="s">
        <v>19</v>
      </c>
      <c r="F18" s="11">
        <f t="array" ref="F18">IF(ROW()-1&gt;COUNTIF($B$1:$B$262,$C$3),"",INDEX($A$1:$A$262,SMALL(IF($B$1:$B$262=$C$3,ROW($A$1:$A$262),""),ROW()-1)))</f>
        <v>16211</v>
      </c>
    </row>
    <row r="19" spans="1:6">
      <c r="A19" s="9" t="s">
        <v>25</v>
      </c>
      <c r="B19" s="10" t="s">
        <v>19</v>
      </c>
      <c r="F19" s="11">
        <f t="array" ref="F19">IF(ROW()-1&gt;COUNTIF($B$1:$B$262,$C$3),"",INDEX($A$1:$A$262,SMALL(IF($B$1:$B$262=$C$3,ROW($A$1:$A$262),""),ROW()-1)))</f>
        <v>16237</v>
      </c>
    </row>
    <row r="20" spans="1:6">
      <c r="A20" s="9">
        <v>23277</v>
      </c>
      <c r="B20" s="10" t="s">
        <v>19</v>
      </c>
      <c r="F20" s="11">
        <f t="array" ref="F20">IF(ROW()-1&gt;COUNTIF($B$1:$B$262,$C$3),"",INDEX($A$1:$A$262,SMALL(IF($B$1:$B$262=$C$3,ROW($A$1:$A$262),""),ROW()-1)))</f>
        <v>16249</v>
      </c>
    </row>
    <row r="21" spans="1:6">
      <c r="A21" s="9">
        <v>23549</v>
      </c>
      <c r="B21" s="10" t="s">
        <v>19</v>
      </c>
      <c r="F21" s="11">
        <f t="array" ref="F21">IF(ROW()-1&gt;COUNTIF($B$1:$B$262,$C$3),"",INDEX($A$1:$A$262,SMALL(IF($B$1:$B$262=$C$3,ROW($A$1:$A$262),""),ROW()-1)))</f>
        <v>16762</v>
      </c>
    </row>
    <row r="22" spans="1:6">
      <c r="A22" s="9" t="s">
        <v>26</v>
      </c>
      <c r="B22" s="10" t="s">
        <v>19</v>
      </c>
      <c r="F22" s="11">
        <f t="array" ref="F22">IF(ROW()-1&gt;COUNTIF($B$1:$B$262,$C$3),"",INDEX($A$1:$A$262,SMALL(IF($B$1:$B$262=$C$3,ROW($A$1:$A$262),""),ROW()-1)))</f>
        <v>16281</v>
      </c>
    </row>
    <row r="23" spans="1:6">
      <c r="A23" s="9">
        <v>23719</v>
      </c>
      <c r="B23" s="10" t="s">
        <v>19</v>
      </c>
      <c r="F23" s="11">
        <f t="array" ref="F23">IF(ROW()-1&gt;COUNTIF($B$1:$B$262,$C$3),"",INDEX($A$1:$A$262,SMALL(IF($B$1:$B$262=$C$3,ROW($A$1:$A$262),""),ROW()-1)))</f>
        <v>16507</v>
      </c>
    </row>
    <row r="24" spans="1:6">
      <c r="A24" s="9">
        <v>23279</v>
      </c>
      <c r="B24" s="10" t="s">
        <v>19</v>
      </c>
      <c r="F24" s="11" t="str">
        <f t="array" ref="F24">IF(ROW()-1&gt;COUNTIF($B$1:$B$262,$C$3),"",INDEX($A$1:$A$262,SMALL(IF($B$1:$B$262=$C$3,ROW($A$1:$A$262),""),ROW()-1)))</f>
        <v>16507.1</v>
      </c>
    </row>
    <row r="25" spans="1:6">
      <c r="A25" s="9">
        <v>23302</v>
      </c>
      <c r="B25" s="10" t="s">
        <v>19</v>
      </c>
      <c r="F25" s="11">
        <f t="array" ref="F25">IF(ROW()-1&gt;COUNTIF($B$1:$B$262,$C$3),"",INDEX($A$1:$A$262,SMALL(IF($B$1:$B$262=$C$3,ROW($A$1:$A$262),""),ROW()-1)))</f>
        <v>16531</v>
      </c>
    </row>
    <row r="26" spans="1:6">
      <c r="A26" s="9">
        <v>24065</v>
      </c>
      <c r="B26" s="10" t="s">
        <v>19</v>
      </c>
      <c r="F26" s="11">
        <f t="array" ref="F26">IF(ROW()-1&gt;COUNTIF($B$1:$B$262,$C$3),"",INDEX($A$1:$A$262,SMALL(IF($B$1:$B$262=$C$3,ROW($A$1:$A$262),""),ROW()-1)))</f>
        <v>16570</v>
      </c>
    </row>
    <row r="27" spans="1:6">
      <c r="A27" s="9" t="s">
        <v>27</v>
      </c>
      <c r="B27" s="10" t="s">
        <v>19</v>
      </c>
      <c r="F27" s="11">
        <f t="array" ref="F27">IF(ROW()-1&gt;COUNTIF($B$1:$B$262,$C$3),"",INDEX($A$1:$A$262,SMALL(IF($B$1:$B$262=$C$3,ROW($A$1:$A$262),""),ROW()-1)))</f>
        <v>16584</v>
      </c>
    </row>
    <row r="28" spans="1:6">
      <c r="A28" s="9">
        <v>24129</v>
      </c>
      <c r="B28" s="10" t="s">
        <v>19</v>
      </c>
      <c r="F28" s="11" t="str">
        <f t="array" ref="F28">IF(ROW()-1&gt;COUNTIF($B$1:$B$262,$C$3),"",INDEX($A$1:$A$262,SMALL(IF($B$1:$B$262=$C$3,ROW($A$1:$A$262),""),ROW()-1)))</f>
        <v>16584.1</v>
      </c>
    </row>
    <row r="29" spans="1:6">
      <c r="A29" s="9" t="s">
        <v>28</v>
      </c>
      <c r="B29" s="10" t="s">
        <v>19</v>
      </c>
      <c r="F29" s="11">
        <f t="array" ref="F29">IF(ROW()-1&gt;COUNTIF($B$1:$B$262,$C$3),"",INDEX($A$1:$A$262,SMALL(IF($B$1:$B$262=$C$3,ROW($A$1:$A$262),""),ROW()-1)))</f>
        <v>16638</v>
      </c>
    </row>
    <row r="30" spans="1:6">
      <c r="A30" s="9">
        <v>24192</v>
      </c>
      <c r="B30" s="10" t="s">
        <v>19</v>
      </c>
      <c r="F30" s="11">
        <f t="array" ref="F30">IF(ROW()-1&gt;COUNTIF($B$1:$B$262,$C$3),"",INDEX($A$1:$A$262,SMALL(IF($B$1:$B$262=$C$3,ROW($A$1:$A$262),""),ROW()-1)))</f>
        <v>16645</v>
      </c>
    </row>
    <row r="31" spans="1:6">
      <c r="A31" s="9" t="s">
        <v>29</v>
      </c>
      <c r="B31" s="10" t="s">
        <v>19</v>
      </c>
      <c r="F31" s="11">
        <f t="array" ref="F31">IF(ROW()-1&gt;COUNTIF($B$1:$B$262,$C$3),"",INDEX($A$1:$A$262,SMALL(IF($B$1:$B$262=$C$3,ROW($A$1:$A$262),""),ROW()-1)))</f>
        <v>16656</v>
      </c>
    </row>
    <row r="32" spans="1:6">
      <c r="A32" s="9">
        <v>24282</v>
      </c>
      <c r="B32" s="10" t="s">
        <v>19</v>
      </c>
      <c r="F32" s="11" t="str">
        <f t="array" ref="F32">IF(ROW()-1&gt;COUNTIF($B$1:$B$262,$C$3),"",INDEX($A$1:$A$262,SMALL(IF($B$1:$B$262=$C$3,ROW($A$1:$A$262),""),ROW()-1)))</f>
        <v>16656.1</v>
      </c>
    </row>
    <row r="33" spans="1:6">
      <c r="A33" s="9">
        <v>24287</v>
      </c>
      <c r="B33" s="10" t="s">
        <v>19</v>
      </c>
      <c r="F33" s="11">
        <f t="array" ref="F33">IF(ROW()-1&gt;COUNTIF($B$1:$B$262,$C$3),"",INDEX($A$1:$A$262,SMALL(IF($B$1:$B$262=$C$3,ROW($A$1:$A$262),""),ROW()-1)))</f>
        <v>42273</v>
      </c>
    </row>
    <row r="34" spans="1:6">
      <c r="A34" s="9">
        <v>39037</v>
      </c>
      <c r="B34" s="10" t="s">
        <v>19</v>
      </c>
      <c r="F34" s="11">
        <f t="array" ref="F34">IF(ROW()-1&gt;COUNTIF($B$1:$B$262,$C$3),"",INDEX($A$1:$A$262,SMALL(IF($B$1:$B$262=$C$3,ROW($A$1:$A$262),""),ROW()-1)))</f>
        <v>42775</v>
      </c>
    </row>
    <row r="35" spans="1:6">
      <c r="A35" s="9">
        <v>40664</v>
      </c>
      <c r="B35" s="10" t="s">
        <v>19</v>
      </c>
      <c r="F35" s="11">
        <f t="array" ref="F35">IF(ROW()-1&gt;COUNTIF($B$1:$B$262,$C$3),"",INDEX($A$1:$A$262,SMALL(IF($B$1:$B$262=$C$3,ROW($A$1:$A$262),""),ROW()-1)))</f>
        <v>42506</v>
      </c>
    </row>
    <row r="36" spans="1:6">
      <c r="A36" s="9">
        <v>41029</v>
      </c>
      <c r="B36" s="10" t="s">
        <v>19</v>
      </c>
      <c r="F36" s="11" t="str">
        <f t="array" ref="F36">IF(ROW()-1&gt;COUNTIF($B$1:$B$262,$C$3),"",INDEX($A$1:$A$262,SMALL(IF($B$1:$B$262=$C$3,ROW($A$1:$A$262),""),ROW()-1)))</f>
        <v/>
      </c>
    </row>
    <row r="37" spans="1:6">
      <c r="A37" s="9">
        <v>41707</v>
      </c>
      <c r="B37" s="10" t="s">
        <v>19</v>
      </c>
      <c r="F37" s="11" t="str">
        <f t="array" ref="F37">IF(ROW()-1&gt;COUNTIF($B$1:$B$262,$C$3),"",INDEX($A$1:$A$262,SMALL(IF($B$1:$B$262=$C$3,ROW($A$1:$A$262),""),ROW()-1)))</f>
        <v/>
      </c>
    </row>
    <row r="38" spans="1:6">
      <c r="A38" s="9">
        <v>41248</v>
      </c>
      <c r="B38" s="10" t="s">
        <v>19</v>
      </c>
      <c r="F38" s="11" t="str">
        <f t="array" ref="F38">IF(ROW()-1&gt;COUNTIF($B$1:$B$262,$C$3),"",INDEX($A$1:$A$262,SMALL(IF($B$1:$B$262=$C$3,ROW($A$1:$A$262),""),ROW()-1)))</f>
        <v/>
      </c>
    </row>
    <row r="39" spans="1:6">
      <c r="A39" s="9" t="s">
        <v>30</v>
      </c>
      <c r="B39" s="10" t="s">
        <v>31</v>
      </c>
      <c r="F39" s="11" t="str">
        <f t="array" ref="F39">IF(ROW()-1&gt;COUNTIF($B$1:$B$262,$C$3),"",INDEX($A$1:$A$262,SMALL(IF($B$1:$B$262=$C$3,ROW($A$1:$A$262),""),ROW()-1)))</f>
        <v/>
      </c>
    </row>
    <row r="40" spans="1:6">
      <c r="A40" s="9" t="s">
        <v>32</v>
      </c>
      <c r="B40" s="10" t="s">
        <v>31</v>
      </c>
      <c r="F40" s="11" t="str">
        <f t="array" ref="F40">IF(ROW()-1&gt;COUNTIF($B$1:$B$262,$C$3),"",INDEX($A$1:$A$262,SMALL(IF($B$1:$B$262=$C$3,ROW($A$1:$A$262),""),ROW()-1)))</f>
        <v/>
      </c>
    </row>
    <row r="41" spans="1:6">
      <c r="A41" s="9" t="s">
        <v>33</v>
      </c>
      <c r="B41" s="10" t="s">
        <v>31</v>
      </c>
      <c r="F41" s="11" t="str">
        <f t="array" ref="F41">IF(ROW()-1&gt;COUNTIF($B$1:$B$262,$C$3),"",INDEX($A$1:$A$262,SMALL(IF($B$1:$B$262=$C$3,ROW($A$1:$A$262),""),ROW()-1)))</f>
        <v/>
      </c>
    </row>
    <row r="42" spans="1:6">
      <c r="A42" s="9" t="s">
        <v>34</v>
      </c>
      <c r="B42" s="10" t="s">
        <v>31</v>
      </c>
      <c r="F42" s="11" t="str">
        <f t="array" ref="F42">IF(ROW()-1&gt;COUNTIF($B$1:$B$262,$C$3),"",INDEX($A$1:$A$262,SMALL(IF($B$1:$B$262=$C$3,ROW($A$1:$A$262),""),ROW()-1)))</f>
        <v/>
      </c>
    </row>
    <row r="43" spans="1:6">
      <c r="A43" s="9" t="s">
        <v>35</v>
      </c>
      <c r="B43" s="10" t="s">
        <v>31</v>
      </c>
      <c r="F43" s="11" t="str">
        <f t="array" ref="F43">IF(ROW()-1&gt;COUNTIF($B$1:$B$262,$C$3),"",INDEX($A$1:$A$262,SMALL(IF($B$1:$B$262=$C$3,ROW($A$1:$A$262),""),ROW()-1)))</f>
        <v/>
      </c>
    </row>
    <row r="44" spans="1:6">
      <c r="A44" s="9" t="s">
        <v>36</v>
      </c>
      <c r="B44" s="10" t="s">
        <v>31</v>
      </c>
      <c r="F44" s="11" t="str">
        <f t="array" ref="F44">IF(ROW()-1&gt;COUNTIF($B$1:$B$262,$C$3),"",INDEX($A$1:$A$262,SMALL(IF($B$1:$B$262=$C$3,ROW($A$1:$A$262),""),ROW()-1)))</f>
        <v/>
      </c>
    </row>
    <row r="45" spans="1:6">
      <c r="A45" s="9" t="s">
        <v>37</v>
      </c>
      <c r="B45" s="10" t="s">
        <v>31</v>
      </c>
      <c r="F45" s="11" t="str">
        <f t="array" ref="F45">IF(ROW()-1&gt;COUNTIF($B$1:$B$262,$C$3),"",INDEX($A$1:$A$262,SMALL(IF($B$1:$B$262=$C$3,ROW($A$1:$A$262),""),ROW()-1)))</f>
        <v/>
      </c>
    </row>
    <row r="46" spans="1:6">
      <c r="A46" s="9" t="s">
        <v>38</v>
      </c>
      <c r="B46" s="10" t="s">
        <v>31</v>
      </c>
      <c r="F46" s="11" t="str">
        <f t="array" ref="F46">IF(ROW()-1&gt;COUNTIF($B$1:$B$262,$C$3),"",INDEX($A$1:$A$262,SMALL(IF($B$1:$B$262=$C$3,ROW($A$1:$A$262),""),ROW()-1)))</f>
        <v/>
      </c>
    </row>
    <row r="47" spans="1:6">
      <c r="A47" s="9" t="s">
        <v>39</v>
      </c>
      <c r="B47" s="10" t="s">
        <v>31</v>
      </c>
      <c r="F47" s="11" t="str">
        <f t="array" ref="F47">IF(ROW()-1&gt;COUNTIF($B$1:$B$262,$C$3),"",INDEX($A$1:$A$262,SMALL(IF($B$1:$B$262=$C$3,ROW($A$1:$A$262),""),ROW()-1)))</f>
        <v/>
      </c>
    </row>
    <row r="48" spans="1:6">
      <c r="A48" s="9" t="s">
        <v>40</v>
      </c>
      <c r="B48" s="10" t="s">
        <v>31</v>
      </c>
      <c r="F48" s="11" t="str">
        <f t="array" ref="F48">IF(ROW()-1&gt;COUNTIF($B$1:$B$262,$C$3),"",INDEX($A$1:$A$262,SMALL(IF($B$1:$B$262=$C$3,ROW($A$1:$A$262),""),ROW()-1)))</f>
        <v/>
      </c>
    </row>
    <row r="49" spans="1:6">
      <c r="A49" s="9" t="s">
        <v>41</v>
      </c>
      <c r="B49" s="10" t="s">
        <v>31</v>
      </c>
      <c r="F49" s="11" t="str">
        <f t="array" ref="F49">IF(ROW()-1&gt;COUNTIF($B$1:$B$262,$C$3),"",INDEX($A$1:$A$262,SMALL(IF($B$1:$B$262=$C$3,ROW($A$1:$A$262),""),ROW()-1)))</f>
        <v/>
      </c>
    </row>
    <row r="50" spans="1:6">
      <c r="A50" s="9" t="s">
        <v>42</v>
      </c>
      <c r="B50" s="10" t="s">
        <v>31</v>
      </c>
      <c r="F50" s="11" t="str">
        <f t="array" ref="F50">IF(ROW()-1&gt;COUNTIF($B$1:$B$262,$C$3),"",INDEX($A$1:$A$262,SMALL(IF($B$1:$B$262=$C$3,ROW($A$1:$A$262),""),ROW()-1)))</f>
        <v/>
      </c>
    </row>
    <row r="51" spans="1:6">
      <c r="A51" s="9" t="s">
        <v>43</v>
      </c>
      <c r="B51" s="10" t="s">
        <v>31</v>
      </c>
      <c r="F51" s="11" t="str">
        <f t="array" ref="F51">IF(ROW()-1&gt;COUNTIF($B$1:$B$262,$C$3),"",INDEX($A$1:$A$262,SMALL(IF($B$1:$B$262=$C$3,ROW($A$1:$A$262),""),ROW()-1)))</f>
        <v/>
      </c>
    </row>
    <row r="52" spans="1:6">
      <c r="A52" s="9">
        <v>18022</v>
      </c>
      <c r="B52" s="10" t="s">
        <v>31</v>
      </c>
      <c r="F52" s="11" t="str">
        <f t="array" ref="F52">IF(ROW()-1&gt;COUNTIF($B$1:$B$262,$C$3),"",INDEX($A$1:$A$262,SMALL(IF($B$1:$B$262=$C$3,ROW($A$1:$A$262),""),ROW()-1)))</f>
        <v/>
      </c>
    </row>
    <row r="53" spans="1:6">
      <c r="A53" s="9" t="s">
        <v>44</v>
      </c>
      <c r="B53" s="10" t="s">
        <v>31</v>
      </c>
      <c r="F53" s="11" t="str">
        <f t="array" ref="F53">IF(ROW()-1&gt;COUNTIF($B$1:$B$262,$C$3),"",INDEX($A$1:$A$262,SMALL(IF($B$1:$B$262=$C$3,ROW($A$1:$A$262),""),ROW()-1)))</f>
        <v/>
      </c>
    </row>
    <row r="54" spans="1:6">
      <c r="A54" s="9" t="s">
        <v>45</v>
      </c>
      <c r="B54" s="10" t="s">
        <v>31</v>
      </c>
      <c r="F54" s="11" t="str">
        <f t="array" ref="F54">IF(ROW()-1&gt;COUNTIF($B$1:$B$262,$C$3),"",INDEX($A$1:$A$262,SMALL(IF($B$1:$B$262=$C$3,ROW($A$1:$A$262),""),ROW()-1)))</f>
        <v/>
      </c>
    </row>
    <row r="55" spans="1:6">
      <c r="A55" s="9">
        <v>19010</v>
      </c>
      <c r="B55" s="10" t="s">
        <v>31</v>
      </c>
      <c r="F55" s="11" t="str">
        <f t="array" ref="F55">IF(ROW()-1&gt;COUNTIF($B$1:$B$262,$C$3),"",INDEX($A$1:$A$262,SMALL(IF($B$1:$B$262=$C$3,ROW($A$1:$A$262),""),ROW()-1)))</f>
        <v/>
      </c>
    </row>
    <row r="56" spans="1:6">
      <c r="A56" s="9" t="s">
        <v>46</v>
      </c>
      <c r="B56" s="10" t="s">
        <v>31</v>
      </c>
      <c r="F56" s="11" t="str">
        <f t="array" ref="F56">IF(ROW()-1&gt;COUNTIF($B$1:$B$262,$C$3),"",INDEX($A$1:$A$262,SMALL(IF($B$1:$B$262=$C$3,ROW($A$1:$A$262),""),ROW()-1)))</f>
        <v/>
      </c>
    </row>
    <row r="57" spans="1:6">
      <c r="A57" s="9">
        <v>19011</v>
      </c>
      <c r="B57" s="10" t="s">
        <v>31</v>
      </c>
      <c r="F57" s="11" t="str">
        <f t="array" ref="F57">IF(ROW()-1&gt;COUNTIF($B$1:$B$262,$C$3),"",INDEX($A$1:$A$262,SMALL(IF($B$1:$B$262=$C$3,ROW($A$1:$A$262),""),ROW()-1)))</f>
        <v/>
      </c>
    </row>
    <row r="58" spans="1:6">
      <c r="A58" s="9">
        <v>19039</v>
      </c>
      <c r="B58" s="10" t="s">
        <v>31</v>
      </c>
      <c r="F58" s="11" t="str">
        <f t="array" ref="F58">IF(ROW()-1&gt;COUNTIF($B$1:$B$262,$C$3),"",INDEX($A$1:$A$262,SMALL(IF($B$1:$B$262=$C$3,ROW($A$1:$A$262),""),ROW()-1)))</f>
        <v/>
      </c>
    </row>
    <row r="59" spans="1:6">
      <c r="A59" s="9" t="s">
        <v>47</v>
      </c>
      <c r="B59" s="10" t="s">
        <v>31</v>
      </c>
      <c r="F59" s="11" t="str">
        <f t="array" ref="F59">IF(ROW()-1&gt;COUNTIF($B$1:$B$262,$C$3),"",INDEX($A$1:$A$262,SMALL(IF($B$1:$B$262=$C$3,ROW($A$1:$A$262),""),ROW()-1)))</f>
        <v/>
      </c>
    </row>
    <row r="60" spans="1:6">
      <c r="A60" s="9" t="s">
        <v>48</v>
      </c>
      <c r="B60" s="10" t="s">
        <v>31</v>
      </c>
      <c r="F60" s="11" t="str">
        <f t="array" ref="F60">IF(ROW()-1&gt;COUNTIF($B$1:$B$262,$C$3),"",INDEX($A$1:$A$262,SMALL(IF($B$1:$B$262=$C$3,ROW($A$1:$A$262),""),ROW()-1)))</f>
        <v/>
      </c>
    </row>
    <row r="61" spans="1:6">
      <c r="A61" s="9">
        <v>19055</v>
      </c>
      <c r="B61" s="10" t="s">
        <v>31</v>
      </c>
      <c r="F61" s="11" t="str">
        <f t="array" ref="F61">IF(ROW()-1&gt;COUNTIF($B$2:$B$262,$C$3),"",INDEX($A$2:$A$262,SMALL(IF($B$2:$B$262=$C$3,ROW($A$2:$A$262),""),ROW()-1)))</f>
        <v/>
      </c>
    </row>
    <row r="62" spans="1:6">
      <c r="A62" s="9">
        <v>19110</v>
      </c>
      <c r="B62" s="10" t="s">
        <v>31</v>
      </c>
      <c r="F62" s="11" t="str">
        <f t="array" ref="F62">IF(ROW()-1&gt;COUNTIF($B$2:$B$262,$C$3),"",INDEX($A$2:$A$262,SMALL(IF($B$2:$B$262=$C$3,ROW($A$2:$A$262),""),ROW()-1)))</f>
        <v/>
      </c>
    </row>
    <row r="63" spans="1:6">
      <c r="A63" s="9" t="s">
        <v>49</v>
      </c>
      <c r="B63" s="10" t="s">
        <v>31</v>
      </c>
      <c r="F63" s="11" t="str">
        <f t="array" ref="F63">IF(ROW()-1&gt;COUNTIF($B$2:$B$262,$C$3),"",INDEX($A$2:$A$262,SMALL(IF($B$2:$B$262=$C$3,ROW($A$2:$A$262),""),ROW()-1)))</f>
        <v/>
      </c>
    </row>
    <row r="64" spans="1:6">
      <c r="A64" s="9">
        <v>19111</v>
      </c>
      <c r="B64" s="10" t="s">
        <v>31</v>
      </c>
      <c r="F64" s="11" t="str">
        <f t="array" ref="F64">IF(ROW()-1&gt;COUNTIF($B$2:$B$262,$C$3),"",INDEX($A$2:$A$262,SMALL(IF($B$2:$B$262=$C$3,ROW($A$2:$A$262),""),ROW()-1)))</f>
        <v/>
      </c>
    </row>
    <row r="65" spans="1:6">
      <c r="A65" s="9" t="s">
        <v>50</v>
      </c>
      <c r="B65" s="10" t="s">
        <v>31</v>
      </c>
      <c r="F65" s="11" t="str">
        <f t="array" ref="F65">IF(ROW()-1&gt;COUNTIF($B$2:$B$262,$C$3),"",INDEX($A$2:$A$262,SMALL(IF($B$2:$B$262=$C$3,ROW($A$2:$A$262),""),ROW()-1)))</f>
        <v/>
      </c>
    </row>
    <row r="66" spans="1:6">
      <c r="A66" s="9">
        <v>19688</v>
      </c>
      <c r="B66" s="10" t="s">
        <v>31</v>
      </c>
      <c r="F66" s="11" t="str">
        <f t="array" ref="F66">IF(ROW()-1&gt;COUNTIF($B$2:$B$262,$C$3),"",INDEX($A$2:$A$262,SMALL(IF($B$2:$B$262=$C$3,ROW($A$2:$A$262),""),ROW()-1)))</f>
        <v/>
      </c>
    </row>
    <row r="67" spans="1:6">
      <c r="A67" s="9">
        <v>19284</v>
      </c>
      <c r="B67" s="10" t="s">
        <v>31</v>
      </c>
      <c r="F67" s="11" t="str">
        <f t="array" ref="F67">IF(ROW()-1&gt;COUNTIF($B$2:$B$262,$C$3),"",INDEX($A$2:$A$262,SMALL(IF($B$2:$B$262=$C$3,ROW($A$2:$A$262),""),ROW()-1)))</f>
        <v/>
      </c>
    </row>
    <row r="68" spans="1:6">
      <c r="A68" s="9">
        <v>19297</v>
      </c>
      <c r="B68" s="10" t="s">
        <v>31</v>
      </c>
      <c r="F68" s="11" t="str">
        <f t="array" ref="F68">IF(ROW()-1&gt;COUNTIF($B$2:$B$262,$C$3),"",INDEX($A$2:$A$262,SMALL(IF($B$2:$B$262=$C$3,ROW($A$2:$A$262),""),ROW()-1)))</f>
        <v/>
      </c>
    </row>
    <row r="69" spans="1:6">
      <c r="A69" s="9">
        <v>19689</v>
      </c>
      <c r="B69" s="10" t="s">
        <v>31</v>
      </c>
      <c r="F69" s="11" t="str">
        <f t="array" ref="F69">IF(ROW()-1&gt;COUNTIF($B$2:$B$262,$C$3),"",INDEX($A$2:$A$262,SMALL(IF($B$2:$B$262=$C$3,ROW($A$2:$A$262),""),ROW()-1)))</f>
        <v/>
      </c>
    </row>
    <row r="70" spans="1:6">
      <c r="A70" s="9" t="s">
        <v>51</v>
      </c>
      <c r="B70" s="10" t="s">
        <v>31</v>
      </c>
      <c r="F70" s="11" t="str">
        <f t="array" ref="F70">IF(ROW()-1&gt;COUNTIF($B$2:$B$262,$C$3),"",INDEX($A$2:$A$262,SMALL(IF($B$2:$B$262=$C$3,ROW($A$2:$A$262),""),ROW()-1)))</f>
        <v/>
      </c>
    </row>
    <row r="71" spans="1:6">
      <c r="A71" s="9" t="s">
        <v>52</v>
      </c>
      <c r="B71" s="10" t="s">
        <v>31</v>
      </c>
      <c r="F71" s="11" t="str">
        <f t="array" ref="F71">IF(ROW()-1&gt;COUNTIF($B$2:$B$262,$C$3),"",INDEX($A$2:$A$262,SMALL(IF($B$2:$B$262=$C$3,ROW($A$2:$A$262),""),ROW()-1)))</f>
        <v/>
      </c>
    </row>
    <row r="72" spans="1:6">
      <c r="A72" s="9">
        <v>19222</v>
      </c>
      <c r="B72" s="10" t="s">
        <v>31</v>
      </c>
      <c r="F72" s="11" t="str">
        <f t="array" ref="F72">IF(ROW()-1&gt;COUNTIF($B$2:$B$262,$C$3),"",INDEX($A$2:$A$262,SMALL(IF($B$2:$B$262=$C$3,ROW($A$2:$A$262),""),ROW()-1)))</f>
        <v/>
      </c>
    </row>
    <row r="73" spans="1:6">
      <c r="A73" s="9">
        <v>19292</v>
      </c>
      <c r="B73" s="10" t="s">
        <v>31</v>
      </c>
      <c r="F73" s="11" t="str">
        <f t="array" ref="F73">IF(ROW()-1&gt;COUNTIF($B$2:$B$262,$C$3),"",INDEX($A$2:$A$262,SMALL(IF($B$2:$B$262=$C$3,ROW($A$2:$A$262),""),ROW()-1)))</f>
        <v/>
      </c>
    </row>
    <row r="74" spans="1:6">
      <c r="A74" s="9">
        <v>19723</v>
      </c>
      <c r="B74" s="10" t="s">
        <v>31</v>
      </c>
      <c r="F74" s="11" t="str">
        <f t="array" ref="F74">IF(ROW()-1&gt;COUNTIF($B$2:$B$262,$C$3),"",INDEX($A$2:$A$262,SMALL(IF($B$2:$B$262=$C$3,ROW($A$2:$A$262),""),ROW()-1)))</f>
        <v/>
      </c>
    </row>
    <row r="75" spans="1:6">
      <c r="A75" s="9">
        <v>19633</v>
      </c>
      <c r="B75" s="10" t="s">
        <v>31</v>
      </c>
      <c r="F75" s="11" t="str">
        <f t="array" ref="F75">IF(ROW()-1&gt;COUNTIF($B$2:$B$262,$C$3),"",INDEX($A$2:$A$262,SMALL(IF($B$2:$B$262=$C$3,ROW($A$2:$A$262),""),ROW()-1)))</f>
        <v/>
      </c>
    </row>
    <row r="76" spans="1:6">
      <c r="A76" s="9" t="s">
        <v>53</v>
      </c>
      <c r="B76" s="10" t="s">
        <v>31</v>
      </c>
      <c r="F76" s="11" t="str">
        <f t="array" ref="F76">IF(ROW()-1&gt;COUNTIF($B$2:$B$262,$C$3),"",INDEX($A$2:$A$262,SMALL(IF($B$2:$B$262=$C$3,ROW($A$2:$A$262),""),ROW()-1)))</f>
        <v/>
      </c>
    </row>
    <row r="77" spans="1:6">
      <c r="A77" s="9">
        <v>19637</v>
      </c>
      <c r="B77" s="10" t="s">
        <v>31</v>
      </c>
      <c r="F77" s="11" t="str">
        <f t="array" ref="F77">IF(ROW()-1&gt;COUNTIF($B$2:$B$262,$C$3),"",INDEX($A$2:$A$262,SMALL(IF($B$2:$B$262=$C$3,ROW($A$2:$A$262),""),ROW()-1)))</f>
        <v/>
      </c>
    </row>
    <row r="78" spans="1:6">
      <c r="A78" s="9">
        <v>19651</v>
      </c>
      <c r="B78" s="10" t="s">
        <v>31</v>
      </c>
      <c r="F78" s="11" t="str">
        <f t="array" ref="F78">IF(ROW()-1&gt;COUNTIF($B$2:$B$262,$C$3),"",INDEX($A$2:$A$262,SMALL(IF($B$2:$B$262=$C$3,ROW($A$2:$A$262),""),ROW()-1)))</f>
        <v/>
      </c>
    </row>
    <row r="79" spans="1:6">
      <c r="A79" s="9" t="s">
        <v>54</v>
      </c>
      <c r="B79" s="10" t="s">
        <v>31</v>
      </c>
      <c r="F79" s="11" t="str">
        <f t="array" ref="F79">IF(ROW()-1&gt;COUNTIF($B$2:$B$262,$C$3),"",INDEX($A$2:$A$262,SMALL(IF($B$2:$B$262=$C$3,ROW($A$2:$A$262),""),ROW()-1)))</f>
        <v/>
      </c>
    </row>
    <row r="80" spans="1:6">
      <c r="A80" s="9">
        <v>19682</v>
      </c>
      <c r="B80" s="10" t="s">
        <v>31</v>
      </c>
      <c r="F80" s="11" t="str">
        <f t="array" ref="F80">IF(ROW()-1&gt;COUNTIF($B$2:$B$262,$C$3),"",INDEX($A$2:$A$262,SMALL(IF($B$2:$B$262=$C$3,ROW($A$2:$A$262),""),ROW()-1)))</f>
        <v/>
      </c>
    </row>
    <row r="81" spans="1:6">
      <c r="A81" s="9">
        <v>19690</v>
      </c>
      <c r="B81" s="10" t="s">
        <v>31</v>
      </c>
      <c r="F81" s="11" t="str">
        <f t="array" ref="F81">IF(ROW()-1&gt;COUNTIF($B$2:$B$262,$C$3),"",INDEX($A$2:$A$262,SMALL(IF($B$2:$B$262=$C$3,ROW($A$2:$A$262),""),ROW()-1)))</f>
        <v/>
      </c>
    </row>
    <row r="82" spans="1:6">
      <c r="A82" s="9">
        <v>19715</v>
      </c>
      <c r="B82" s="10" t="s">
        <v>31</v>
      </c>
      <c r="F82" s="11" t="str">
        <f t="array" ref="F82">IF(ROW()-1&gt;COUNTIF($B$2:$B$262,$C$3),"",INDEX($A$2:$A$262,SMALL(IF($B$2:$B$262=$C$3,ROW($A$2:$A$262),""),ROW()-1)))</f>
        <v/>
      </c>
    </row>
    <row r="83" spans="1:6">
      <c r="A83" s="9">
        <v>25008</v>
      </c>
      <c r="B83" s="10" t="s">
        <v>31</v>
      </c>
      <c r="F83" s="11" t="str">
        <f t="array" ref="F83">IF(ROW()-1&gt;COUNTIF($B$2:$B$262,$C$3),"",INDEX($A$2:$A$262,SMALL(IF($B$2:$B$262=$C$3,ROW($A$2:$A$262),""),ROW()-1)))</f>
        <v/>
      </c>
    </row>
    <row r="84" spans="1:6">
      <c r="A84" s="9">
        <v>25043</v>
      </c>
      <c r="B84" s="10" t="s">
        <v>31</v>
      </c>
      <c r="F84" s="11" t="str">
        <f t="array" ref="F84">IF(ROW()-1&gt;COUNTIF($B$2:$B$262,$C$3),"",INDEX($A$2:$A$262,SMALL(IF($B$2:$B$262=$C$3,ROW($A$2:$A$262),""),ROW()-1)))</f>
        <v/>
      </c>
    </row>
    <row r="85" spans="1:6">
      <c r="A85" s="9">
        <v>25130</v>
      </c>
      <c r="B85" s="10" t="s">
        <v>31</v>
      </c>
      <c r="F85" s="11" t="str">
        <f t="array" ref="F85">IF(ROW()-1&gt;COUNTIF($B$2:$B$262,$C$3),"",INDEX($A$2:$A$262,SMALL(IF($B$2:$B$262=$C$3,ROW($A$2:$A$262),""),ROW()-1)))</f>
        <v/>
      </c>
    </row>
    <row r="86" spans="1:6">
      <c r="A86" s="9">
        <v>25199</v>
      </c>
      <c r="B86" s="10" t="s">
        <v>31</v>
      </c>
      <c r="F86" s="11" t="str">
        <f t="array" ref="F86">IF(ROW()-1&gt;COUNTIF($B$2:$B$262,$C$3),"",INDEX($A$2:$A$262,SMALL(IF($B$2:$B$262=$C$3,ROW($A$2:$A$262),""),ROW()-1)))</f>
        <v/>
      </c>
    </row>
    <row r="87" spans="1:6">
      <c r="A87" s="9">
        <v>25272</v>
      </c>
      <c r="B87" s="10" t="s">
        <v>31</v>
      </c>
      <c r="F87" s="11" t="str">
        <f t="array" ref="F87">IF(ROW()-1&gt;COUNTIF($B$2:$B$262,$C$3),"",INDEX($A$2:$A$262,SMALL(IF($B$2:$B$262=$C$3,ROW($A$2:$A$262),""),ROW()-1)))</f>
        <v/>
      </c>
    </row>
    <row r="88" spans="1:6">
      <c r="A88" s="9">
        <v>25561</v>
      </c>
      <c r="B88" s="10" t="s">
        <v>31</v>
      </c>
      <c r="F88" s="11" t="str">
        <f t="array" ref="F88">IF(ROW()-1&gt;COUNTIF($B$2:$B$262,$C$3),"",INDEX($A$2:$A$262,SMALL(IF($B$2:$B$262=$C$3,ROW($A$2:$A$262),""),ROW()-1)))</f>
        <v/>
      </c>
    </row>
    <row r="89" spans="1:6">
      <c r="A89" s="9" t="s">
        <v>55</v>
      </c>
      <c r="B89" s="10" t="s">
        <v>31</v>
      </c>
      <c r="F89" s="11" t="str">
        <f t="array" ref="F89">IF(ROW()-1&gt;COUNTIF($B$2:$B$262,$C$3),"",INDEX($A$2:$A$262,SMALL(IF($B$2:$B$262=$C$3,ROW($A$2:$A$262),""),ROW()-1)))</f>
        <v/>
      </c>
    </row>
    <row r="90" spans="1:6">
      <c r="A90" s="9">
        <v>28524</v>
      </c>
      <c r="B90" s="10" t="s">
        <v>31</v>
      </c>
      <c r="F90" s="11" t="str">
        <f t="array" ref="F90">IF(ROW()-1&gt;COUNTIF($B$2:$B$262,$C$3),"",INDEX($A$2:$A$262,SMALL(IF($B$2:$B$262=$C$3,ROW($A$2:$A$262),""),ROW()-1)))</f>
        <v/>
      </c>
    </row>
    <row r="91" spans="1:6">
      <c r="A91" s="9" t="s">
        <v>56</v>
      </c>
      <c r="B91" s="10" t="s">
        <v>31</v>
      </c>
      <c r="F91" s="11" t="str">
        <f t="array" ref="F91">IF(ROW()-1&gt;COUNTIF($B$2:$B$262,$C$3),"",INDEX($A$2:$A$262,SMALL(IF($B$2:$B$262=$C$3,ROW($A$2:$A$262),""),ROW()-1)))</f>
        <v/>
      </c>
    </row>
    <row r="92" spans="1:6">
      <c r="A92" s="9">
        <v>28527</v>
      </c>
      <c r="B92" s="10" t="s">
        <v>31</v>
      </c>
      <c r="F92" s="11" t="str">
        <f t="array" ref="F92">IF(ROW()-1&gt;COUNTIF($B$2:$B$262,$C$3),"",INDEX($A$2:$A$262,SMALL(IF($B$2:$B$262=$C$3,ROW($A$2:$A$262),""),ROW()-1)))</f>
        <v/>
      </c>
    </row>
    <row r="93" spans="1:6">
      <c r="A93" s="9">
        <v>30169</v>
      </c>
      <c r="B93" s="10" t="s">
        <v>31</v>
      </c>
      <c r="F93" s="11" t="str">
        <f t="array" ref="F93">IF(ROW()-1&gt;COUNTIF($B$2:$B$262,$C$3),"",INDEX($A$2:$A$262,SMALL(IF($B$2:$B$262=$C$3,ROW($A$2:$A$262),""),ROW()-1)))</f>
        <v/>
      </c>
    </row>
    <row r="94" spans="1:6">
      <c r="A94" s="9">
        <v>30171</v>
      </c>
      <c r="B94" s="10" t="s">
        <v>31</v>
      </c>
      <c r="F94" s="11" t="str">
        <f t="array" ref="F94">IF(ROW()-1&gt;COUNTIF($B$2:$B$262,$C$3),"",INDEX($A$2:$A$262,SMALL(IF($B$2:$B$262=$C$3,ROW($A$2:$A$262),""),ROW()-1)))</f>
        <v/>
      </c>
    </row>
    <row r="95" spans="1:6">
      <c r="A95" s="9" t="s">
        <v>57</v>
      </c>
      <c r="B95" s="10" t="s">
        <v>31</v>
      </c>
      <c r="F95" s="11" t="str">
        <f t="array" ref="F95">IF(ROW()-1&gt;COUNTIF($B$2:$B$262,$C$3),"",INDEX($A$2:$A$262,SMALL(IF($B$2:$B$262=$C$3,ROW($A$2:$A$262),""),ROW()-1)))</f>
        <v/>
      </c>
    </row>
    <row r="96" spans="1:6">
      <c r="A96" s="9">
        <v>34701</v>
      </c>
      <c r="B96" s="10" t="s">
        <v>31</v>
      </c>
      <c r="F96" s="11" t="str">
        <f t="array" ref="F96">IF(ROW()-1&gt;COUNTIF($B$2:$B$262,$C$3),"",INDEX($A$2:$A$262,SMALL(IF($B$2:$B$262=$C$3,ROW($A$2:$A$262),""),ROW()-1)))</f>
        <v/>
      </c>
    </row>
    <row r="97" spans="1:6">
      <c r="A97" s="9">
        <v>34519</v>
      </c>
      <c r="B97" s="10" t="s">
        <v>31</v>
      </c>
      <c r="F97" s="11" t="str">
        <f t="array" ref="F97">IF(ROW()-1&gt;COUNTIF($B$2:$B$262,$C$3),"",INDEX($A$2:$A$262,SMALL(IF($B$2:$B$262=$C$3,ROW($A$2:$A$262),""),ROW()-1)))</f>
        <v/>
      </c>
    </row>
    <row r="98" spans="1:6">
      <c r="A98" s="9">
        <v>34535</v>
      </c>
      <c r="B98" s="10" t="s">
        <v>31</v>
      </c>
      <c r="F98" s="11" t="str">
        <f t="array" ref="F98">IF(ROW()-1&gt;COUNTIF($B$2:$B$262,$C$3),"",INDEX($A$2:$A$262,SMALL(IF($B$2:$B$262=$C$3,ROW($A$2:$A$262),""),ROW()-1)))</f>
        <v/>
      </c>
    </row>
    <row r="99" spans="1:6">
      <c r="A99" s="9">
        <v>43230</v>
      </c>
      <c r="B99" s="10" t="s">
        <v>31</v>
      </c>
      <c r="F99" s="11" t="str">
        <f t="array" ref="F99">IF(ROW()-1&gt;COUNTIF($B$2:$B$262,$C$3),"",INDEX($A$2:$A$262,SMALL(IF($B$2:$B$262=$C$3,ROW($A$2:$A$262),""),ROW()-1)))</f>
        <v/>
      </c>
    </row>
    <row r="100" spans="1:6">
      <c r="A100" s="9">
        <v>43550</v>
      </c>
      <c r="B100" s="10" t="s">
        <v>31</v>
      </c>
      <c r="F100" s="11" t="str">
        <f t="array" ref="F100">IF(ROW()-1&gt;COUNTIF($B$2:$B$262,$C$3),"",INDEX($A$2:$A$262,SMALL(IF($B$2:$B$262=$C$3,ROW($A$2:$A$262),""),ROW()-1)))</f>
        <v/>
      </c>
    </row>
    <row r="101" spans="1:6">
      <c r="A101" s="9">
        <v>43303</v>
      </c>
      <c r="B101" s="10" t="s">
        <v>31</v>
      </c>
      <c r="F101" s="11" t="str">
        <f t="array" ref="F101">IF(ROW()-1&gt;COUNTIF($B$2:$B$262,$C$3),"",INDEX($A$2:$A$262,SMALL(IF($B$2:$B$262=$C$3,ROW($A$2:$A$262),""),ROW()-1)))</f>
        <v/>
      </c>
    </row>
    <row r="102" spans="1:6">
      <c r="A102" s="9" t="s">
        <v>58</v>
      </c>
      <c r="B102" s="10" t="s">
        <v>59</v>
      </c>
      <c r="F102" s="11" t="str">
        <f t="array" ref="F102">IF(ROW()-1&gt;COUNTIF($B$2:$B$262,$C$3),"",INDEX($A$2:$A$262,SMALL(IF($B$2:$B$262=$C$3,ROW($A$2:$A$262),""),ROW()-1)))</f>
        <v/>
      </c>
    </row>
    <row r="103" spans="1:6">
      <c r="A103" s="9">
        <v>15091</v>
      </c>
      <c r="B103" s="10" t="s">
        <v>59</v>
      </c>
      <c r="F103" s="11" t="str">
        <f t="array" ref="F103">IF(ROW()-1&gt;COUNTIF($B$2:$B$262,$C$3),"",INDEX($A$2:$A$262,SMALL(IF($B$2:$B$262=$C$3,ROW($A$2:$A$262),""),ROW()-1)))</f>
        <v/>
      </c>
    </row>
    <row r="104" spans="1:6">
      <c r="A104" s="9" t="s">
        <v>60</v>
      </c>
      <c r="B104" s="10" t="s">
        <v>59</v>
      </c>
      <c r="F104" s="11" t="str">
        <f t="array" ref="F104">IF(ROW()-1&gt;COUNTIF($B$2:$B$262,$C$3),"",INDEX($A$2:$A$262,SMALL(IF($B$2:$B$262=$C$3,ROW($A$2:$A$262),""),ROW()-1)))</f>
        <v/>
      </c>
    </row>
    <row r="105" spans="1:6">
      <c r="A105" s="9" t="s">
        <v>61</v>
      </c>
      <c r="B105" s="10" t="s">
        <v>59</v>
      </c>
      <c r="F105" s="11" t="str">
        <f t="array" ref="F105">IF(ROW()-1&gt;COUNTIF($B$2:$B$262,$C$3),"",INDEX($A$2:$A$262,SMALL(IF($B$2:$B$262=$C$3,ROW($A$2:$A$262),""),ROW()-1)))</f>
        <v/>
      </c>
    </row>
    <row r="106" spans="1:6">
      <c r="A106" s="9">
        <v>15180</v>
      </c>
      <c r="B106" s="10" t="s">
        <v>59</v>
      </c>
      <c r="F106" s="11" t="str">
        <f t="array" ref="F106">IF(ROW()-1&gt;COUNTIF($B$2:$B$262,$C$3),"",INDEX($A$2:$A$262,SMALL(IF($B$2:$B$262=$C$3,ROW($A$2:$A$262),""),ROW()-1)))</f>
        <v/>
      </c>
    </row>
    <row r="107" spans="1:6">
      <c r="A107" s="9">
        <v>15705</v>
      </c>
      <c r="B107" s="10" t="s">
        <v>59</v>
      </c>
      <c r="F107" s="11" t="str">
        <f t="array" ref="F107">IF(ROW()-1&gt;COUNTIF($B$2:$B$262,$C$3),"",INDEX($A$2:$A$262,SMALL(IF($B$2:$B$262=$C$3,ROW($A$2:$A$262),""),ROW()-1)))</f>
        <v/>
      </c>
    </row>
    <row r="108" spans="1:6">
      <c r="A108" s="9">
        <v>15299</v>
      </c>
      <c r="B108" s="10" t="s">
        <v>59</v>
      </c>
      <c r="F108" s="11" t="str">
        <f t="array" ref="F108">IF(ROW()-1&gt;COUNTIF($B$2:$B$262,$C$3),"",INDEX($A$2:$A$262,SMALL(IF($B$2:$B$262=$C$3,ROW($A$2:$A$262),""),ROW()-1)))</f>
        <v/>
      </c>
    </row>
    <row r="109" spans="1:6">
      <c r="A109" s="9">
        <v>15298</v>
      </c>
      <c r="B109" s="10" t="s">
        <v>59</v>
      </c>
      <c r="F109" s="11" t="str">
        <f t="array" ref="F109">IF(ROW()-1&gt;COUNTIF($B$2:$B$262,$C$3),"",INDEX($A$2:$A$262,SMALL(IF($B$2:$B$262=$C$3,ROW($A$2:$A$262),""),ROW()-1)))</f>
        <v/>
      </c>
    </row>
    <row r="110" spans="1:6">
      <c r="A110" s="9">
        <v>16502</v>
      </c>
      <c r="B110" s="10" t="s">
        <v>59</v>
      </c>
      <c r="F110" s="11" t="str">
        <f t="array" ref="F110">IF(ROW()-1&gt;COUNTIF($B$2:$B$262,$C$3),"",INDEX($A$2:$A$262,SMALL(IF($B$2:$B$262=$C$3,ROW($A$2:$A$262),""),ROW()-1)))</f>
        <v/>
      </c>
    </row>
    <row r="111" spans="1:6">
      <c r="A111" s="9">
        <v>16013</v>
      </c>
      <c r="B111" s="10" t="s">
        <v>59</v>
      </c>
      <c r="F111" s="11" t="str">
        <f t="array" ref="F111">IF(ROW()-1&gt;COUNTIF($B$2:$B$262,$C$3),"",INDEX($A$2:$A$262,SMALL(IF($B$2:$B$262=$C$3,ROW($A$2:$A$262),""),ROW()-1)))</f>
        <v/>
      </c>
    </row>
    <row r="112" spans="1:6">
      <c r="A112" s="9" t="s">
        <v>62</v>
      </c>
      <c r="B112" s="10" t="s">
        <v>59</v>
      </c>
      <c r="F112" s="11" t="str">
        <f t="array" ref="F112">IF(ROW()-1&gt;COUNTIF($B$2:$B$262,$C$3),"",INDEX($A$2:$A$262,SMALL(IF($B$2:$B$262=$C$3,ROW($A$2:$A$262),""),ROW()-1)))</f>
        <v/>
      </c>
    </row>
    <row r="113" spans="1:6">
      <c r="A113" s="9">
        <v>16063</v>
      </c>
      <c r="B113" s="10" t="s">
        <v>59</v>
      </c>
      <c r="F113" s="11" t="str">
        <f t="array" ref="F113">IF(ROW()-1&gt;COUNTIF($B$2:$B$262,$C$3),"",INDEX($A$2:$A$262,SMALL(IF($B$2:$B$262=$C$3,ROW($A$2:$A$262),""),ROW()-1)))</f>
        <v/>
      </c>
    </row>
    <row r="114" spans="1:6">
      <c r="A114" s="9">
        <v>16080</v>
      </c>
      <c r="B114" s="10" t="s">
        <v>59</v>
      </c>
      <c r="F114" s="11" t="str">
        <f t="array" ref="F114">IF(ROW()-1&gt;COUNTIF($B$2:$B$262,$C$3),"",INDEX($A$2:$A$262,SMALL(IF($B$2:$B$262=$C$3,ROW($A$2:$A$262),""),ROW()-1)))</f>
        <v/>
      </c>
    </row>
    <row r="115" spans="1:6">
      <c r="A115" s="9">
        <v>16081</v>
      </c>
      <c r="B115" s="10" t="s">
        <v>59</v>
      </c>
      <c r="F115" s="11" t="str">
        <f t="array" ref="F115">IF(ROW()-1&gt;COUNTIF($B$2:$B$262,$C$3),"",INDEX($A$2:$A$262,SMALL(IF($B$2:$B$262=$C$3,ROW($A$2:$A$262),""),ROW()-1)))</f>
        <v/>
      </c>
    </row>
    <row r="116" spans="1:6">
      <c r="A116" s="9" t="s">
        <v>63</v>
      </c>
      <c r="B116" s="10" t="s">
        <v>59</v>
      </c>
      <c r="F116" s="11" t="str">
        <f t="array" ref="F116">IF(ROW()-1&gt;COUNTIF($B$2:$B$262,$C$3),"",INDEX($A$2:$A$262,SMALL(IF($B$2:$B$262=$C$3,ROW($A$2:$A$262),""),ROW()-1)))</f>
        <v/>
      </c>
    </row>
    <row r="117" spans="1:6">
      <c r="A117" s="9">
        <v>16096</v>
      </c>
      <c r="B117" s="10" t="s">
        <v>59</v>
      </c>
      <c r="F117" s="11" t="str">
        <f t="array" ref="F117">IF(ROW()-1&gt;COUNTIF($B$2:$B$262,$C$3),"",INDEX($A$2:$A$262,SMALL(IF($B$2:$B$262=$C$3,ROW($A$2:$A$262),""),ROW()-1)))</f>
        <v/>
      </c>
    </row>
    <row r="118" spans="1:6">
      <c r="A118" s="9">
        <v>16100</v>
      </c>
      <c r="B118" s="10" t="s">
        <v>59</v>
      </c>
      <c r="F118" s="11" t="str">
        <f t="array" ref="F118">IF(ROW()-1&gt;COUNTIF($B$2:$B$262,$C$3),"",INDEX($A$2:$A$262,SMALL(IF($B$2:$B$262=$C$3,ROW($A$2:$A$262),""),ROW()-1)))</f>
        <v/>
      </c>
    </row>
    <row r="119" spans="1:6">
      <c r="A119" s="9">
        <v>16114</v>
      </c>
      <c r="B119" s="10" t="s">
        <v>59</v>
      </c>
      <c r="F119" s="11" t="str">
        <f t="array" ref="F119">IF(ROW()-1&gt;COUNTIF($B$2:$B$262,$C$3),"",INDEX($A$2:$A$262,SMALL(IF($B$2:$B$262=$C$3,ROW($A$2:$A$262),""),ROW()-1)))</f>
        <v/>
      </c>
    </row>
    <row r="120" spans="1:6">
      <c r="A120" s="9">
        <v>16122</v>
      </c>
      <c r="B120" s="10" t="s">
        <v>59</v>
      </c>
      <c r="F120" s="11" t="str">
        <f t="array" ref="F120">IF(ROW()-1&gt;COUNTIF($B$2:$B$262,$C$3),"",INDEX($A$2:$A$262,SMALL(IF($B$2:$B$262=$C$3,ROW($A$2:$A$262),""),ROW()-1)))</f>
        <v/>
      </c>
    </row>
    <row r="121" spans="1:6">
      <c r="A121" s="9" t="s">
        <v>64</v>
      </c>
      <c r="B121" s="10" t="s">
        <v>59</v>
      </c>
      <c r="F121" s="11" t="str">
        <f t="array" ref="F121">IF(ROW()-1&gt;COUNTIF($B$2:$B$262,$C$3),"",INDEX($A$2:$A$262,SMALL(IF($B$2:$B$262=$C$3,ROW($A$2:$A$262),""),ROW()-1)))</f>
        <v/>
      </c>
    </row>
    <row r="122" spans="1:6">
      <c r="A122" s="9">
        <v>16166</v>
      </c>
      <c r="B122" s="10" t="s">
        <v>59</v>
      </c>
      <c r="F122" s="11" t="str">
        <f t="array" ref="F122">IF(ROW()-1&gt;COUNTIF($B$2:$B$262,$C$3),"",INDEX($A$2:$A$262,SMALL(IF($B$2:$B$262=$C$3,ROW($A$2:$A$262),""),ROW()-1)))</f>
        <v/>
      </c>
    </row>
    <row r="123" spans="1:6">
      <c r="A123" s="9">
        <v>16176</v>
      </c>
      <c r="B123" s="10" t="s">
        <v>59</v>
      </c>
      <c r="F123" s="11" t="str">
        <f t="array" ref="F123">IF(ROW()-1&gt;COUNTIF($B$2:$B$262,$C$3),"",INDEX($A$2:$A$262,SMALL(IF($B$2:$B$262=$C$3,ROW($A$2:$A$262),""),ROW()-1)))</f>
        <v/>
      </c>
    </row>
    <row r="124" spans="1:6">
      <c r="A124" s="9">
        <v>16183</v>
      </c>
      <c r="B124" s="10" t="s">
        <v>59</v>
      </c>
      <c r="F124" s="11" t="str">
        <f t="array" ref="F124">IF(ROW()-1&gt;COUNTIF($B$2:$B$262,$C$3),"",INDEX($A$2:$A$262,SMALL(IF($B$2:$B$262=$C$3,ROW($A$2:$A$262),""),ROW()-1)))</f>
        <v/>
      </c>
    </row>
    <row r="125" spans="1:6">
      <c r="A125" s="9">
        <v>16220</v>
      </c>
      <c r="B125" s="10" t="s">
        <v>59</v>
      </c>
      <c r="F125" s="11" t="str">
        <f t="array" ref="F125">IF(ROW()-1&gt;COUNTIF($B$2:$B$262,$C$3),"",INDEX($A$2:$A$262,SMALL(IF($B$2:$B$262=$C$3,ROW($A$2:$A$262),""),ROW()-1)))</f>
        <v/>
      </c>
    </row>
    <row r="126" spans="1:6">
      <c r="A126" s="9" t="s">
        <v>65</v>
      </c>
      <c r="B126" s="10" t="s">
        <v>59</v>
      </c>
      <c r="F126" s="11" t="str">
        <f t="array" ref="F126">IF(ROW()-1&gt;COUNTIF($B$2:$B$262,$C$3),"",INDEX($A$2:$A$262,SMALL(IF($B$2:$B$262=$C$3,ROW($A$2:$A$262),""),ROW()-1)))</f>
        <v/>
      </c>
    </row>
    <row r="127" spans="1:6">
      <c r="A127" s="9">
        <v>16233</v>
      </c>
      <c r="B127" s="10" t="s">
        <v>59</v>
      </c>
      <c r="F127" s="11" t="str">
        <f t="array" ref="F127">IF(ROW()-1&gt;COUNTIF($B$2:$B$262,$C$3),"",INDEX($A$2:$A$262,SMALL(IF($B$2:$B$262=$C$3,ROW($A$2:$A$262),""),ROW()-1)))</f>
        <v/>
      </c>
    </row>
    <row r="128" spans="1:6">
      <c r="A128" s="9">
        <v>16243</v>
      </c>
      <c r="B128" s="10" t="s">
        <v>59</v>
      </c>
      <c r="F128" s="11" t="str">
        <f t="array" ref="F128">IF(ROW()-1&gt;COUNTIF($B$2:$B$262,$C$3),"",INDEX($A$2:$A$262,SMALL(IF($B$2:$B$262=$C$3,ROW($A$2:$A$262),""),ROW()-1)))</f>
        <v/>
      </c>
    </row>
    <row r="129" spans="1:6">
      <c r="A129" s="9">
        <v>16247</v>
      </c>
      <c r="B129" s="10" t="s">
        <v>59</v>
      </c>
      <c r="F129" s="11" t="str">
        <f t="array" ref="F129">IF(ROW()-1&gt;COUNTIF($B$2:$B$262,$C$3),"",INDEX($A$2:$A$262,SMALL(IF($B$2:$B$262=$C$3,ROW($A$2:$A$262),""),ROW()-1)))</f>
        <v/>
      </c>
    </row>
    <row r="130" spans="1:6">
      <c r="A130" s="9">
        <v>16250</v>
      </c>
      <c r="B130" s="10" t="s">
        <v>59</v>
      </c>
      <c r="F130" s="11" t="str">
        <f t="array" ref="F130">IF(ROW()-1&gt;COUNTIF($B$2:$B$262,$C$3),"",INDEX($A$2:$A$262,SMALL(IF($B$2:$B$262=$C$3,ROW($A$2:$A$262),""),ROW()-1)))</f>
        <v/>
      </c>
    </row>
    <row r="131" spans="1:6">
      <c r="A131" s="9">
        <v>16270</v>
      </c>
      <c r="B131" s="10" t="s">
        <v>59</v>
      </c>
      <c r="F131" s="11" t="str">
        <f t="array" ref="F131">IF(ROW()-1&gt;COUNTIF($B$2:$B$262,$C$3),"",INDEX($A$2:$A$262,SMALL(IF($B$2:$B$262=$C$3,ROW($A$2:$A$262),""),ROW()-1)))</f>
        <v/>
      </c>
    </row>
    <row r="132" spans="1:6">
      <c r="A132" s="9" t="s">
        <v>66</v>
      </c>
      <c r="B132" s="10" t="s">
        <v>59</v>
      </c>
      <c r="F132" s="11" t="str">
        <f t="array" ref="F132">IF(ROW()-1&gt;COUNTIF($B$2:$B$262,$C$3),"",INDEX($A$2:$A$262,SMALL(IF($B$2:$B$262=$C$3,ROW($A$2:$A$262),""),ROW()-1)))</f>
        <v/>
      </c>
    </row>
    <row r="133" spans="1:6">
      <c r="A133" s="9">
        <v>16278</v>
      </c>
      <c r="B133" s="10" t="s">
        <v>59</v>
      </c>
      <c r="F133" s="11" t="str">
        <f t="array" ref="F133">IF(ROW()-1&gt;COUNTIF($B$2:$B$262,$C$3),"",INDEX($A$2:$A$262,SMALL(IF($B$2:$B$262=$C$3,ROW($A$2:$A$262),""),ROW()-1)))</f>
        <v/>
      </c>
    </row>
    <row r="134" spans="1:6">
      <c r="A134" s="9">
        <v>16283</v>
      </c>
      <c r="B134" s="10" t="s">
        <v>59</v>
      </c>
      <c r="F134" s="11" t="str">
        <f t="array" ref="F134">IF(ROW()-1&gt;COUNTIF($B$2:$B$262,$C$3),"",INDEX($A$2:$A$262,SMALL(IF($B$2:$B$262=$C$3,ROW($A$2:$A$262),""),ROW()-1)))</f>
        <v/>
      </c>
    </row>
    <row r="135" spans="1:6">
      <c r="A135" s="9">
        <v>16288</v>
      </c>
      <c r="B135" s="10" t="s">
        <v>59</v>
      </c>
      <c r="F135" s="11" t="str">
        <f t="array" ref="F135">IF(ROW()-1&gt;COUNTIF($B$2:$B$262,$C$3),"",INDEX($A$2:$A$262,SMALL(IF($B$2:$B$262=$C$3,ROW($A$2:$A$262),""),ROW()-1)))</f>
        <v/>
      </c>
    </row>
    <row r="136" spans="1:6">
      <c r="A136" s="9">
        <v>16289</v>
      </c>
      <c r="B136" s="10" t="s">
        <v>59</v>
      </c>
      <c r="F136" s="11" t="str">
        <f t="array" ref="F136">IF(ROW()-1&gt;COUNTIF($B$2:$B$262,$C$3),"",INDEX($A$2:$A$262,SMALL(IF($B$2:$B$262=$C$3,ROW($A$2:$A$262),""),ROW()-1)))</f>
        <v/>
      </c>
    </row>
    <row r="137" spans="1:6">
      <c r="A137" s="9">
        <v>16544</v>
      </c>
      <c r="B137" s="10" t="s">
        <v>59</v>
      </c>
      <c r="F137" s="11" t="str">
        <f t="array" ref="F137">IF(ROW()-1&gt;COUNTIF($B$2:$B$262,$C$3),"",INDEX($A$2:$A$262,SMALL(IF($B$2:$B$262=$C$3,ROW($A$2:$A$262),""),ROW()-1)))</f>
        <v/>
      </c>
    </row>
    <row r="138" spans="1:6">
      <c r="A138" s="9">
        <v>16545</v>
      </c>
      <c r="B138" s="10" t="s">
        <v>59</v>
      </c>
      <c r="F138" s="11" t="str">
        <f t="array" ref="F138">IF(ROW()-1&gt;COUNTIF($B$2:$B$262,$C$3),"",INDEX($A$2:$A$262,SMALL(IF($B$2:$B$262=$C$3,ROW($A$2:$A$262),""),ROW()-1)))</f>
        <v/>
      </c>
    </row>
    <row r="139" spans="1:6">
      <c r="A139" s="9">
        <v>16582</v>
      </c>
      <c r="B139" s="10" t="s">
        <v>59</v>
      </c>
      <c r="F139" s="11" t="str">
        <f t="array" ref="F139">IF(ROW()-1&gt;COUNTIF($B$2:$B$262,$C$3),"",INDEX($A$2:$A$262,SMALL(IF($B$2:$B$262=$C$3,ROW($A$2:$A$262),""),ROW()-1)))</f>
        <v/>
      </c>
    </row>
    <row r="140" spans="1:6">
      <c r="A140" s="9" t="s">
        <v>67</v>
      </c>
      <c r="B140" s="10" t="s">
        <v>59</v>
      </c>
      <c r="F140" s="11" t="str">
        <f t="array" ref="F140">IF(ROW()-1&gt;COUNTIF($B$2:$B$262,$C$3),"",INDEX($A$2:$A$262,SMALL(IF($B$2:$B$262=$C$3,ROW($A$2:$A$262),""),ROW()-1)))</f>
        <v/>
      </c>
    </row>
    <row r="141" spans="1:6">
      <c r="A141" s="9">
        <v>35566</v>
      </c>
      <c r="B141" s="10" t="s">
        <v>59</v>
      </c>
      <c r="F141" s="11" t="str">
        <f t="array" ref="F141">IF(ROW()-1&gt;COUNTIF($B$2:$B$262,$C$3),"",INDEX($A$2:$A$262,SMALL(IF($B$2:$B$262=$C$3,ROW($A$2:$A$262),""),ROW()-1)))</f>
        <v/>
      </c>
    </row>
    <row r="142" spans="1:6">
      <c r="A142" s="9">
        <v>35120</v>
      </c>
      <c r="B142" s="10" t="s">
        <v>59</v>
      </c>
      <c r="F142" s="11" t="str">
        <f t="array" ref="F142">IF(ROW()-1&gt;COUNTIF($B$2:$B$262,$C$3),"",INDEX($A$2:$A$262,SMALL(IF($B$2:$B$262=$C$3,ROW($A$2:$A$262),""),ROW()-1)))</f>
        <v/>
      </c>
    </row>
    <row r="143" spans="1:6">
      <c r="A143" s="9">
        <v>35202</v>
      </c>
      <c r="B143" s="10" t="s">
        <v>59</v>
      </c>
      <c r="F143" s="11" t="str">
        <f t="array" ref="F143">IF(ROW()-1&gt;COUNTIF($B$2:$B$262,$C$3),"",INDEX($A$2:$A$262,SMALL(IF($B$2:$B$262=$C$3,ROW($A$2:$A$262),""),ROW()-1)))</f>
        <v/>
      </c>
    </row>
    <row r="144" spans="1:6">
      <c r="A144" s="9">
        <v>16001</v>
      </c>
      <c r="B144" s="10" t="s">
        <v>68</v>
      </c>
      <c r="F144" s="11" t="str">
        <f t="array" ref="F144">IF(ROW()-1&gt;COUNTIF($B$2:$B$262,$C$3),"",INDEX($A$2:$A$262,SMALL(IF($B$2:$B$262=$C$3,ROW($A$2:$A$262),""),ROW()-1)))</f>
        <v/>
      </c>
    </row>
    <row r="145" spans="1:6">
      <c r="A145" s="9">
        <v>16083</v>
      </c>
      <c r="B145" s="10" t="s">
        <v>68</v>
      </c>
      <c r="F145" s="11" t="str">
        <f t="array" ref="F145">IF(ROW()-1&gt;COUNTIF($B$2:$B$262,$C$3),"",INDEX($A$2:$A$262,SMALL(IF($B$2:$B$262=$C$3,ROW($A$2:$A$262),""),ROW()-1)))</f>
        <v/>
      </c>
    </row>
    <row r="146" spans="1:6">
      <c r="A146" s="9">
        <v>16108</v>
      </c>
      <c r="B146" s="10" t="s">
        <v>68</v>
      </c>
      <c r="F146" s="11" t="str">
        <f t="array" ref="F146">IF(ROW()-1&gt;COUNTIF($B$2:$B$262,$C$3),"",INDEX($A$2:$A$262,SMALL(IF($B$2:$B$262=$C$3,ROW($A$2:$A$262),""),ROW()-1)))</f>
        <v/>
      </c>
    </row>
    <row r="147" spans="1:6">
      <c r="A147" s="9">
        <v>16113</v>
      </c>
      <c r="B147" s="10" t="s">
        <v>68</v>
      </c>
      <c r="F147" s="11" t="str">
        <f t="array" ref="F147">IF(ROW()-1&gt;COUNTIF($B$2:$B$262,$C$3),"",INDEX($A$2:$A$262,SMALL(IF($B$2:$B$262=$C$3,ROW($A$2:$A$262),""),ROW()-1)))</f>
        <v/>
      </c>
    </row>
    <row r="148" spans="1:6">
      <c r="A148" s="9" t="s">
        <v>69</v>
      </c>
      <c r="B148" s="10" t="s">
        <v>68</v>
      </c>
      <c r="F148" s="11" t="str">
        <f t="array" ref="F148">IF(ROW()-1&gt;COUNTIF($B$2:$B$262,$C$3),"",INDEX($A$2:$A$262,SMALL(IF($B$2:$B$262=$C$3,ROW($A$2:$A$262),""),ROW()-1)))</f>
        <v/>
      </c>
    </row>
    <row r="149" spans="1:6">
      <c r="A149" s="9">
        <v>16117</v>
      </c>
      <c r="B149" s="10" t="s">
        <v>68</v>
      </c>
      <c r="F149" s="11" t="str">
        <f t="array" ref="F149">IF(ROW()-1&gt;COUNTIF($B$2:$B$262,$C$3),"",INDEX($A$2:$A$262,SMALL(IF($B$2:$B$262=$C$3,ROW($A$2:$A$262),""),ROW()-1)))</f>
        <v/>
      </c>
    </row>
    <row r="150" spans="1:6">
      <c r="A150" s="9">
        <v>16135</v>
      </c>
      <c r="B150" s="10" t="s">
        <v>68</v>
      </c>
      <c r="F150" s="11" t="str">
        <f t="array" ref="F150">IF(ROW()-1&gt;COUNTIF($B$2:$B$262,$C$3),"",INDEX($A$2:$A$262,SMALL(IF($B$2:$B$262=$C$3,ROW($A$2:$A$262),""),ROW()-1)))</f>
        <v/>
      </c>
    </row>
    <row r="151" spans="1:6">
      <c r="A151" s="9">
        <v>16140</v>
      </c>
      <c r="B151" s="10" t="s">
        <v>68</v>
      </c>
      <c r="F151" s="11" t="str">
        <f t="array" ref="F151">IF(ROW()-1&gt;COUNTIF($B$2:$B$262,$C$3),"",INDEX($A$2:$A$262,SMALL(IF($B$2:$B$262=$C$3,ROW($A$2:$A$262),""),ROW()-1)))</f>
        <v/>
      </c>
    </row>
    <row r="152" spans="1:6">
      <c r="A152" s="9">
        <v>16148</v>
      </c>
      <c r="B152" s="10" t="s">
        <v>68</v>
      </c>
      <c r="F152" s="11" t="str">
        <f t="array" ref="F152">IF(ROW()-1&gt;COUNTIF($B$2:$B$262,$C$3),"",INDEX($A$2:$A$262,SMALL(IF($B$2:$B$262=$C$3,ROW($A$2:$A$262),""),ROW()-1)))</f>
        <v/>
      </c>
    </row>
    <row r="153" spans="1:6">
      <c r="A153" s="9">
        <v>16306</v>
      </c>
      <c r="B153" s="10" t="s">
        <v>68</v>
      </c>
      <c r="F153" s="11" t="str">
        <f t="array" ref="F153">IF(ROW()-1&gt;COUNTIF($B$2:$B$262,$C$3),"",INDEX($A$2:$A$262,SMALL(IF($B$2:$B$262=$C$3,ROW($A$2:$A$262),""),ROW()-1)))</f>
        <v/>
      </c>
    </row>
    <row r="154" spans="1:6">
      <c r="A154" s="9">
        <v>16150</v>
      </c>
      <c r="B154" s="10" t="s">
        <v>68</v>
      </c>
      <c r="F154" s="11" t="str">
        <f t="array" ref="F154">IF(ROW()-1&gt;COUNTIF($B$2:$B$262,$C$3),"",INDEX($A$2:$A$262,SMALL(IF($B$2:$B$262=$C$3,ROW($A$2:$A$262),""),ROW()-1)))</f>
        <v/>
      </c>
    </row>
    <row r="155" spans="1:6">
      <c r="A155" s="9" t="s">
        <v>70</v>
      </c>
      <c r="B155" s="10" t="s">
        <v>68</v>
      </c>
      <c r="F155" s="11" t="str">
        <f t="array" ref="F155">IF(ROW()-1&gt;COUNTIF($B$2:$B$262,$C$3),"",INDEX($A$2:$A$262,SMALL(IF($B$2:$B$262=$C$3,ROW($A$2:$A$262),""),ROW()-1)))</f>
        <v/>
      </c>
    </row>
    <row r="156" spans="1:6">
      <c r="A156" s="9">
        <v>16170</v>
      </c>
      <c r="B156" s="10" t="s">
        <v>68</v>
      </c>
      <c r="F156" s="11" t="str">
        <f t="array" ref="F156">IF(ROW()-1&gt;COUNTIF($B$2:$B$262,$C$3),"",INDEX($A$2:$A$262,SMALL(IF($B$2:$B$262=$C$3,ROW($A$2:$A$262),""),ROW()-1)))</f>
        <v/>
      </c>
    </row>
    <row r="157" spans="1:6">
      <c r="A157" s="9">
        <v>16194</v>
      </c>
      <c r="B157" s="10" t="s">
        <v>68</v>
      </c>
      <c r="F157" s="11" t="str">
        <f t="array" ref="F157">IF(ROW()-1&gt;COUNTIF($B$2:$B$262,$C$3),"",INDEX($A$2:$A$262,SMALL(IF($B$2:$B$262=$C$3,ROW($A$2:$A$262),""),ROW()-1)))</f>
        <v/>
      </c>
    </row>
    <row r="158" spans="1:6">
      <c r="A158" s="9">
        <v>16206</v>
      </c>
      <c r="B158" s="10" t="s">
        <v>68</v>
      </c>
      <c r="F158" s="11" t="str">
        <f t="array" ref="F158">IF(ROW()-1&gt;COUNTIF($B$2:$B$262,$C$3),"",INDEX($A$2:$A$262,SMALL(IF($B$2:$B$262=$C$3,ROW($A$2:$A$262),""),ROW()-1)))</f>
        <v/>
      </c>
    </row>
    <row r="159" spans="1:6">
      <c r="A159" s="9">
        <v>16708</v>
      </c>
      <c r="B159" s="10" t="s">
        <v>68</v>
      </c>
      <c r="F159" s="11" t="str">
        <f t="array" ref="F159">IF(ROW()-1&gt;COUNTIF($B$2:$B$262,$C$3),"",INDEX($A$2:$A$262,SMALL(IF($B$2:$B$262=$C$3,ROW($A$2:$A$262),""),ROW()-1)))</f>
        <v/>
      </c>
    </row>
    <row r="160" spans="1:6">
      <c r="A160" s="9">
        <v>16211</v>
      </c>
      <c r="B160" s="10" t="s">
        <v>68</v>
      </c>
      <c r="F160" s="11" t="str">
        <f t="array" ref="F160">IF(ROW()-1&gt;COUNTIF($B$2:$B$262,$C$3),"",INDEX($A$2:$A$262,SMALL(IF($B$2:$B$262=$C$3,ROW($A$2:$A$262),""),ROW()-1)))</f>
        <v/>
      </c>
    </row>
    <row r="161" spans="1:6">
      <c r="A161" s="9">
        <v>16237</v>
      </c>
      <c r="B161" s="10" t="s">
        <v>68</v>
      </c>
      <c r="F161" s="11" t="str">
        <f t="array" ref="F161">IF(ROW()-1&gt;COUNTIF($B$2:$B$262,$C$3),"",INDEX($A$2:$A$262,SMALL(IF($B$2:$B$262=$C$3,ROW($A$2:$A$262),""),ROW()-1)))</f>
        <v/>
      </c>
    </row>
    <row r="162" spans="1:6">
      <c r="A162" s="9">
        <v>16249</v>
      </c>
      <c r="B162" s="10" t="s">
        <v>68</v>
      </c>
      <c r="F162" s="11" t="str">
        <f t="array" ref="F162">IF(ROW()-1&gt;COUNTIF($B$2:$B$262,$C$3),"",INDEX($A$2:$A$262,SMALL(IF($B$2:$B$262=$C$3,ROW($A$2:$A$262),""),ROW()-1)))</f>
        <v/>
      </c>
    </row>
    <row r="163" spans="1:6">
      <c r="A163" s="9">
        <v>16762</v>
      </c>
      <c r="B163" s="10" t="s">
        <v>68</v>
      </c>
      <c r="F163" s="11" t="str">
        <f t="array" ref="F163">IF(ROW()-1&gt;COUNTIF($B$2:$B$262,$C$3),"",INDEX($A$2:$A$262,SMALL(IF($B$2:$B$262=$C$3,ROW($A$2:$A$262),""),ROW()-1)))</f>
        <v/>
      </c>
    </row>
    <row r="164" spans="1:6">
      <c r="A164" s="9">
        <v>16281</v>
      </c>
      <c r="B164" s="10" t="s">
        <v>68</v>
      </c>
      <c r="F164" s="11" t="str">
        <f t="array" ref="F164">IF(ROW()-1&gt;COUNTIF($B$2:$B$262,$C$3),"",INDEX($A$2:$A$262,SMALL(IF($B$2:$B$262=$C$3,ROW($A$2:$A$262),""),ROW()-1)))</f>
        <v/>
      </c>
    </row>
    <row r="165" spans="1:6">
      <c r="A165" s="9">
        <v>16507</v>
      </c>
      <c r="B165" s="10" t="s">
        <v>68</v>
      </c>
      <c r="F165" s="11" t="str">
        <f t="array" ref="F165">IF(ROW()-1&gt;COUNTIF($B$2:$B$262,$C$3),"",INDEX($A$2:$A$262,SMALL(IF($B$2:$B$262=$C$3,ROW($A$2:$A$262),""),ROW()-1)))</f>
        <v/>
      </c>
    </row>
    <row r="166" spans="1:6">
      <c r="A166" s="9" t="s">
        <v>71</v>
      </c>
      <c r="B166" s="10" t="s">
        <v>68</v>
      </c>
      <c r="F166" s="11" t="str">
        <f t="array" ref="F166">IF(ROW()-1&gt;COUNTIF($B$2:$B$262,$C$3),"",INDEX($A$2:$A$262,SMALL(IF($B$2:$B$262=$C$3,ROW($A$2:$A$262),""),ROW()-1)))</f>
        <v/>
      </c>
    </row>
    <row r="167" spans="1:6">
      <c r="A167" s="9">
        <v>16531</v>
      </c>
      <c r="B167" s="10" t="s">
        <v>68</v>
      </c>
      <c r="F167" s="11" t="str">
        <f t="array" ref="F167">IF(ROW()-1&gt;COUNTIF($B$2:$B$262,$C$3),"",INDEX($A$2:$A$262,SMALL(IF($B$2:$B$262=$C$3,ROW($A$2:$A$262),""),ROW()-1)))</f>
        <v/>
      </c>
    </row>
    <row r="168" spans="1:6">
      <c r="A168" s="9">
        <v>16570</v>
      </c>
      <c r="B168" s="10" t="s">
        <v>68</v>
      </c>
      <c r="F168" s="11" t="str">
        <f t="array" ref="F168">IF(ROW()-1&gt;COUNTIF($B$2:$B$262,$C$3),"",INDEX($A$2:$A$262,SMALL(IF($B$2:$B$262=$C$3,ROW($A$2:$A$262),""),ROW()-1)))</f>
        <v/>
      </c>
    </row>
    <row r="169" spans="1:6">
      <c r="A169" s="9">
        <v>16584</v>
      </c>
      <c r="B169" s="10" t="s">
        <v>68</v>
      </c>
      <c r="F169" s="11" t="str">
        <f t="array" ref="F169">IF(ROW()-1&gt;COUNTIF($B$2:$B$262,$C$3),"",INDEX($A$2:$A$262,SMALL(IF($B$2:$B$262=$C$3,ROW($A$2:$A$262),""),ROW()-1)))</f>
        <v/>
      </c>
    </row>
    <row r="170" spans="1:6">
      <c r="A170" s="9" t="s">
        <v>72</v>
      </c>
      <c r="B170" s="10" t="s">
        <v>68</v>
      </c>
      <c r="F170" s="11" t="str">
        <f t="array" ref="F170">IF(ROW()-1&gt;COUNTIF($B$2:$B$262,$C$3),"",INDEX($A$2:$A$262,SMALL(IF($B$2:$B$262=$C$3,ROW($A$2:$A$262),""),ROW()-1)))</f>
        <v/>
      </c>
    </row>
    <row r="171" spans="1:6">
      <c r="A171" s="9">
        <v>16638</v>
      </c>
      <c r="B171" s="10" t="s">
        <v>68</v>
      </c>
      <c r="F171" s="11" t="str">
        <f t="array" ref="F171">IF(ROW()-1&gt;COUNTIF($B$2:$B$262,$C$3),"",INDEX($A$2:$A$262,SMALL(IF($B$2:$B$262=$C$3,ROW($A$2:$A$262),""),ROW()-1)))</f>
        <v/>
      </c>
    </row>
    <row r="172" spans="1:6">
      <c r="A172" s="9">
        <v>16645</v>
      </c>
      <c r="B172" s="10" t="s">
        <v>68</v>
      </c>
      <c r="F172" s="11" t="str">
        <f t="array" ref="F172">IF(ROW()-1&gt;COUNTIF($B$2:$B$262,$C$3),"",INDEX($A$2:$A$262,SMALL(IF($B$2:$B$262=$C$3,ROW($A$2:$A$262),""),ROW()-1)))</f>
        <v/>
      </c>
    </row>
    <row r="173" spans="1:6">
      <c r="A173" s="9">
        <v>16656</v>
      </c>
      <c r="B173" s="10" t="s">
        <v>68</v>
      </c>
      <c r="F173" s="11" t="str">
        <f t="array" ref="F173">IF(ROW()-1&gt;COUNTIF($B$2:$B$262,$C$3),"",INDEX($A$2:$A$262,SMALL(IF($B$2:$B$262=$C$3,ROW($A$2:$A$262),""),ROW()-1)))</f>
        <v/>
      </c>
    </row>
    <row r="174" spans="1:6">
      <c r="A174" s="9" t="s">
        <v>73</v>
      </c>
      <c r="B174" s="10" t="s">
        <v>68</v>
      </c>
      <c r="F174" s="11" t="str">
        <f t="array" ref="F174">IF(ROW()-1&gt;COUNTIF($B$2:$B$262,$C$3),"",INDEX($A$2:$A$262,SMALL(IF($B$2:$B$262=$C$3,ROW($A$2:$A$262),""),ROW()-1)))</f>
        <v/>
      </c>
    </row>
    <row r="175" spans="1:6">
      <c r="A175" s="9">
        <v>42273</v>
      </c>
      <c r="B175" s="10" t="s">
        <v>68</v>
      </c>
      <c r="F175" s="11" t="str">
        <f t="array" ref="F175">IF(ROW()-1&gt;COUNTIF($B$2:$B$262,$C$3),"",INDEX($A$2:$A$262,SMALL(IF($B$2:$B$262=$C$3,ROW($A$2:$A$262),""),ROW()-1)))</f>
        <v/>
      </c>
    </row>
    <row r="176" spans="1:6">
      <c r="A176" s="9">
        <v>42775</v>
      </c>
      <c r="B176" s="10" t="s">
        <v>68</v>
      </c>
      <c r="F176" s="11" t="str">
        <f t="array" ref="F176">IF(ROW()-1&gt;COUNTIF($B$2:$B$262,$C$3),"",INDEX($A$2:$A$262,SMALL(IF($B$2:$B$262=$C$3,ROW($A$2:$A$262),""),ROW()-1)))</f>
        <v/>
      </c>
    </row>
    <row r="177" spans="1:6">
      <c r="A177" s="9">
        <v>42506</v>
      </c>
      <c r="B177" s="10" t="s">
        <v>68</v>
      </c>
      <c r="F177" s="11" t="str">
        <f t="array" ref="F177">IF(ROW()-1&gt;COUNTIF($B$2:$B$262,$C$3),"",INDEX($A$2:$A$262,SMALL(IF($B$2:$B$262=$C$3,ROW($A$2:$A$262),""),ROW()-1)))</f>
        <v/>
      </c>
    </row>
    <row r="178" spans="1:6">
      <c r="A178" s="9" t="s">
        <v>74</v>
      </c>
      <c r="B178" s="10" t="s">
        <v>75</v>
      </c>
      <c r="F178" s="11" t="str">
        <f t="array" ref="F178">IF(ROW()-1&gt;COUNTIF($B$2:$B$262,$C$3),"",INDEX($A$2:$A$262,SMALL(IF($B$2:$B$262=$C$3,ROW($A$2:$A$262),""),ROW()-1)))</f>
        <v/>
      </c>
    </row>
    <row r="179" spans="1:6">
      <c r="A179" s="9" t="s">
        <v>76</v>
      </c>
      <c r="B179" s="10" t="s">
        <v>75</v>
      </c>
      <c r="F179" s="11" t="str">
        <f t="array" ref="F179">IF(ROW()-1&gt;COUNTIF($B$2:$B$262,$C$3),"",INDEX($A$2:$A$262,SMALL(IF($B$2:$B$262=$C$3,ROW($A$2:$A$262),""),ROW()-1)))</f>
        <v/>
      </c>
    </row>
    <row r="180" spans="1:6">
      <c r="A180" s="9" t="s">
        <v>77</v>
      </c>
      <c r="B180" s="10" t="s">
        <v>75</v>
      </c>
      <c r="F180" s="11" t="str">
        <f t="array" ref="F180">IF(ROW()-1&gt;COUNTIF($B$2:$B$262,$C$3),"",INDEX($A$2:$A$262,SMALL(IF($B$2:$B$262=$C$3,ROW($A$2:$A$262),""),ROW()-1)))</f>
        <v/>
      </c>
    </row>
    <row r="181" spans="1:6">
      <c r="A181" s="9" t="s">
        <v>78</v>
      </c>
      <c r="B181" s="10" t="s">
        <v>75</v>
      </c>
      <c r="F181" s="11" t="str">
        <f t="array" ref="F181">IF(ROW()-1&gt;COUNTIF($B$2:$B$262,$C$3),"",INDEX($A$2:$A$262,SMALL(IF($B$2:$B$262=$C$3,ROW($A$2:$A$262),""),ROW()-1)))</f>
        <v/>
      </c>
    </row>
    <row r="182" spans="1:6">
      <c r="A182" s="9" t="s">
        <v>79</v>
      </c>
      <c r="B182" s="10" t="s">
        <v>75</v>
      </c>
      <c r="F182" s="11" t="str">
        <f t="array" ref="F182">IF(ROW()-1&gt;COUNTIF($B$2:$B$262,$C$3),"",INDEX($A$2:$A$262,SMALL(IF($B$2:$B$262=$C$3,ROW($A$2:$A$262),""),ROW()-1)))</f>
        <v/>
      </c>
    </row>
    <row r="183" spans="1:6">
      <c r="A183" s="9" t="s">
        <v>80</v>
      </c>
      <c r="B183" s="10" t="s">
        <v>75</v>
      </c>
      <c r="F183" s="11" t="str">
        <f t="array" ref="F183">IF(ROW()-1&gt;COUNTIF($B$2:$B$262,$C$3),"",INDEX($A$2:$A$262,SMALL(IF($B$2:$B$262=$C$3,ROW($A$2:$A$262),""),ROW()-1)))</f>
        <v/>
      </c>
    </row>
    <row r="184" spans="1:6">
      <c r="A184" s="9" t="s">
        <v>81</v>
      </c>
      <c r="B184" s="10" t="s">
        <v>75</v>
      </c>
      <c r="F184" s="11" t="str">
        <f t="array" ref="F184">IF(ROW()-1&gt;COUNTIF($B$2:$B$262,$C$3),"",INDEX($A$2:$A$262,SMALL(IF($B$2:$B$262=$C$3,ROW($A$2:$A$262),""),ROW()-1)))</f>
        <v/>
      </c>
    </row>
    <row r="185" spans="1:6">
      <c r="A185" s="9" t="s">
        <v>82</v>
      </c>
      <c r="B185" s="10" t="s">
        <v>75</v>
      </c>
      <c r="F185" s="11" t="str">
        <f t="array" ref="F185">IF(ROW()-1&gt;COUNTIF($B$2:$B$262,$C$3),"",INDEX($A$2:$A$262,SMALL(IF($B$2:$B$262=$C$3,ROW($A$2:$A$262),""),ROW()-1)))</f>
        <v/>
      </c>
    </row>
    <row r="186" spans="1:6">
      <c r="A186" s="9" t="s">
        <v>83</v>
      </c>
      <c r="B186" s="10" t="s">
        <v>75</v>
      </c>
      <c r="F186" s="11" t="str">
        <f t="array" ref="F186">IF(ROW()-1&gt;COUNTIF($B$2:$B$262,$C$3),"",INDEX($A$2:$A$262,SMALL(IF($B$2:$B$262=$C$3,ROW($A$2:$A$262),""),ROW()-1)))</f>
        <v/>
      </c>
    </row>
    <row r="187" spans="1:6">
      <c r="A187" s="9" t="s">
        <v>84</v>
      </c>
      <c r="B187" s="10" t="s">
        <v>75</v>
      </c>
      <c r="F187" s="11" t="str">
        <f t="array" ref="F187">IF(ROW()-1&gt;COUNTIF($B$2:$B$262,$C$3),"",INDEX($A$2:$A$262,SMALL(IF($B$2:$B$262=$C$3,ROW($A$2:$A$262),""),ROW()-1)))</f>
        <v/>
      </c>
    </row>
    <row r="188" spans="1:6">
      <c r="A188" s="9" t="s">
        <v>85</v>
      </c>
      <c r="B188" s="10" t="s">
        <v>75</v>
      </c>
      <c r="F188" s="11" t="str">
        <f t="array" ref="F188">IF(ROW()-1&gt;COUNTIF($B$2:$B$262,$C$3),"",INDEX($A$2:$A$262,SMALL(IF($B$2:$B$262=$C$3,ROW($A$2:$A$262),""),ROW()-1)))</f>
        <v/>
      </c>
    </row>
    <row r="189" spans="1:6">
      <c r="A189" s="9" t="s">
        <v>86</v>
      </c>
      <c r="B189" s="10" t="s">
        <v>75</v>
      </c>
      <c r="F189" s="11" t="str">
        <f t="array" ref="F189">IF(ROW()-1&gt;COUNTIF($B$2:$B$262,$C$3),"",INDEX($A$2:$A$262,SMALL(IF($B$2:$B$262=$C$3,ROW($A$2:$A$262),""),ROW()-1)))</f>
        <v/>
      </c>
    </row>
    <row r="190" spans="1:6">
      <c r="A190" s="9" t="s">
        <v>87</v>
      </c>
      <c r="B190" s="10" t="s">
        <v>75</v>
      </c>
      <c r="F190" s="11" t="str">
        <f t="array" ref="F190">IF(ROW()-1&gt;COUNTIF($B$2:$B$262,$C$3),"",INDEX($A$2:$A$262,SMALL(IF($B$2:$B$262=$C$3,ROW($A$2:$A$262),""),ROW()-1)))</f>
        <v/>
      </c>
    </row>
    <row r="191" spans="1:6">
      <c r="A191" s="9" t="s">
        <v>88</v>
      </c>
      <c r="B191" s="10" t="s">
        <v>75</v>
      </c>
      <c r="F191" s="11" t="str">
        <f t="array" ref="F191">IF(ROW()-1&gt;COUNTIF($B$2:$B$262,$C$3),"",INDEX($A$2:$A$262,SMALL(IF($B$2:$B$262=$C$3,ROW($A$2:$A$262),""),ROW()-1)))</f>
        <v/>
      </c>
    </row>
    <row r="192" spans="1:6">
      <c r="A192" s="9">
        <v>17571</v>
      </c>
      <c r="B192" s="10" t="s">
        <v>75</v>
      </c>
      <c r="F192" s="11" t="str">
        <f t="array" ref="F192">IF(ROW()-1&gt;COUNTIF($B$2:$B$262,$C$3),"",INDEX($A$2:$A$262,SMALL(IF($B$2:$B$262=$C$3,ROW($A$2:$A$262),""),ROW()-1)))</f>
        <v/>
      </c>
    </row>
    <row r="193" spans="1:6">
      <c r="A193" s="9" t="s">
        <v>89</v>
      </c>
      <c r="B193" s="10" t="s">
        <v>75</v>
      </c>
      <c r="F193" s="11" t="str">
        <f t="array" ref="F193">IF(ROW()-1&gt;COUNTIF($B$2:$B$262,$C$3),"",INDEX($A$2:$A$262,SMALL(IF($B$2:$B$262=$C$3,ROW($A$2:$A$262),""),ROW()-1)))</f>
        <v/>
      </c>
    </row>
    <row r="194" spans="1:6">
      <c r="A194" s="9">
        <v>17149</v>
      </c>
      <c r="B194" s="10" t="s">
        <v>75</v>
      </c>
      <c r="F194" s="11" t="str">
        <f t="array" ref="F194">IF(ROW()-1&gt;COUNTIF($B$2:$B$262,$C$3),"",INDEX($A$2:$A$262,SMALL(IF($B$2:$B$262=$C$3,ROW($A$2:$A$262),""),ROW()-1)))</f>
        <v/>
      </c>
    </row>
    <row r="195" spans="1:6">
      <c r="A195" s="9">
        <v>17305</v>
      </c>
      <c r="B195" s="10" t="s">
        <v>75</v>
      </c>
      <c r="F195" s="11" t="str">
        <f t="array" ref="F195">IF(ROW()-1&gt;COUNTIF($B$2:$B$262,$C$3),"",INDEX($A$2:$A$262,SMALL(IF($B$2:$B$262=$C$3,ROW($A$2:$A$262),""),ROW()-1)))</f>
        <v/>
      </c>
    </row>
    <row r="196" spans="1:6">
      <c r="A196" s="9">
        <v>26672</v>
      </c>
      <c r="B196" s="10" t="s">
        <v>75</v>
      </c>
      <c r="F196" s="11" t="str">
        <f t="array" ref="F196">IF(ROW()-1&gt;COUNTIF($B$2:$B$262,$C$3),"",INDEX($A$2:$A$262,SMALL(IF($B$2:$B$262=$C$3,ROW($A$2:$A$262),""),ROW()-1)))</f>
        <v/>
      </c>
    </row>
    <row r="197" spans="1:6">
      <c r="A197" s="9">
        <v>38286</v>
      </c>
      <c r="B197" s="10" t="s">
        <v>75</v>
      </c>
      <c r="F197" s="11" t="str">
        <f t="array" ref="F197">IF(ROW()-1&gt;COUNTIF($B$2:$B$262,$C$3),"",INDEX($A$2:$A$262,SMALL(IF($B$2:$B$262=$C$3,ROW($A$2:$A$262),""),ROW()-1)))</f>
        <v/>
      </c>
    </row>
    <row r="198" spans="1:6">
      <c r="A198" s="9">
        <v>44728</v>
      </c>
      <c r="B198" s="10" t="s">
        <v>75</v>
      </c>
      <c r="F198" s="11" t="str">
        <f t="array" ref="F198">IF(ROW()-1&gt;COUNTIF($B$2:$B$262,$C$3),"",INDEX($A$2:$A$262,SMALL(IF($B$2:$B$262=$C$3,ROW($A$2:$A$262),""),ROW()-1)))</f>
        <v/>
      </c>
    </row>
    <row r="199" spans="1:6">
      <c r="A199" s="9">
        <v>44235</v>
      </c>
      <c r="B199" s="10" t="s">
        <v>75</v>
      </c>
      <c r="F199" s="11" t="str">
        <f t="array" ref="F199">IF(ROW()-1&gt;COUNTIF($B$2:$B$262,$C$3),"",INDEX($A$2:$A$262,SMALL(IF($B$2:$B$262=$C$3,ROW($A$2:$A$262),""),ROW()-1)))</f>
        <v/>
      </c>
    </row>
    <row r="200" spans="1:6">
      <c r="A200" s="9">
        <v>44268</v>
      </c>
      <c r="B200" s="10" t="s">
        <v>75</v>
      </c>
      <c r="F200" s="11" t="str">
        <f t="array" ref="F200">IF(ROW()-1&gt;COUNTIF($B$2:$B$262,$C$3),"",INDEX($A$2:$A$262,SMALL(IF($B$2:$B$262=$C$3,ROW($A$2:$A$262),""),ROW()-1)))</f>
        <v/>
      </c>
    </row>
    <row r="201" spans="1:6">
      <c r="A201" s="9">
        <v>44598</v>
      </c>
      <c r="B201" s="10" t="s">
        <v>75</v>
      </c>
      <c r="F201" s="11" t="str">
        <f t="array" ref="F201">IF(ROW()-1&gt;COUNTIF($B$2:$B$262,$C$3),"",INDEX($A$2:$A$262,SMALL(IF($B$2:$B$262=$C$3,ROW($A$2:$A$262),""),ROW()-1)))</f>
        <v/>
      </c>
    </row>
    <row r="202" spans="1:6">
      <c r="A202" s="9" t="s">
        <v>90</v>
      </c>
      <c r="B202" s="10" t="s">
        <v>75</v>
      </c>
      <c r="F202" s="11" t="str">
        <f t="array" ref="F202">IF(ROW()-1&gt;COUNTIF($B$2:$B$262,$C$3),"",INDEX($A$2:$A$262,SMALL(IF($B$2:$B$262=$C$3,ROW($A$2:$A$262),""),ROW()-1)))</f>
        <v/>
      </c>
    </row>
    <row r="203" spans="1:6">
      <c r="A203" s="9" t="s">
        <v>91</v>
      </c>
      <c r="B203" s="10" t="s">
        <v>75</v>
      </c>
      <c r="F203" s="11" t="str">
        <f t="array" ref="F203">IF(ROW()-1&gt;COUNTIF($B$2:$B$262,$C$3),"",INDEX($A$2:$A$262,SMALL(IF($B$2:$B$262=$C$3,ROW($A$2:$A$262),""),ROW()-1)))</f>
        <v/>
      </c>
    </row>
    <row r="204" spans="1:6">
      <c r="A204" s="9" t="s">
        <v>92</v>
      </c>
      <c r="B204" s="10" t="s">
        <v>75</v>
      </c>
      <c r="F204" s="11" t="str">
        <f t="array" ref="F204">IF(ROW()-1&gt;COUNTIF($B$2:$B$262,$C$3),"",INDEX($A$2:$A$262,SMALL(IF($B$2:$B$262=$C$3,ROW($A$2:$A$262),""),ROW()-1)))</f>
        <v/>
      </c>
    </row>
    <row r="205" spans="1:6">
      <c r="A205" s="9">
        <v>47157</v>
      </c>
      <c r="B205" s="10" t="s">
        <v>75</v>
      </c>
      <c r="F205" s="11" t="str">
        <f t="array" ref="F205">IF(ROW()-1&gt;COUNTIF($B$2:$B$262,$C$3),"",INDEX($A$2:$A$262,SMALL(IF($B$2:$B$262=$C$3,ROW($A$2:$A$262),""),ROW()-1)))</f>
        <v/>
      </c>
    </row>
    <row r="206" spans="1:6">
      <c r="A206" s="9">
        <v>47557</v>
      </c>
      <c r="B206" s="10" t="s">
        <v>75</v>
      </c>
      <c r="F206" s="11" t="str">
        <f t="array" ref="F206">IF(ROW()-1&gt;COUNTIF($B$2:$B$262,$C$3),"",INDEX($A$2:$A$262,SMALL(IF($B$2:$B$262=$C$3,ROW($A$2:$A$262),""),ROW()-1)))</f>
        <v/>
      </c>
    </row>
    <row r="207" spans="1:6">
      <c r="A207" s="9" t="s">
        <v>93</v>
      </c>
      <c r="B207" s="10" t="s">
        <v>94</v>
      </c>
      <c r="F207" s="11" t="str">
        <f t="array" ref="F207">IF(ROW()-1&gt;COUNTIF($B$2:$B$262,$C$3),"",INDEX($A$2:$A$262,SMALL(IF($B$2:$B$262=$C$3,ROW($A$2:$A$262),""),ROW()-1)))</f>
        <v/>
      </c>
    </row>
    <row r="208" spans="1:6">
      <c r="A208" s="9">
        <v>14028</v>
      </c>
      <c r="B208" s="10" t="s">
        <v>94</v>
      </c>
      <c r="F208" s="11" t="str">
        <f t="array" ref="F208">IF(ROW()-1&gt;COUNTIF($B$2:$B$262,$C$3),"",INDEX($A$2:$A$262,SMALL(IF($B$2:$B$262=$C$3,ROW($A$2:$A$262),""),ROW()-1)))</f>
        <v/>
      </c>
    </row>
    <row r="209" spans="1:6">
      <c r="A209" s="9">
        <v>14089</v>
      </c>
      <c r="B209" s="10" t="s">
        <v>94</v>
      </c>
      <c r="F209" s="11" t="str">
        <f t="array" ref="F209">IF(ROW()-1&gt;COUNTIF($B$2:$B$262,$C$3),"",INDEX($A$2:$A$262,SMALL(IF($B$2:$B$262=$C$3,ROW($A$2:$A$262),""),ROW()-1)))</f>
        <v/>
      </c>
    </row>
    <row r="210" spans="1:6">
      <c r="A210" s="9">
        <v>22047</v>
      </c>
      <c r="B210" s="10" t="s">
        <v>94</v>
      </c>
      <c r="F210" s="11" t="str">
        <f t="array" ref="F210">IF(ROW()-1&gt;COUNTIF($B$2:$B$262,$C$3),"",INDEX($A$2:$A$262,SMALL(IF($B$2:$B$262=$C$3,ROW($A$2:$A$262),""),ROW()-1)))</f>
        <v/>
      </c>
    </row>
    <row r="211" spans="1:6">
      <c r="A211" s="9">
        <v>22255</v>
      </c>
      <c r="B211" s="10" t="s">
        <v>94</v>
      </c>
      <c r="F211" s="11" t="str">
        <f t="array" ref="F211">IF(ROW()-1&gt;COUNTIF($B$2:$B$262,$C$3),"",INDEX($A$2:$A$262,SMALL(IF($B$2:$B$262=$C$3,ROW($A$2:$A$262),""),ROW()-1)))</f>
        <v/>
      </c>
    </row>
    <row r="212" spans="1:6">
      <c r="A212" s="9">
        <v>27009</v>
      </c>
      <c r="B212" s="10" t="s">
        <v>94</v>
      </c>
      <c r="F212" s="11" t="str">
        <f t="array" ref="F212">IF(ROW()-1&gt;COUNTIF($B$2:$B$262,$C$3),"",INDEX($A$2:$A$262,SMALL(IF($B$2:$B$262=$C$3,ROW($A$2:$A$262),""),ROW()-1)))</f>
        <v/>
      </c>
    </row>
    <row r="213" spans="1:6">
      <c r="A213" s="9">
        <v>27121</v>
      </c>
      <c r="B213" s="10" t="s">
        <v>94</v>
      </c>
      <c r="F213" s="11" t="str">
        <f t="array" ref="F213">IF(ROW()-1&gt;COUNTIF($B$2:$B$262,$C$3),"",INDEX($A$2:$A$262,SMALL(IF($B$2:$B$262=$C$3,ROW($A$2:$A$262),""),ROW()-1)))</f>
        <v/>
      </c>
    </row>
    <row r="214" spans="1:6">
      <c r="A214" s="9" t="s">
        <v>95</v>
      </c>
      <c r="B214" s="10" t="s">
        <v>94</v>
      </c>
      <c r="F214" s="11" t="str">
        <f t="array" ref="F214">IF(ROW()-1&gt;COUNTIF($B$2:$B$262,$C$3),"",INDEX($A$2:$A$262,SMALL(IF($B$2:$B$262=$C$3,ROW($A$2:$A$262),""),ROW()-1)))</f>
        <v/>
      </c>
    </row>
    <row r="215" spans="1:6">
      <c r="A215" s="9">
        <v>27259</v>
      </c>
      <c r="B215" s="10" t="s">
        <v>94</v>
      </c>
      <c r="F215" s="11" t="str">
        <f t="array" ref="F215">IF(ROW()-1&gt;COUNTIF($B$2:$B$262,$C$3),"",INDEX($A$2:$A$262,SMALL(IF($B$2:$B$262=$C$3,ROW($A$2:$A$262),""),ROW()-1)))</f>
        <v/>
      </c>
    </row>
    <row r="216" spans="1:6">
      <c r="A216" s="9">
        <v>27665</v>
      </c>
      <c r="B216" s="10" t="s">
        <v>94</v>
      </c>
      <c r="F216" s="11" t="str">
        <f t="array" ref="F216">IF(ROW()-1&gt;COUNTIF($B$2:$B$262,$C$3),"",INDEX($A$2:$A$262,SMALL(IF($B$2:$B$262=$C$3,ROW($A$2:$A$262),""),ROW()-1)))</f>
        <v/>
      </c>
    </row>
    <row r="217" spans="1:6">
      <c r="A217" s="9" t="s">
        <v>96</v>
      </c>
      <c r="B217" s="10" t="s">
        <v>94</v>
      </c>
      <c r="F217" s="11" t="str">
        <f t="array" ref="F217">IF(ROW()-1&gt;COUNTIF($B$2:$B$262,$C$3),"",INDEX($A$2:$A$262,SMALL(IF($B$2:$B$262=$C$3,ROW($A$2:$A$262),""),ROW()-1)))</f>
        <v/>
      </c>
    </row>
    <row r="218" spans="1:6">
      <c r="A218" s="9">
        <v>29074</v>
      </c>
      <c r="B218" s="10" t="s">
        <v>94</v>
      </c>
      <c r="F218" s="11" t="str">
        <f t="array" ref="F218">IF(ROW()-1&gt;COUNTIF($B$2:$B$262,$C$3),"",INDEX($A$2:$A$262,SMALL(IF($B$2:$B$262=$C$3,ROW($A$2:$A$262),""),ROW()-1)))</f>
        <v/>
      </c>
    </row>
    <row r="219" spans="1:6">
      <c r="A219" s="9" t="s">
        <v>97</v>
      </c>
      <c r="B219" s="10" t="s">
        <v>94</v>
      </c>
      <c r="F219" s="11" t="str">
        <f t="array" ref="F219">IF(ROW()-1&gt;COUNTIF($B$2:$B$262,$C$3),"",INDEX($A$2:$A$262,SMALL(IF($B$2:$B$262=$C$3,ROW($A$2:$A$262),""),ROW()-1)))</f>
        <v/>
      </c>
    </row>
    <row r="220" spans="1:6">
      <c r="A220" s="9">
        <v>29558</v>
      </c>
      <c r="B220" s="10" t="s">
        <v>94</v>
      </c>
      <c r="F220" s="11" t="str">
        <f t="array" ref="F220">IF(ROW()-1&gt;COUNTIF($B$2:$B$262,$C$3),"",INDEX($A$2:$A$262,SMALL(IF($B$2:$B$262=$C$3,ROW($A$2:$A$262),""),ROW()-1)))</f>
        <v/>
      </c>
    </row>
    <row r="221" spans="1:6">
      <c r="A221" s="9">
        <v>31012</v>
      </c>
      <c r="B221" s="10" t="s">
        <v>94</v>
      </c>
      <c r="F221" s="11" t="str">
        <f t="array" ref="F221">IF(ROW()-1&gt;COUNTIF($B$2:$B$262,$C$3),"",INDEX($A$2:$A$262,SMALL(IF($B$2:$B$262=$C$3,ROW($A$2:$A$262),""),ROW()-1)))</f>
        <v/>
      </c>
    </row>
    <row r="222" spans="1:6">
      <c r="A222" s="9">
        <v>31014</v>
      </c>
      <c r="B222" s="10" t="s">
        <v>94</v>
      </c>
      <c r="F222" s="11" t="str">
        <f t="array" ref="F222">IF(ROW()-1&gt;COUNTIF($B$2:$B$262,$C$3),"",INDEX($A$2:$A$262,SMALL(IF($B$2:$B$262=$C$3,ROW($A$2:$A$262),""),ROW()-1)))</f>
        <v/>
      </c>
    </row>
    <row r="223" spans="1:6">
      <c r="A223" s="9" t="s">
        <v>98</v>
      </c>
      <c r="B223" s="10" t="s">
        <v>94</v>
      </c>
      <c r="F223" s="11" t="str">
        <f t="array" ref="F223">IF(ROW()-1&gt;COUNTIF($B$2:$B$262,$C$3),"",INDEX($A$2:$A$262,SMALL(IF($B$2:$B$262=$C$3,ROW($A$2:$A$262),""),ROW()-1)))</f>
        <v/>
      </c>
    </row>
    <row r="224" spans="1:6">
      <c r="A224" s="9">
        <v>31042</v>
      </c>
      <c r="B224" s="10" t="s">
        <v>94</v>
      </c>
      <c r="F224" s="11" t="str">
        <f t="array" ref="F224">IF(ROW()-1&gt;COUNTIF($B$2:$B$262,$C$3),"",INDEX($A$2:$A$262,SMALL(IF($B$2:$B$262=$C$3,ROW($A$2:$A$262),""),ROW()-1)))</f>
        <v/>
      </c>
    </row>
    <row r="225" spans="1:6">
      <c r="A225" s="9">
        <v>31062</v>
      </c>
      <c r="B225" s="10" t="s">
        <v>94</v>
      </c>
      <c r="F225" s="11" t="str">
        <f t="array" ref="F225">IF(ROW()-1&gt;COUNTIF($B$2:$B$262,$C$3),"",INDEX($A$2:$A$262,SMALL(IF($B$2:$B$262=$C$3,ROW($A$2:$A$262),""),ROW()-1)))</f>
        <v/>
      </c>
    </row>
    <row r="226" spans="1:6">
      <c r="A226" s="9" t="s">
        <v>99</v>
      </c>
      <c r="B226" s="10" t="s">
        <v>94</v>
      </c>
      <c r="F226" s="11" t="str">
        <f t="array" ref="F226">IF(ROW()-1&gt;COUNTIF($B$2:$B$262,$C$3),"",INDEX($A$2:$A$262,SMALL(IF($B$2:$B$262=$C$3,ROW($A$2:$A$262),""),ROW()-1)))</f>
        <v/>
      </c>
    </row>
    <row r="227" spans="1:6">
      <c r="A227" s="9">
        <v>31078</v>
      </c>
      <c r="B227" s="10" t="s">
        <v>94</v>
      </c>
      <c r="F227" s="11" t="str">
        <f t="array" ref="F227">IF(ROW()-1&gt;COUNTIF($B$2:$B$262,$C$3),"",INDEX($A$2:$A$262,SMALL(IF($B$2:$B$262=$C$3,ROW($A$2:$A$262),""),ROW()-1)))</f>
        <v/>
      </c>
    </row>
    <row r="228" spans="1:6">
      <c r="A228" s="9">
        <v>29254</v>
      </c>
      <c r="B228" s="10" t="s">
        <v>94</v>
      </c>
      <c r="F228" s="11" t="str">
        <f t="array" ref="F228">IF(ROW()-1&gt;COUNTIF($B$2:$B$262,$C$3),"",INDEX($A$2:$A$262,SMALL(IF($B$2:$B$262=$C$3,ROW($A$2:$A$262),""),ROW()-1)))</f>
        <v/>
      </c>
    </row>
    <row r="229" spans="1:6">
      <c r="A229" s="9">
        <v>31636</v>
      </c>
      <c r="B229" s="10" t="s">
        <v>94</v>
      </c>
      <c r="F229" s="11" t="str">
        <f t="array" ref="F229">IF(ROW()-1&gt;COUNTIF($B$2:$B$262,$C$3),"",INDEX($A$2:$A$262,SMALL(IF($B$2:$B$262=$C$3,ROW($A$2:$A$262),""),ROW()-1)))</f>
        <v/>
      </c>
    </row>
    <row r="230" spans="1:6">
      <c r="A230" s="9">
        <v>31200</v>
      </c>
      <c r="B230" s="10" t="s">
        <v>94</v>
      </c>
      <c r="F230" s="11" t="str">
        <f t="array" ref="F230">IF(ROW()-1&gt;COUNTIF($B$2:$B$262,$C$3),"",INDEX($A$2:$A$262,SMALL(IF($B$2:$B$262=$C$3,ROW($A$2:$A$262),""),ROW()-1)))</f>
        <v/>
      </c>
    </row>
    <row r="231" spans="1:6">
      <c r="A231" s="9" t="s">
        <v>100</v>
      </c>
      <c r="B231" s="10" t="s">
        <v>94</v>
      </c>
      <c r="F231" s="11" t="str">
        <f t="array" ref="F231">IF(ROW()-1&gt;COUNTIF($B$2:$B$262,$C$3),"",INDEX($A$2:$A$262,SMALL(IF($B$2:$B$262=$C$3,ROW($A$2:$A$262),""),ROW()-1)))</f>
        <v/>
      </c>
    </row>
    <row r="232" spans="1:6">
      <c r="A232" s="9">
        <v>31212</v>
      </c>
      <c r="B232" s="10" t="s">
        <v>94</v>
      </c>
      <c r="F232" s="11" t="str">
        <f t="array" ref="F232">IF(ROW()-1&gt;COUNTIF($B$2:$B$262,$C$3),"",INDEX($A$2:$A$262,SMALL(IF($B$2:$B$262=$C$3,ROW($A$2:$A$262),""),ROW()-1)))</f>
        <v/>
      </c>
    </row>
    <row r="233" spans="1:6">
      <c r="A233" s="9">
        <v>31213</v>
      </c>
      <c r="B233" s="10" t="s">
        <v>94</v>
      </c>
      <c r="F233" s="11" t="str">
        <f t="array" ref="F233">IF(ROW()-1&gt;COUNTIF($B$2:$B$262,$C$3),"",INDEX($A$2:$A$262,SMALL(IF($B$2:$B$262=$C$3,ROW($A$2:$A$262),""),ROW()-1)))</f>
        <v/>
      </c>
    </row>
    <row r="234" spans="1:6">
      <c r="A234" s="9">
        <v>31236</v>
      </c>
      <c r="B234" s="10" t="s">
        <v>94</v>
      </c>
      <c r="F234" s="11" t="str">
        <f t="array" ref="F234">IF(ROW()-1&gt;COUNTIF($B$2:$B$262,$C$3),"",INDEX($A$2:$A$262,SMALL(IF($B$2:$B$262=$C$3,ROW($A$2:$A$262),""),ROW()-1)))</f>
        <v/>
      </c>
    </row>
    <row r="235" spans="1:6">
      <c r="A235" s="9">
        <v>31265</v>
      </c>
      <c r="B235" s="10" t="s">
        <v>94</v>
      </c>
      <c r="F235" s="11" t="str">
        <f t="array" ref="F235">IF(ROW()-1&gt;COUNTIF($B$2:$B$262,$C$3),"",INDEX($A$2:$A$262,SMALL(IF($B$2:$B$262=$C$3,ROW($A$2:$A$262),""),ROW()-1)))</f>
        <v/>
      </c>
    </row>
    <row r="236" spans="1:6">
      <c r="A236" s="9">
        <v>31295</v>
      </c>
      <c r="B236" s="10" t="s">
        <v>94</v>
      </c>
      <c r="F236" s="11" t="str">
        <f t="array" ref="F236">IF(ROW()-1&gt;COUNTIF($B$2:$B$262,$C$3),"",INDEX($A$2:$A$262,SMALL(IF($B$2:$B$262=$C$3,ROW($A$2:$A$262),""),ROW()-1)))</f>
        <v/>
      </c>
    </row>
    <row r="237" spans="1:6">
      <c r="A237" s="9">
        <v>31309</v>
      </c>
      <c r="B237" s="10" t="s">
        <v>94</v>
      </c>
      <c r="F237" s="11" t="str">
        <f t="array" ref="F237">IF(ROW()-1&gt;COUNTIF($B$2:$B$262,$C$3),"",INDEX($A$2:$A$262,SMALL(IF($B$2:$B$262=$C$3,ROW($A$2:$A$262),""),ROW()-1)))</f>
        <v/>
      </c>
    </row>
    <row r="238" spans="1:6">
      <c r="A238" s="9">
        <v>31515</v>
      </c>
      <c r="B238" s="10" t="s">
        <v>94</v>
      </c>
      <c r="F238" s="11" t="str">
        <f t="array" ref="F238">IF(ROW()-1&gt;COUNTIF($B$2:$B$262,$C$3),"",INDEX($A$2:$A$262,SMALL(IF($B$2:$B$262=$C$3,ROW($A$2:$A$262),""),ROW()-1)))</f>
        <v/>
      </c>
    </row>
    <row r="239" spans="1:6">
      <c r="A239" s="9">
        <v>31530</v>
      </c>
      <c r="B239" s="10" t="s">
        <v>94</v>
      </c>
      <c r="F239" s="11" t="str">
        <f t="array" ref="F239">IF(ROW()-1&gt;COUNTIF($B$2:$B$262,$C$3),"",INDEX($A$2:$A$262,SMALL(IF($B$2:$B$262=$C$3,ROW($A$2:$A$262),""),ROW()-1)))</f>
        <v/>
      </c>
    </row>
    <row r="240" spans="1:6">
      <c r="A240" s="9">
        <v>31569</v>
      </c>
      <c r="B240" s="10" t="s">
        <v>94</v>
      </c>
      <c r="F240" s="11" t="str">
        <f t="array" ref="F240">IF(ROW()-1&gt;COUNTIF($B$2:$B$262,$C$3),"",INDEX($A$2:$A$262,SMALL(IF($B$2:$B$262=$C$3,ROW($A$2:$A$262),""),ROW()-1)))</f>
        <v/>
      </c>
    </row>
    <row r="241" spans="1:6">
      <c r="A241" s="9">
        <v>31576</v>
      </c>
      <c r="B241" s="10" t="s">
        <v>94</v>
      </c>
      <c r="F241" s="11" t="str">
        <f t="array" ref="F241">IF(ROW()-1&gt;COUNTIF($B$2:$B$262,$C$3),"",INDEX($A$2:$A$262,SMALL(IF($B$2:$B$262=$C$3,ROW($A$2:$A$262),""),ROW()-1)))</f>
        <v/>
      </c>
    </row>
    <row r="242" spans="1:6">
      <c r="A242" s="9">
        <v>31592</v>
      </c>
      <c r="B242" s="10" t="s">
        <v>94</v>
      </c>
      <c r="F242" s="11" t="str">
        <f t="array" ref="F242">IF(ROW()-1&gt;COUNTIF($B$2:$B$262,$C$3),"",INDEX($A$2:$A$262,SMALL(IF($B$2:$B$262=$C$3,ROW($A$2:$A$262),""),ROW()-1)))</f>
        <v/>
      </c>
    </row>
    <row r="243" spans="1:6">
      <c r="A243" s="9" t="s">
        <v>101</v>
      </c>
      <c r="B243" s="10" t="s">
        <v>94</v>
      </c>
      <c r="F243" s="11" t="str">
        <f t="array" ref="F243">IF(ROW()-1&gt;COUNTIF($B$2:$B$262,$C$3),"",INDEX($A$2:$A$262,SMALL(IF($B$2:$B$262=$C$3,ROW($A$2:$A$262),""),ROW()-1)))</f>
        <v/>
      </c>
    </row>
    <row r="244" spans="1:6">
      <c r="A244" s="9">
        <v>31686</v>
      </c>
      <c r="B244" s="10" t="s">
        <v>94</v>
      </c>
      <c r="F244" s="11" t="str">
        <f t="array" ref="F244">IF(ROW()-1&gt;COUNTIF($B$2:$B$262,$C$3),"",INDEX($A$2:$A$262,SMALL(IF($B$2:$B$262=$C$3,ROW($A$2:$A$262),""),ROW()-1)))</f>
        <v/>
      </c>
    </row>
    <row r="245" spans="1:6">
      <c r="A245" s="9">
        <v>48526</v>
      </c>
      <c r="B245" s="10" t="s">
        <v>94</v>
      </c>
      <c r="F245" s="11" t="str">
        <f t="array" ref="F245">IF(ROW()-1&gt;COUNTIF($B$2:$B$262,$C$3),"",INDEX($A$2:$A$262,SMALL(IF($B$2:$B$262=$C$3,ROW($A$2:$A$262),""),ROW()-1)))</f>
        <v/>
      </c>
    </row>
    <row r="246" spans="1:6">
      <c r="A246" s="9" t="s">
        <v>102</v>
      </c>
      <c r="B246" s="10" t="s">
        <v>94</v>
      </c>
      <c r="F246" s="11" t="str">
        <f t="array" ref="F246">IF(ROW()-1&gt;COUNTIF($B$2:$B$262,$C$3),"",INDEX($A$2:$A$262,SMALL(IF($B$2:$B$262=$C$3,ROW($A$2:$A$262),""),ROW()-1)))</f>
        <v/>
      </c>
    </row>
    <row r="247" spans="1:6">
      <c r="A247" s="9" t="s">
        <v>103</v>
      </c>
      <c r="B247" s="10" t="s">
        <v>104</v>
      </c>
      <c r="F247" s="11" t="str">
        <f t="array" ref="F247">IF(ROW()-1&gt;COUNTIF($B$2:$B$262,$C$3),"",INDEX($A$2:$A$262,SMALL(IF($B$2:$B$262=$C$3,ROW($A$2:$A$262),""),ROW()-1)))</f>
        <v/>
      </c>
    </row>
    <row r="248" spans="1:6">
      <c r="A248" s="9" t="s">
        <v>105</v>
      </c>
      <c r="B248" s="10" t="s">
        <v>104</v>
      </c>
      <c r="F248" s="11" t="str">
        <f t="array" ref="F248">IF(ROW()-1&gt;COUNTIF($B$2:$B$262,$C$3),"",INDEX($A$2:$A$262,SMALL(IF($B$2:$B$262=$C$3,ROW($A$2:$A$262),""),ROW()-1)))</f>
        <v/>
      </c>
    </row>
    <row r="249" spans="1:6">
      <c r="A249" s="9">
        <v>13017</v>
      </c>
      <c r="B249" s="10" t="s">
        <v>104</v>
      </c>
      <c r="F249" s="11" t="str">
        <f t="array" ref="F249">IF(ROW()-1&gt;COUNTIF($B$2:$B$262,$C$3),"",INDEX($A$2:$A$262,SMALL(IF($B$2:$B$262=$C$3,ROW($A$2:$A$262),""),ROW()-1)))</f>
        <v/>
      </c>
    </row>
    <row r="250" spans="1:6">
      <c r="A250" s="9" t="s">
        <v>106</v>
      </c>
      <c r="B250" s="10" t="s">
        <v>104</v>
      </c>
      <c r="F250" s="11" t="str">
        <f t="array" ref="F250">IF(ROW()-1&gt;COUNTIF($B$2:$B$262,$C$3),"",INDEX($A$2:$A$262,SMALL(IF($B$2:$B$262=$C$3,ROW($A$2:$A$262),""),ROW()-1)))</f>
        <v/>
      </c>
    </row>
    <row r="251" spans="1:6">
      <c r="A251" s="9">
        <v>13034</v>
      </c>
      <c r="B251" s="10" t="s">
        <v>104</v>
      </c>
      <c r="F251" s="11" t="str">
        <f t="array" ref="F251">IF(ROW()-1&gt;COUNTIF($B$2:$B$262,$C$3),"",INDEX($A$2:$A$262,SMALL(IF($B$2:$B$262=$C$3,ROW($A$2:$A$262),""),ROW()-1)))</f>
        <v/>
      </c>
    </row>
    <row r="252" spans="1:6">
      <c r="A252" s="9">
        <v>13079</v>
      </c>
      <c r="B252" s="10" t="s">
        <v>104</v>
      </c>
      <c r="F252" s="11" t="str">
        <f t="array" ref="F252">IF(ROW()-1&gt;COUNTIF($B$2:$B$262,$C$3),"",INDEX($A$2:$A$262,SMALL(IF($B$2:$B$262=$C$3,ROW($A$2:$A$262),""),ROW()-1)))</f>
        <v/>
      </c>
    </row>
    <row r="253" spans="1:6">
      <c r="A253" s="9">
        <v>13103</v>
      </c>
      <c r="B253" s="10" t="s">
        <v>104</v>
      </c>
      <c r="F253" s="11" t="str">
        <f t="array" ref="F253">IF(ROW()-1&gt;COUNTIF($B$2:$B$262,$C$3),"",INDEX($A$2:$A$262,SMALL(IF($B$2:$B$262=$C$3,ROW($A$2:$A$262),""),ROW()-1)))</f>
        <v/>
      </c>
    </row>
    <row r="254" spans="1:6">
      <c r="A254" s="9" t="s">
        <v>107</v>
      </c>
      <c r="B254" s="10" t="s">
        <v>104</v>
      </c>
      <c r="F254" s="11" t="str">
        <f t="array" ref="F254">IF(ROW()-1&gt;COUNTIF($B$2:$B$262,$C$3),"",INDEX($A$2:$A$262,SMALL(IF($B$2:$B$262=$C$3,ROW($A$2:$A$262),""),ROW()-1)))</f>
        <v/>
      </c>
    </row>
    <row r="255" spans="1:6">
      <c r="A255" s="9">
        <v>13155</v>
      </c>
      <c r="B255" s="10" t="s">
        <v>104</v>
      </c>
      <c r="F255" s="11" t="str">
        <f t="array" ref="F255">IF(ROW()-1&gt;COUNTIF($B$2:$B$262,$C$3),"",INDEX($A$2:$A$262,SMALL(IF($B$2:$B$262=$C$3,ROW($A$2:$A$262),""),ROW()-1)))</f>
        <v/>
      </c>
    </row>
    <row r="256" spans="1:6">
      <c r="A256" s="9">
        <v>13173</v>
      </c>
      <c r="B256" s="10" t="s">
        <v>104</v>
      </c>
      <c r="F256" s="11" t="str">
        <f t="array" ref="F256">IF(ROW()-1&gt;COUNTIF($B$2:$B$262,$C$3),"",INDEX($A$2:$A$262,SMALL(IF($B$2:$B$262=$C$3,ROW($A$2:$A$262),""),ROW()-1)))</f>
        <v/>
      </c>
    </row>
    <row r="257" spans="1:6">
      <c r="A257" s="9">
        <v>13518</v>
      </c>
      <c r="B257" s="10" t="s">
        <v>104</v>
      </c>
      <c r="F257" s="11" t="str">
        <f t="array" ref="F257">IF(ROW()-1&gt;COUNTIF($B$2:$B$262,$C$3),"",INDEX($A$2:$A$262,SMALL(IF($B$2:$B$262=$C$3,ROW($A$2:$A$262),""),ROW()-1)))</f>
        <v/>
      </c>
    </row>
    <row r="258" spans="1:6">
      <c r="A258" s="9">
        <v>20073</v>
      </c>
      <c r="B258" s="10" t="s">
        <v>104</v>
      </c>
      <c r="F258" s="11" t="str">
        <f t="array" ref="F258">IF(ROW()-1&gt;COUNTIF($B$2:$B$262,$C$3),"",INDEX($A$2:$A$262,SMALL(IF($B$2:$B$262=$C$3,ROW($A$2:$A$262),""),ROW()-1)))</f>
        <v/>
      </c>
    </row>
    <row r="259" spans="1:6">
      <c r="A259" s="9">
        <v>37197</v>
      </c>
      <c r="B259" s="10" t="s">
        <v>104</v>
      </c>
      <c r="F259" s="11" t="str">
        <f t="array" ref="F259">IF(ROW()-1&gt;COUNTIF($B$2:$B$262,$C$3),"",INDEX($A$2:$A$262,SMALL(IF($B$2:$B$262=$C$3,ROW($A$2:$A$262),""),ROW()-1)))</f>
        <v/>
      </c>
    </row>
    <row r="260" spans="1:6">
      <c r="A260" s="9" t="s">
        <v>108</v>
      </c>
      <c r="B260" s="10" t="s">
        <v>104</v>
      </c>
      <c r="F260" s="11" t="str">
        <f t="array" ref="F260">IF(ROW()-1&gt;COUNTIF($B$2:$B$262,$C$3),"",INDEX($A$2:$A$262,SMALL(IF($B$2:$B$262=$C$3,ROW($A$2:$A$262),""),ROW()-1)))</f>
        <v/>
      </c>
    </row>
    <row r="261" spans="1:6">
      <c r="A261" s="9">
        <v>46258</v>
      </c>
      <c r="B261" s="10" t="s">
        <v>104</v>
      </c>
      <c r="F261" s="11" t="str">
        <f t="array" ref="F261">IF(ROW()-1&gt;COUNTIF($B$2:$B$262,$C$3),"",INDEX($A$2:$A$262,SMALL(IF($B$2:$B$262=$C$3,ROW($A$2:$A$262),""),ROW()-1)))</f>
        <v/>
      </c>
    </row>
    <row r="262" spans="1:6">
      <c r="A262" s="9">
        <v>46304</v>
      </c>
      <c r="B262" s="10" t="s">
        <v>104</v>
      </c>
      <c r="F262" s="11" t="str">
        <f t="array" ref="F262">IF(ROW()-1&gt;COUNTIF($B$2:$B$262,$C$3),"",INDEX($A$2:$A$262,SMALL(IF($B$2:$B$262=$C$3,ROW($A$2:$A$262),""),ROW()-1)))</f>
        <v/>
      </c>
    </row>
    <row r="271" spans="1:6">
      <c r="A271" s="9" t="s">
        <v>61</v>
      </c>
    </row>
    <row r="272" spans="1:6">
      <c r="A272" s="9" t="s">
        <v>61</v>
      </c>
    </row>
    <row r="273" spans="1:1">
      <c r="A273" s="9" t="s">
        <v>61</v>
      </c>
    </row>
    <row r="274" spans="1:1">
      <c r="A274" s="9" t="s">
        <v>61</v>
      </c>
    </row>
    <row r="275" spans="1:1">
      <c r="A275" s="9" t="s">
        <v>61</v>
      </c>
    </row>
    <row r="276" spans="1:1">
      <c r="A276" s="9" t="s">
        <v>61</v>
      </c>
    </row>
    <row r="277" spans="1:1">
      <c r="A277" s="9" t="s">
        <v>61</v>
      </c>
    </row>
    <row r="278" spans="1:1">
      <c r="A278" s="9" t="s">
        <v>61</v>
      </c>
    </row>
    <row r="279" spans="1:1">
      <c r="A279" s="9" t="s">
        <v>61</v>
      </c>
    </row>
    <row r="280" spans="1:1">
      <c r="A280" s="9" t="s">
        <v>61</v>
      </c>
    </row>
    <row r="281" spans="1:1">
      <c r="A281" s="9" t="s">
        <v>61</v>
      </c>
    </row>
    <row r="282" spans="1:1">
      <c r="A282" s="9" t="s">
        <v>61</v>
      </c>
    </row>
    <row r="283" spans="1:1">
      <c r="A283" s="9" t="s">
        <v>61</v>
      </c>
    </row>
    <row r="284" spans="1:1">
      <c r="A284" s="9" t="s">
        <v>61</v>
      </c>
    </row>
    <row r="285" spans="1:1">
      <c r="A285" s="9" t="s">
        <v>61</v>
      </c>
    </row>
    <row r="286" spans="1:1">
      <c r="A286" s="9" t="s">
        <v>61</v>
      </c>
    </row>
    <row r="287" spans="1:1">
      <c r="A287" s="9" t="s">
        <v>61</v>
      </c>
    </row>
    <row r="288" spans="1:1">
      <c r="A288" s="9" t="s">
        <v>61</v>
      </c>
    </row>
    <row r="289" spans="1:1">
      <c r="A289" s="9" t="s">
        <v>61</v>
      </c>
    </row>
    <row r="290" spans="1:1">
      <c r="A290" s="9" t="s">
        <v>61</v>
      </c>
    </row>
    <row r="291" spans="1:1">
      <c r="A291" s="9" t="s">
        <v>61</v>
      </c>
    </row>
    <row r="292" spans="1:1">
      <c r="A292" s="9" t="s">
        <v>61</v>
      </c>
    </row>
    <row r="293" spans="1:1">
      <c r="A293" s="9" t="s">
        <v>61</v>
      </c>
    </row>
    <row r="294" spans="1:1">
      <c r="A294" s="9" t="s">
        <v>61</v>
      </c>
    </row>
    <row r="295" spans="1:1">
      <c r="A295" s="9" t="s">
        <v>61</v>
      </c>
    </row>
    <row r="296" spans="1:1">
      <c r="A296" s="9" t="s">
        <v>61</v>
      </c>
    </row>
    <row r="297" spans="1:1">
      <c r="A297" s="9" t="s">
        <v>61</v>
      </c>
    </row>
    <row r="298" spans="1:1">
      <c r="A298" s="9" t="s">
        <v>61</v>
      </c>
    </row>
    <row r="299" spans="1:1">
      <c r="A299" s="9" t="s">
        <v>61</v>
      </c>
    </row>
    <row r="300" spans="1:1">
      <c r="A300" s="9" t="s">
        <v>61</v>
      </c>
    </row>
    <row r="301" spans="1:1">
      <c r="A301" s="9" t="s">
        <v>61</v>
      </c>
    </row>
    <row r="302" spans="1:1">
      <c r="A302" s="9" t="s">
        <v>61</v>
      </c>
    </row>
    <row r="303" spans="1:1">
      <c r="A303" s="9" t="s">
        <v>61</v>
      </c>
    </row>
    <row r="304" spans="1:1">
      <c r="A304" s="9" t="s">
        <v>61</v>
      </c>
    </row>
    <row r="305" spans="1:1">
      <c r="A305" s="9" t="s">
        <v>61</v>
      </c>
    </row>
    <row r="306" spans="1:1">
      <c r="A306" s="9" t="s">
        <v>61</v>
      </c>
    </row>
    <row r="307" spans="1:1">
      <c r="A307" s="9" t="s">
        <v>61</v>
      </c>
    </row>
    <row r="308" spans="1:1">
      <c r="A308" s="9" t="s">
        <v>61</v>
      </c>
    </row>
    <row r="309" spans="1:1">
      <c r="A309" s="9" t="s">
        <v>61</v>
      </c>
    </row>
    <row r="310" spans="1:1">
      <c r="A310" s="9" t="s">
        <v>61</v>
      </c>
    </row>
    <row r="311" spans="1:1">
      <c r="A311" s="9" t="s">
        <v>61</v>
      </c>
    </row>
    <row r="312" spans="1:1">
      <c r="A312" s="9" t="s">
        <v>61</v>
      </c>
    </row>
    <row r="313" spans="1:1">
      <c r="A313" s="9" t="s">
        <v>61</v>
      </c>
    </row>
    <row r="314" spans="1:1">
      <c r="A314" s="9" t="s">
        <v>61</v>
      </c>
    </row>
    <row r="315" spans="1:1">
      <c r="A315" s="9" t="s">
        <v>61</v>
      </c>
    </row>
    <row r="316" spans="1:1">
      <c r="A316" s="9" t="s">
        <v>61</v>
      </c>
    </row>
    <row r="317" spans="1:1">
      <c r="A317" s="9" t="s">
        <v>61</v>
      </c>
    </row>
    <row r="318" spans="1:1">
      <c r="A318" s="9" t="s">
        <v>61</v>
      </c>
    </row>
    <row r="319" spans="1:1">
      <c r="A319" s="9" t="s">
        <v>61</v>
      </c>
    </row>
    <row r="320" spans="1:1">
      <c r="A320" s="9" t="s">
        <v>61</v>
      </c>
    </row>
    <row r="321" spans="1:1">
      <c r="A321" s="9" t="s">
        <v>61</v>
      </c>
    </row>
    <row r="322" spans="1:1">
      <c r="A322" s="9" t="s">
        <v>61</v>
      </c>
    </row>
    <row r="323" spans="1:1">
      <c r="A323" s="9" t="s">
        <v>61</v>
      </c>
    </row>
    <row r="324" spans="1:1">
      <c r="A324" s="9" t="s">
        <v>61</v>
      </c>
    </row>
    <row r="325" spans="1:1">
      <c r="A325" s="9" t="s">
        <v>61</v>
      </c>
    </row>
    <row r="326" spans="1:1">
      <c r="A326" s="9" t="s">
        <v>61</v>
      </c>
    </row>
    <row r="327" spans="1:1">
      <c r="A327" s="9" t="s">
        <v>61</v>
      </c>
    </row>
    <row r="328" spans="1:1">
      <c r="A328" s="9" t="s">
        <v>61</v>
      </c>
    </row>
    <row r="329" spans="1:1">
      <c r="A329" s="9" t="s">
        <v>61</v>
      </c>
    </row>
    <row r="330" spans="1:1">
      <c r="A330" s="9" t="s">
        <v>61</v>
      </c>
    </row>
    <row r="331" spans="1:1">
      <c r="A331" s="9" t="s">
        <v>61</v>
      </c>
    </row>
    <row r="332" spans="1:1">
      <c r="A332" s="9" t="s">
        <v>61</v>
      </c>
    </row>
    <row r="333" spans="1:1">
      <c r="A333" s="9" t="s">
        <v>61</v>
      </c>
    </row>
    <row r="334" spans="1:1">
      <c r="A334" s="9" t="s">
        <v>61</v>
      </c>
    </row>
    <row r="335" spans="1:1">
      <c r="A335" s="9" t="s">
        <v>61</v>
      </c>
    </row>
    <row r="336" spans="1:1">
      <c r="A336" s="9" t="s">
        <v>61</v>
      </c>
    </row>
    <row r="337" spans="1:1">
      <c r="A337" s="9" t="s">
        <v>61</v>
      </c>
    </row>
    <row r="338" spans="1:1">
      <c r="A338" s="9" t="s">
        <v>61</v>
      </c>
    </row>
    <row r="339" spans="1:1">
      <c r="A339" s="9" t="s">
        <v>61</v>
      </c>
    </row>
    <row r="340" spans="1:1">
      <c r="A340" s="9" t="s">
        <v>61</v>
      </c>
    </row>
    <row r="341" spans="1:1">
      <c r="A341" s="9" t="s">
        <v>61</v>
      </c>
    </row>
    <row r="342" spans="1:1">
      <c r="A342" s="9" t="s">
        <v>61</v>
      </c>
    </row>
    <row r="343" spans="1:1">
      <c r="A343" s="9" t="s">
        <v>61</v>
      </c>
    </row>
  </sheetData>
  <dataValidations disablePrompts="1"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/>
  <cols>
    <col min="2" max="2" width="17.42578125" bestFit="1" customWidth="1"/>
    <col min="3" max="3" width="21.28515625" bestFit="1" customWidth="1"/>
    <col min="6" max="6" width="11.42578125" style="7"/>
  </cols>
  <sheetData>
    <row r="1" spans="1:9">
      <c r="A1" t="s">
        <v>119</v>
      </c>
      <c r="B1" s="8" t="s">
        <v>7</v>
      </c>
      <c r="C1" s="1" t="s">
        <v>9</v>
      </c>
      <c r="D1" s="1" t="s">
        <v>10</v>
      </c>
      <c r="E1" s="15" t="s">
        <v>1</v>
      </c>
      <c r="F1" s="7" t="s">
        <v>120</v>
      </c>
      <c r="G1" t="s">
        <v>0</v>
      </c>
      <c r="H1" t="s">
        <v>121</v>
      </c>
      <c r="I1" t="s">
        <v>122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7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7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7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7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7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7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7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7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7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7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7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7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7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7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7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7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7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7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7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7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7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7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7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7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7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7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7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7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7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7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7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7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7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7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7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7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34"/>
  <sheetViews>
    <sheetView topLeftCell="A412" workbookViewId="0"/>
  </sheetViews>
  <sheetFormatPr baseColWidth="10" defaultRowHeight="15"/>
  <cols>
    <col min="1" max="1" width="44.5703125" bestFit="1" customWidth="1"/>
  </cols>
  <sheetData>
    <row r="1" spans="1:1">
      <c r="A1" t="s">
        <v>586</v>
      </c>
    </row>
    <row r="2" spans="1:1">
      <c r="A2" t="s">
        <v>155</v>
      </c>
    </row>
    <row r="3" spans="1:1">
      <c r="A3" t="s">
        <v>156</v>
      </c>
    </row>
    <row r="4" spans="1:1">
      <c r="A4" t="s">
        <v>157</v>
      </c>
    </row>
    <row r="5" spans="1:1">
      <c r="A5" t="s">
        <v>158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174</v>
      </c>
    </row>
    <row r="22" spans="1:1">
      <c r="A22" t="s">
        <v>175</v>
      </c>
    </row>
    <row r="23" spans="1:1">
      <c r="A23" t="s">
        <v>176</v>
      </c>
    </row>
    <row r="24" spans="1:1">
      <c r="A24" t="s">
        <v>177</v>
      </c>
    </row>
    <row r="25" spans="1:1">
      <c r="A25" t="s">
        <v>178</v>
      </c>
    </row>
    <row r="26" spans="1:1">
      <c r="A26" t="s">
        <v>179</v>
      </c>
    </row>
    <row r="27" spans="1:1">
      <c r="A27" t="s">
        <v>180</v>
      </c>
    </row>
    <row r="28" spans="1:1">
      <c r="A28" t="s">
        <v>181</v>
      </c>
    </row>
    <row r="29" spans="1:1">
      <c r="A29" t="s">
        <v>182</v>
      </c>
    </row>
    <row r="30" spans="1:1">
      <c r="A30" t="s">
        <v>183</v>
      </c>
    </row>
    <row r="31" spans="1:1">
      <c r="A31" t="s">
        <v>184</v>
      </c>
    </row>
    <row r="32" spans="1:1">
      <c r="A32" t="s">
        <v>185</v>
      </c>
    </row>
    <row r="33" spans="1:1">
      <c r="A33" t="s">
        <v>186</v>
      </c>
    </row>
    <row r="34" spans="1:1">
      <c r="A34" t="s">
        <v>187</v>
      </c>
    </row>
    <row r="35" spans="1:1">
      <c r="A35" t="s">
        <v>188</v>
      </c>
    </row>
    <row r="36" spans="1:1">
      <c r="A36" t="s">
        <v>189</v>
      </c>
    </row>
    <row r="37" spans="1:1">
      <c r="A37" t="s">
        <v>190</v>
      </c>
    </row>
    <row r="38" spans="1:1">
      <c r="A38" t="s">
        <v>191</v>
      </c>
    </row>
    <row r="39" spans="1:1">
      <c r="A39" t="s">
        <v>192</v>
      </c>
    </row>
    <row r="40" spans="1:1">
      <c r="A40" t="s">
        <v>193</v>
      </c>
    </row>
    <row r="41" spans="1:1">
      <c r="A41" t="s">
        <v>194</v>
      </c>
    </row>
    <row r="42" spans="1:1">
      <c r="A42" t="s">
        <v>195</v>
      </c>
    </row>
    <row r="43" spans="1:1">
      <c r="A43" t="s">
        <v>196</v>
      </c>
    </row>
    <row r="44" spans="1:1">
      <c r="A44" t="s">
        <v>197</v>
      </c>
    </row>
    <row r="45" spans="1:1">
      <c r="A45" t="s">
        <v>198</v>
      </c>
    </row>
    <row r="46" spans="1:1">
      <c r="A46" t="s">
        <v>199</v>
      </c>
    </row>
    <row r="47" spans="1:1">
      <c r="A47" t="s">
        <v>200</v>
      </c>
    </row>
    <row r="48" spans="1:1">
      <c r="A48" t="s">
        <v>201</v>
      </c>
    </row>
    <row r="49" spans="1:1">
      <c r="A49" t="s">
        <v>202</v>
      </c>
    </row>
    <row r="50" spans="1:1">
      <c r="A50" t="s">
        <v>203</v>
      </c>
    </row>
    <row r="51" spans="1:1">
      <c r="A51" t="s">
        <v>204</v>
      </c>
    </row>
    <row r="52" spans="1:1">
      <c r="A52" t="s">
        <v>205</v>
      </c>
    </row>
    <row r="53" spans="1:1">
      <c r="A53" t="s">
        <v>206</v>
      </c>
    </row>
    <row r="54" spans="1:1">
      <c r="A54" t="s">
        <v>207</v>
      </c>
    </row>
    <row r="55" spans="1:1">
      <c r="A55" t="s">
        <v>208</v>
      </c>
    </row>
    <row r="56" spans="1:1">
      <c r="A56" t="s">
        <v>209</v>
      </c>
    </row>
    <row r="57" spans="1:1">
      <c r="A57" t="s">
        <v>210</v>
      </c>
    </row>
    <row r="58" spans="1:1">
      <c r="A58" t="s">
        <v>211</v>
      </c>
    </row>
    <row r="59" spans="1:1">
      <c r="A59" t="s">
        <v>212</v>
      </c>
    </row>
    <row r="60" spans="1:1">
      <c r="A60" t="s">
        <v>213</v>
      </c>
    </row>
    <row r="61" spans="1:1">
      <c r="A61" t="s">
        <v>214</v>
      </c>
    </row>
    <row r="62" spans="1:1">
      <c r="A62" t="s">
        <v>215</v>
      </c>
    </row>
    <row r="63" spans="1:1">
      <c r="A63" t="s">
        <v>216</v>
      </c>
    </row>
    <row r="64" spans="1:1">
      <c r="A64" t="s">
        <v>217</v>
      </c>
    </row>
    <row r="65" spans="1:1">
      <c r="A65" t="s">
        <v>218</v>
      </c>
    </row>
    <row r="66" spans="1:1">
      <c r="A66" t="s">
        <v>219</v>
      </c>
    </row>
    <row r="67" spans="1:1">
      <c r="A67" t="s">
        <v>220</v>
      </c>
    </row>
    <row r="68" spans="1:1">
      <c r="A68" t="s">
        <v>221</v>
      </c>
    </row>
    <row r="69" spans="1:1">
      <c r="A69" t="s">
        <v>222</v>
      </c>
    </row>
    <row r="70" spans="1:1">
      <c r="A70" t="s">
        <v>223</v>
      </c>
    </row>
    <row r="71" spans="1:1">
      <c r="A71" t="s">
        <v>224</v>
      </c>
    </row>
    <row r="72" spans="1:1">
      <c r="A72" t="s">
        <v>225</v>
      </c>
    </row>
    <row r="73" spans="1:1">
      <c r="A73" t="s">
        <v>226</v>
      </c>
    </row>
    <row r="74" spans="1:1">
      <c r="A74" t="s">
        <v>227</v>
      </c>
    </row>
    <row r="75" spans="1:1">
      <c r="A75" t="s">
        <v>228</v>
      </c>
    </row>
    <row r="76" spans="1:1">
      <c r="A76" t="s">
        <v>229</v>
      </c>
    </row>
    <row r="77" spans="1:1">
      <c r="A77" t="s">
        <v>230</v>
      </c>
    </row>
    <row r="78" spans="1:1">
      <c r="A78" t="s">
        <v>231</v>
      </c>
    </row>
    <row r="79" spans="1:1">
      <c r="A79" t="s">
        <v>232</v>
      </c>
    </row>
    <row r="80" spans="1:1">
      <c r="A80" t="s">
        <v>233</v>
      </c>
    </row>
    <row r="81" spans="1:1">
      <c r="A81" t="s">
        <v>234</v>
      </c>
    </row>
    <row r="82" spans="1:1">
      <c r="A82" t="s">
        <v>235</v>
      </c>
    </row>
    <row r="83" spans="1:1">
      <c r="A83" t="s">
        <v>236</v>
      </c>
    </row>
    <row r="84" spans="1:1">
      <c r="A84" t="s">
        <v>237</v>
      </c>
    </row>
    <row r="85" spans="1:1">
      <c r="A85" t="s">
        <v>238</v>
      </c>
    </row>
    <row r="86" spans="1:1">
      <c r="A86" t="s">
        <v>239</v>
      </c>
    </row>
    <row r="87" spans="1:1">
      <c r="A87" t="s">
        <v>240</v>
      </c>
    </row>
    <row r="88" spans="1:1">
      <c r="A88" t="s">
        <v>241</v>
      </c>
    </row>
    <row r="89" spans="1:1">
      <c r="A89" t="s">
        <v>242</v>
      </c>
    </row>
    <row r="90" spans="1:1">
      <c r="A90" t="s">
        <v>243</v>
      </c>
    </row>
    <row r="91" spans="1:1">
      <c r="A91" t="s">
        <v>244</v>
      </c>
    </row>
    <row r="92" spans="1:1">
      <c r="A92" t="s">
        <v>245</v>
      </c>
    </row>
    <row r="93" spans="1:1">
      <c r="A93" t="s">
        <v>246</v>
      </c>
    </row>
    <row r="94" spans="1:1">
      <c r="A94" t="s">
        <v>247</v>
      </c>
    </row>
    <row r="95" spans="1:1">
      <c r="A95" t="s">
        <v>248</v>
      </c>
    </row>
    <row r="96" spans="1:1">
      <c r="A96" t="s">
        <v>249</v>
      </c>
    </row>
    <row r="97" spans="1:1">
      <c r="A97" t="s">
        <v>250</v>
      </c>
    </row>
    <row r="98" spans="1:1">
      <c r="A98" t="s">
        <v>251</v>
      </c>
    </row>
    <row r="99" spans="1:1">
      <c r="A99" t="s">
        <v>252</v>
      </c>
    </row>
    <row r="100" spans="1:1">
      <c r="A100" t="s">
        <v>253</v>
      </c>
    </row>
    <row r="101" spans="1:1">
      <c r="A101" t="s">
        <v>254</v>
      </c>
    </row>
    <row r="102" spans="1:1">
      <c r="A102" t="s">
        <v>255</v>
      </c>
    </row>
    <row r="103" spans="1:1">
      <c r="A103" t="s">
        <v>256</v>
      </c>
    </row>
    <row r="104" spans="1:1">
      <c r="A104" t="s">
        <v>257</v>
      </c>
    </row>
    <row r="105" spans="1:1">
      <c r="A105" t="s">
        <v>258</v>
      </c>
    </row>
    <row r="106" spans="1:1">
      <c r="A106" t="s">
        <v>259</v>
      </c>
    </row>
    <row r="107" spans="1:1">
      <c r="A107" t="s">
        <v>260</v>
      </c>
    </row>
    <row r="108" spans="1:1">
      <c r="A108" t="s">
        <v>261</v>
      </c>
    </row>
    <row r="109" spans="1:1">
      <c r="A109" t="s">
        <v>262</v>
      </c>
    </row>
    <row r="110" spans="1:1">
      <c r="A110" t="s">
        <v>263</v>
      </c>
    </row>
    <row r="111" spans="1:1">
      <c r="A111" t="s">
        <v>264</v>
      </c>
    </row>
    <row r="112" spans="1:1">
      <c r="A112" t="s">
        <v>265</v>
      </c>
    </row>
    <row r="113" spans="1:1">
      <c r="A113" t="s">
        <v>266</v>
      </c>
    </row>
    <row r="114" spans="1:1">
      <c r="A114" t="s">
        <v>267</v>
      </c>
    </row>
    <row r="115" spans="1:1">
      <c r="A115" t="s">
        <v>268</v>
      </c>
    </row>
    <row r="116" spans="1:1">
      <c r="A116" t="s">
        <v>269</v>
      </c>
    </row>
    <row r="117" spans="1:1">
      <c r="A117" t="s">
        <v>270</v>
      </c>
    </row>
    <row r="118" spans="1:1">
      <c r="A118" t="s">
        <v>271</v>
      </c>
    </row>
    <row r="119" spans="1:1">
      <c r="A119" t="s">
        <v>272</v>
      </c>
    </row>
    <row r="120" spans="1:1">
      <c r="A120" t="s">
        <v>273</v>
      </c>
    </row>
    <row r="121" spans="1:1">
      <c r="A121" t="s">
        <v>274</v>
      </c>
    </row>
    <row r="122" spans="1:1">
      <c r="A122" t="s">
        <v>275</v>
      </c>
    </row>
    <row r="123" spans="1:1">
      <c r="A123" t="s">
        <v>276</v>
      </c>
    </row>
    <row r="124" spans="1:1">
      <c r="A124" t="s">
        <v>277</v>
      </c>
    </row>
    <row r="125" spans="1:1">
      <c r="A125" t="s">
        <v>278</v>
      </c>
    </row>
    <row r="126" spans="1:1">
      <c r="A126" t="s">
        <v>279</v>
      </c>
    </row>
    <row r="127" spans="1:1">
      <c r="A127" t="s">
        <v>280</v>
      </c>
    </row>
    <row r="128" spans="1:1">
      <c r="A128" t="s">
        <v>281</v>
      </c>
    </row>
    <row r="129" spans="1:1">
      <c r="A129" t="s">
        <v>282</v>
      </c>
    </row>
    <row r="130" spans="1:1">
      <c r="A130" t="s">
        <v>283</v>
      </c>
    </row>
    <row r="131" spans="1:1">
      <c r="A131" t="s">
        <v>284</v>
      </c>
    </row>
    <row r="132" spans="1:1">
      <c r="A132" t="s">
        <v>285</v>
      </c>
    </row>
    <row r="133" spans="1:1">
      <c r="A133" t="s">
        <v>286</v>
      </c>
    </row>
    <row r="134" spans="1:1">
      <c r="A134" t="s">
        <v>287</v>
      </c>
    </row>
    <row r="135" spans="1:1">
      <c r="A135" t="s">
        <v>288</v>
      </c>
    </row>
    <row r="136" spans="1:1">
      <c r="A136" t="s">
        <v>289</v>
      </c>
    </row>
    <row r="137" spans="1:1">
      <c r="A137" t="s">
        <v>290</v>
      </c>
    </row>
    <row r="138" spans="1:1">
      <c r="A138" t="s">
        <v>291</v>
      </c>
    </row>
    <row r="139" spans="1:1">
      <c r="A139" t="s">
        <v>292</v>
      </c>
    </row>
    <row r="140" spans="1:1">
      <c r="A140" t="s">
        <v>293</v>
      </c>
    </row>
    <row r="141" spans="1:1">
      <c r="A141" t="s">
        <v>294</v>
      </c>
    </row>
    <row r="142" spans="1:1">
      <c r="A142" t="s">
        <v>295</v>
      </c>
    </row>
    <row r="143" spans="1:1">
      <c r="A143" t="s">
        <v>296</v>
      </c>
    </row>
    <row r="144" spans="1:1">
      <c r="A144" t="s">
        <v>297</v>
      </c>
    </row>
    <row r="145" spans="1:1">
      <c r="A145" t="s">
        <v>298</v>
      </c>
    </row>
    <row r="146" spans="1:1">
      <c r="A146" t="s">
        <v>299</v>
      </c>
    </row>
    <row r="147" spans="1:1">
      <c r="A147" t="s">
        <v>300</v>
      </c>
    </row>
    <row r="148" spans="1:1">
      <c r="A148" t="s">
        <v>301</v>
      </c>
    </row>
    <row r="149" spans="1:1">
      <c r="A149" t="s">
        <v>302</v>
      </c>
    </row>
    <row r="150" spans="1:1">
      <c r="A150" t="s">
        <v>303</v>
      </c>
    </row>
    <row r="151" spans="1:1">
      <c r="A151" t="s">
        <v>304</v>
      </c>
    </row>
    <row r="152" spans="1:1">
      <c r="A152" t="s">
        <v>305</v>
      </c>
    </row>
    <row r="153" spans="1:1">
      <c r="A153" t="s">
        <v>306</v>
      </c>
    </row>
    <row r="154" spans="1:1">
      <c r="A154" t="s">
        <v>307</v>
      </c>
    </row>
    <row r="155" spans="1:1">
      <c r="A155" t="s">
        <v>308</v>
      </c>
    </row>
    <row r="156" spans="1:1">
      <c r="A156" t="s">
        <v>309</v>
      </c>
    </row>
    <row r="157" spans="1:1">
      <c r="A157" t="s">
        <v>310</v>
      </c>
    </row>
    <row r="158" spans="1:1">
      <c r="A158" t="s">
        <v>311</v>
      </c>
    </row>
    <row r="159" spans="1:1">
      <c r="A159" t="s">
        <v>312</v>
      </c>
    </row>
    <row r="160" spans="1:1">
      <c r="A160" t="s">
        <v>313</v>
      </c>
    </row>
    <row r="161" spans="1:1">
      <c r="A161" t="s">
        <v>314</v>
      </c>
    </row>
    <row r="162" spans="1:1">
      <c r="A162" t="s">
        <v>315</v>
      </c>
    </row>
    <row r="163" spans="1:1">
      <c r="A163" t="s">
        <v>316</v>
      </c>
    </row>
    <row r="164" spans="1:1">
      <c r="A164" t="s">
        <v>317</v>
      </c>
    </row>
    <row r="165" spans="1:1">
      <c r="A165" t="s">
        <v>318</v>
      </c>
    </row>
    <row r="166" spans="1:1">
      <c r="A166" t="s">
        <v>319</v>
      </c>
    </row>
    <row r="167" spans="1:1">
      <c r="A167" t="s">
        <v>320</v>
      </c>
    </row>
    <row r="168" spans="1:1">
      <c r="A168" t="s">
        <v>321</v>
      </c>
    </row>
    <row r="169" spans="1:1">
      <c r="A169" t="s">
        <v>322</v>
      </c>
    </row>
    <row r="170" spans="1:1">
      <c r="A170" t="s">
        <v>323</v>
      </c>
    </row>
    <row r="171" spans="1:1">
      <c r="A171" t="s">
        <v>324</v>
      </c>
    </row>
    <row r="172" spans="1:1">
      <c r="A172" t="s">
        <v>325</v>
      </c>
    </row>
    <row r="173" spans="1:1">
      <c r="A173" t="s">
        <v>326</v>
      </c>
    </row>
    <row r="174" spans="1:1">
      <c r="A174" t="s">
        <v>327</v>
      </c>
    </row>
    <row r="175" spans="1:1">
      <c r="A175" t="s">
        <v>328</v>
      </c>
    </row>
    <row r="176" spans="1:1">
      <c r="A176" t="s">
        <v>329</v>
      </c>
    </row>
    <row r="177" spans="1:1">
      <c r="A177" t="s">
        <v>330</v>
      </c>
    </row>
    <row r="178" spans="1:1">
      <c r="A178" t="s">
        <v>331</v>
      </c>
    </row>
    <row r="179" spans="1:1">
      <c r="A179" t="s">
        <v>332</v>
      </c>
    </row>
    <row r="180" spans="1:1">
      <c r="A180" t="s">
        <v>333</v>
      </c>
    </row>
    <row r="181" spans="1:1">
      <c r="A181" t="s">
        <v>334</v>
      </c>
    </row>
    <row r="182" spans="1:1">
      <c r="A182" t="s">
        <v>335</v>
      </c>
    </row>
    <row r="183" spans="1:1">
      <c r="A183" t="s">
        <v>336</v>
      </c>
    </row>
    <row r="184" spans="1:1">
      <c r="A184" t="s">
        <v>337</v>
      </c>
    </row>
    <row r="185" spans="1:1">
      <c r="A185" t="s">
        <v>338</v>
      </c>
    </row>
    <row r="186" spans="1:1">
      <c r="A186" t="s">
        <v>339</v>
      </c>
    </row>
    <row r="187" spans="1:1">
      <c r="A187" t="s">
        <v>340</v>
      </c>
    </row>
    <row r="188" spans="1:1">
      <c r="A188" t="s">
        <v>341</v>
      </c>
    </row>
    <row r="189" spans="1:1">
      <c r="A189" t="s">
        <v>342</v>
      </c>
    </row>
    <row r="190" spans="1:1">
      <c r="A190" t="s">
        <v>343</v>
      </c>
    </row>
    <row r="191" spans="1:1">
      <c r="A191" t="s">
        <v>344</v>
      </c>
    </row>
    <row r="192" spans="1:1">
      <c r="A192" t="s">
        <v>345</v>
      </c>
    </row>
    <row r="193" spans="1:1">
      <c r="A193" t="s">
        <v>346</v>
      </c>
    </row>
    <row r="194" spans="1:1">
      <c r="A194" t="s">
        <v>347</v>
      </c>
    </row>
    <row r="195" spans="1:1">
      <c r="A195" t="s">
        <v>348</v>
      </c>
    </row>
    <row r="196" spans="1:1">
      <c r="A196" t="s">
        <v>349</v>
      </c>
    </row>
    <row r="197" spans="1:1">
      <c r="A197" t="s">
        <v>350</v>
      </c>
    </row>
    <row r="198" spans="1:1">
      <c r="A198" t="s">
        <v>351</v>
      </c>
    </row>
    <row r="199" spans="1:1">
      <c r="A199" t="s">
        <v>352</v>
      </c>
    </row>
    <row r="200" spans="1:1">
      <c r="A200" t="s">
        <v>353</v>
      </c>
    </row>
    <row r="201" spans="1:1">
      <c r="A201" t="s">
        <v>354</v>
      </c>
    </row>
    <row r="202" spans="1:1">
      <c r="A202" t="s">
        <v>355</v>
      </c>
    </row>
    <row r="203" spans="1:1">
      <c r="A203" t="s">
        <v>356</v>
      </c>
    </row>
    <row r="204" spans="1:1">
      <c r="A204" t="s">
        <v>357</v>
      </c>
    </row>
    <row r="205" spans="1:1">
      <c r="A205" t="s">
        <v>358</v>
      </c>
    </row>
    <row r="206" spans="1:1">
      <c r="A206" t="s">
        <v>359</v>
      </c>
    </row>
    <row r="207" spans="1:1">
      <c r="A207" t="s">
        <v>360</v>
      </c>
    </row>
    <row r="208" spans="1:1">
      <c r="A208" t="s">
        <v>361</v>
      </c>
    </row>
    <row r="209" spans="1:1">
      <c r="A209" t="s">
        <v>362</v>
      </c>
    </row>
    <row r="210" spans="1:1">
      <c r="A210" t="s">
        <v>363</v>
      </c>
    </row>
    <row r="211" spans="1:1">
      <c r="A211" t="s">
        <v>364</v>
      </c>
    </row>
    <row r="212" spans="1:1">
      <c r="A212" t="s">
        <v>365</v>
      </c>
    </row>
    <row r="213" spans="1:1">
      <c r="A213" t="s">
        <v>366</v>
      </c>
    </row>
    <row r="214" spans="1:1">
      <c r="A214" t="s">
        <v>367</v>
      </c>
    </row>
    <row r="215" spans="1:1">
      <c r="A215" t="s">
        <v>368</v>
      </c>
    </row>
    <row r="216" spans="1:1">
      <c r="A216" t="s">
        <v>369</v>
      </c>
    </row>
    <row r="217" spans="1:1">
      <c r="A217" t="s">
        <v>370</v>
      </c>
    </row>
    <row r="218" spans="1:1">
      <c r="A218" t="s">
        <v>371</v>
      </c>
    </row>
    <row r="219" spans="1:1">
      <c r="A219" t="s">
        <v>372</v>
      </c>
    </row>
    <row r="220" spans="1:1">
      <c r="A220" t="s">
        <v>373</v>
      </c>
    </row>
    <row r="221" spans="1:1">
      <c r="A221" t="s">
        <v>374</v>
      </c>
    </row>
    <row r="222" spans="1:1">
      <c r="A222" t="s">
        <v>375</v>
      </c>
    </row>
    <row r="223" spans="1:1">
      <c r="A223" t="s">
        <v>376</v>
      </c>
    </row>
    <row r="224" spans="1:1">
      <c r="A224" t="s">
        <v>377</v>
      </c>
    </row>
    <row r="225" spans="1:1">
      <c r="A225" t="s">
        <v>378</v>
      </c>
    </row>
    <row r="226" spans="1:1">
      <c r="A226" t="s">
        <v>379</v>
      </c>
    </row>
    <row r="227" spans="1:1">
      <c r="A227" t="s">
        <v>380</v>
      </c>
    </row>
    <row r="228" spans="1:1">
      <c r="A228" t="s">
        <v>381</v>
      </c>
    </row>
    <row r="229" spans="1:1">
      <c r="A229" t="s">
        <v>382</v>
      </c>
    </row>
    <row r="230" spans="1:1">
      <c r="A230" t="s">
        <v>383</v>
      </c>
    </row>
    <row r="231" spans="1:1">
      <c r="A231" t="s">
        <v>384</v>
      </c>
    </row>
    <row r="232" spans="1:1">
      <c r="A232" t="s">
        <v>385</v>
      </c>
    </row>
    <row r="233" spans="1:1">
      <c r="A233" t="s">
        <v>386</v>
      </c>
    </row>
    <row r="234" spans="1:1">
      <c r="A234" t="s">
        <v>387</v>
      </c>
    </row>
    <row r="235" spans="1:1">
      <c r="A235" t="s">
        <v>388</v>
      </c>
    </row>
    <row r="236" spans="1:1">
      <c r="A236" t="s">
        <v>389</v>
      </c>
    </row>
    <row r="237" spans="1:1">
      <c r="A237" t="s">
        <v>390</v>
      </c>
    </row>
    <row r="238" spans="1:1">
      <c r="A238" t="s">
        <v>391</v>
      </c>
    </row>
    <row r="239" spans="1:1">
      <c r="A239" t="s">
        <v>392</v>
      </c>
    </row>
    <row r="240" spans="1:1">
      <c r="A240" t="s">
        <v>393</v>
      </c>
    </row>
    <row r="241" spans="1:1">
      <c r="A241" t="s">
        <v>394</v>
      </c>
    </row>
    <row r="242" spans="1:1">
      <c r="A242" t="s">
        <v>395</v>
      </c>
    </row>
    <row r="243" spans="1:1">
      <c r="A243" t="s">
        <v>396</v>
      </c>
    </row>
    <row r="244" spans="1:1">
      <c r="A244" t="s">
        <v>397</v>
      </c>
    </row>
    <row r="245" spans="1:1">
      <c r="A245" t="s">
        <v>398</v>
      </c>
    </row>
    <row r="246" spans="1:1">
      <c r="A246" t="s">
        <v>399</v>
      </c>
    </row>
    <row r="247" spans="1:1">
      <c r="A247" t="s">
        <v>400</v>
      </c>
    </row>
    <row r="248" spans="1:1">
      <c r="A248" t="s">
        <v>401</v>
      </c>
    </row>
    <row r="249" spans="1:1">
      <c r="A249" t="s">
        <v>402</v>
      </c>
    </row>
    <row r="250" spans="1:1">
      <c r="A250" t="s">
        <v>403</v>
      </c>
    </row>
    <row r="251" spans="1:1">
      <c r="A251" t="s">
        <v>404</v>
      </c>
    </row>
    <row r="252" spans="1:1">
      <c r="A252" t="s">
        <v>405</v>
      </c>
    </row>
    <row r="253" spans="1:1">
      <c r="A253" t="s">
        <v>406</v>
      </c>
    </row>
    <row r="254" spans="1:1">
      <c r="A254" t="s">
        <v>407</v>
      </c>
    </row>
    <row r="255" spans="1:1">
      <c r="A255" t="s">
        <v>408</v>
      </c>
    </row>
    <row r="256" spans="1:1">
      <c r="A256" t="s">
        <v>409</v>
      </c>
    </row>
    <row r="257" spans="1:1">
      <c r="A257" t="s">
        <v>410</v>
      </c>
    </row>
    <row r="258" spans="1:1">
      <c r="A258" t="s">
        <v>411</v>
      </c>
    </row>
    <row r="259" spans="1:1">
      <c r="A259" t="s">
        <v>412</v>
      </c>
    </row>
    <row r="260" spans="1:1">
      <c r="A260" t="s">
        <v>413</v>
      </c>
    </row>
    <row r="261" spans="1:1">
      <c r="A261" t="s">
        <v>414</v>
      </c>
    </row>
    <row r="262" spans="1:1">
      <c r="A262" t="s">
        <v>415</v>
      </c>
    </row>
    <row r="263" spans="1:1">
      <c r="A263" t="s">
        <v>416</v>
      </c>
    </row>
    <row r="264" spans="1:1">
      <c r="A264" t="s">
        <v>417</v>
      </c>
    </row>
    <row r="265" spans="1:1">
      <c r="A265" t="s">
        <v>418</v>
      </c>
    </row>
    <row r="266" spans="1:1">
      <c r="A266" t="s">
        <v>419</v>
      </c>
    </row>
    <row r="267" spans="1:1">
      <c r="A267" t="s">
        <v>420</v>
      </c>
    </row>
    <row r="268" spans="1:1">
      <c r="A268" t="s">
        <v>421</v>
      </c>
    </row>
    <row r="269" spans="1:1">
      <c r="A269" t="s">
        <v>422</v>
      </c>
    </row>
    <row r="270" spans="1:1">
      <c r="A270" t="s">
        <v>423</v>
      </c>
    </row>
    <row r="271" spans="1:1">
      <c r="A271" t="s">
        <v>424</v>
      </c>
    </row>
    <row r="272" spans="1:1">
      <c r="A272" t="s">
        <v>425</v>
      </c>
    </row>
    <row r="273" spans="1:1">
      <c r="A273" t="s">
        <v>426</v>
      </c>
    </row>
    <row r="274" spans="1:1">
      <c r="A274" t="s">
        <v>427</v>
      </c>
    </row>
    <row r="275" spans="1:1">
      <c r="A275" t="s">
        <v>428</v>
      </c>
    </row>
    <row r="276" spans="1:1">
      <c r="A276" t="s">
        <v>429</v>
      </c>
    </row>
    <row r="277" spans="1:1">
      <c r="A277" t="s">
        <v>430</v>
      </c>
    </row>
    <row r="278" spans="1:1">
      <c r="A278" t="s">
        <v>431</v>
      </c>
    </row>
    <row r="279" spans="1:1">
      <c r="A279" t="s">
        <v>432</v>
      </c>
    </row>
    <row r="280" spans="1:1">
      <c r="A280" t="s">
        <v>433</v>
      </c>
    </row>
    <row r="281" spans="1:1">
      <c r="A281" t="s">
        <v>434</v>
      </c>
    </row>
    <row r="282" spans="1:1">
      <c r="A282" t="s">
        <v>435</v>
      </c>
    </row>
    <row r="283" spans="1:1">
      <c r="A283" t="s">
        <v>436</v>
      </c>
    </row>
    <row r="284" spans="1:1">
      <c r="A284" t="s">
        <v>437</v>
      </c>
    </row>
    <row r="285" spans="1:1">
      <c r="A285" t="s">
        <v>438</v>
      </c>
    </row>
    <row r="286" spans="1:1">
      <c r="A286" t="s">
        <v>439</v>
      </c>
    </row>
    <row r="287" spans="1:1">
      <c r="A287" t="s">
        <v>440</v>
      </c>
    </row>
    <row r="288" spans="1:1">
      <c r="A288" t="s">
        <v>441</v>
      </c>
    </row>
    <row r="289" spans="1:1">
      <c r="A289" t="s">
        <v>237</v>
      </c>
    </row>
    <row r="290" spans="1:1">
      <c r="A290" t="s">
        <v>237</v>
      </c>
    </row>
    <row r="291" spans="1:1">
      <c r="A291" t="s">
        <v>442</v>
      </c>
    </row>
    <row r="292" spans="1:1">
      <c r="A292" t="s">
        <v>443</v>
      </c>
    </row>
    <row r="293" spans="1:1">
      <c r="A293" t="s">
        <v>444</v>
      </c>
    </row>
    <row r="294" spans="1:1">
      <c r="A294" t="s">
        <v>445</v>
      </c>
    </row>
    <row r="295" spans="1:1">
      <c r="A295" t="s">
        <v>446</v>
      </c>
    </row>
    <row r="296" spans="1:1">
      <c r="A296" t="s">
        <v>447</v>
      </c>
    </row>
    <row r="297" spans="1:1">
      <c r="A297" t="s">
        <v>448</v>
      </c>
    </row>
    <row r="298" spans="1:1">
      <c r="A298" t="s">
        <v>449</v>
      </c>
    </row>
    <row r="299" spans="1:1">
      <c r="A299" t="s">
        <v>450</v>
      </c>
    </row>
    <row r="300" spans="1:1">
      <c r="A300" t="s">
        <v>451</v>
      </c>
    </row>
    <row r="301" spans="1:1">
      <c r="A301" t="s">
        <v>452</v>
      </c>
    </row>
    <row r="302" spans="1:1">
      <c r="A302" t="s">
        <v>453</v>
      </c>
    </row>
    <row r="303" spans="1:1">
      <c r="A303" t="s">
        <v>454</v>
      </c>
    </row>
    <row r="304" spans="1:1">
      <c r="A304" t="s">
        <v>455</v>
      </c>
    </row>
    <row r="305" spans="1:1">
      <c r="A305" t="s">
        <v>456</v>
      </c>
    </row>
    <row r="306" spans="1:1">
      <c r="A306" t="s">
        <v>457</v>
      </c>
    </row>
    <row r="307" spans="1:1">
      <c r="A307" t="s">
        <v>458</v>
      </c>
    </row>
    <row r="308" spans="1:1">
      <c r="A308" t="s">
        <v>459</v>
      </c>
    </row>
    <row r="309" spans="1:1">
      <c r="A309" t="s">
        <v>460</v>
      </c>
    </row>
    <row r="310" spans="1:1">
      <c r="A310" t="s">
        <v>461</v>
      </c>
    </row>
    <row r="311" spans="1:1">
      <c r="A311" t="s">
        <v>462</v>
      </c>
    </row>
    <row r="312" spans="1:1">
      <c r="A312" t="s">
        <v>463</v>
      </c>
    </row>
    <row r="313" spans="1:1">
      <c r="A313" t="s">
        <v>464</v>
      </c>
    </row>
    <row r="314" spans="1:1">
      <c r="A314" t="s">
        <v>465</v>
      </c>
    </row>
    <row r="315" spans="1:1">
      <c r="A315" t="s">
        <v>466</v>
      </c>
    </row>
    <row r="316" spans="1:1">
      <c r="A316" t="s">
        <v>467</v>
      </c>
    </row>
    <row r="317" spans="1:1">
      <c r="A317" t="s">
        <v>468</v>
      </c>
    </row>
    <row r="318" spans="1:1">
      <c r="A318" t="s">
        <v>469</v>
      </c>
    </row>
    <row r="319" spans="1:1">
      <c r="A319" t="s">
        <v>470</v>
      </c>
    </row>
    <row r="320" spans="1:1">
      <c r="A320" t="s">
        <v>471</v>
      </c>
    </row>
    <row r="321" spans="1:1">
      <c r="A321" t="s">
        <v>472</v>
      </c>
    </row>
    <row r="322" spans="1:1">
      <c r="A322" t="s">
        <v>473</v>
      </c>
    </row>
    <row r="323" spans="1:1">
      <c r="A323" t="s">
        <v>474</v>
      </c>
    </row>
    <row r="324" spans="1:1">
      <c r="A324" t="s">
        <v>475</v>
      </c>
    </row>
    <row r="325" spans="1:1">
      <c r="A325" t="s">
        <v>476</v>
      </c>
    </row>
    <row r="326" spans="1:1">
      <c r="A326" t="s">
        <v>477</v>
      </c>
    </row>
    <row r="327" spans="1:1">
      <c r="A327" t="s">
        <v>478</v>
      </c>
    </row>
    <row r="328" spans="1:1">
      <c r="A328" t="s">
        <v>479</v>
      </c>
    </row>
    <row r="329" spans="1:1">
      <c r="A329" t="s">
        <v>480</v>
      </c>
    </row>
    <row r="330" spans="1:1">
      <c r="A330" t="s">
        <v>481</v>
      </c>
    </row>
    <row r="331" spans="1:1">
      <c r="A331" t="s">
        <v>482</v>
      </c>
    </row>
    <row r="332" spans="1:1">
      <c r="A332" t="s">
        <v>483</v>
      </c>
    </row>
    <row r="333" spans="1:1">
      <c r="A333" t="s">
        <v>484</v>
      </c>
    </row>
    <row r="334" spans="1:1">
      <c r="A334" t="s">
        <v>485</v>
      </c>
    </row>
    <row r="335" spans="1:1">
      <c r="A335" t="s">
        <v>486</v>
      </c>
    </row>
    <row r="336" spans="1:1">
      <c r="A336" t="s">
        <v>487</v>
      </c>
    </row>
    <row r="337" spans="1:1">
      <c r="A337" t="s">
        <v>488</v>
      </c>
    </row>
    <row r="338" spans="1:1">
      <c r="A338" t="s">
        <v>489</v>
      </c>
    </row>
    <row r="339" spans="1:1">
      <c r="A339" t="s">
        <v>490</v>
      </c>
    </row>
    <row r="340" spans="1:1">
      <c r="A340" t="s">
        <v>491</v>
      </c>
    </row>
    <row r="341" spans="1:1">
      <c r="A341" t="s">
        <v>492</v>
      </c>
    </row>
    <row r="342" spans="1:1">
      <c r="A342" t="s">
        <v>493</v>
      </c>
    </row>
    <row r="343" spans="1:1">
      <c r="A343" t="s">
        <v>494</v>
      </c>
    </row>
    <row r="344" spans="1:1">
      <c r="A344" t="s">
        <v>495</v>
      </c>
    </row>
    <row r="345" spans="1:1">
      <c r="A345" t="s">
        <v>496</v>
      </c>
    </row>
    <row r="346" spans="1:1">
      <c r="A346" t="s">
        <v>497</v>
      </c>
    </row>
    <row r="347" spans="1:1">
      <c r="A347" t="s">
        <v>498</v>
      </c>
    </row>
    <row r="348" spans="1:1">
      <c r="A348" t="s">
        <v>499</v>
      </c>
    </row>
    <row r="349" spans="1:1">
      <c r="A349" t="s">
        <v>500</v>
      </c>
    </row>
    <row r="350" spans="1:1">
      <c r="A350" t="s">
        <v>501</v>
      </c>
    </row>
    <row r="351" spans="1:1">
      <c r="A351" t="s">
        <v>502</v>
      </c>
    </row>
    <row r="352" spans="1:1">
      <c r="A352" t="s">
        <v>503</v>
      </c>
    </row>
    <row r="353" spans="1:1">
      <c r="A353" t="s">
        <v>504</v>
      </c>
    </row>
    <row r="354" spans="1:1">
      <c r="A354" t="s">
        <v>505</v>
      </c>
    </row>
    <row r="355" spans="1:1">
      <c r="A355" t="s">
        <v>506</v>
      </c>
    </row>
    <row r="356" spans="1:1">
      <c r="A356" t="s">
        <v>507</v>
      </c>
    </row>
    <row r="357" spans="1:1">
      <c r="A357" t="s">
        <v>508</v>
      </c>
    </row>
    <row r="358" spans="1:1">
      <c r="A358" t="s">
        <v>509</v>
      </c>
    </row>
    <row r="359" spans="1:1">
      <c r="A359" t="s">
        <v>510</v>
      </c>
    </row>
    <row r="360" spans="1:1">
      <c r="A360" t="s">
        <v>511</v>
      </c>
    </row>
    <row r="361" spans="1:1">
      <c r="A361" t="s">
        <v>512</v>
      </c>
    </row>
    <row r="362" spans="1:1">
      <c r="A362" t="s">
        <v>513</v>
      </c>
    </row>
    <row r="363" spans="1:1">
      <c r="A363" t="s">
        <v>514</v>
      </c>
    </row>
    <row r="364" spans="1:1">
      <c r="A364" t="s">
        <v>515</v>
      </c>
    </row>
    <row r="365" spans="1:1">
      <c r="A365" t="s">
        <v>516</v>
      </c>
    </row>
    <row r="366" spans="1:1">
      <c r="A366" t="s">
        <v>517</v>
      </c>
    </row>
    <row r="367" spans="1:1">
      <c r="A367" t="s">
        <v>518</v>
      </c>
    </row>
    <row r="368" spans="1:1">
      <c r="A368" t="s">
        <v>519</v>
      </c>
    </row>
    <row r="369" spans="1:1">
      <c r="A369" t="s">
        <v>520</v>
      </c>
    </row>
    <row r="370" spans="1:1">
      <c r="A370" t="s">
        <v>521</v>
      </c>
    </row>
    <row r="371" spans="1:1">
      <c r="A371" t="s">
        <v>522</v>
      </c>
    </row>
    <row r="372" spans="1:1">
      <c r="A372" t="s">
        <v>523</v>
      </c>
    </row>
    <row r="373" spans="1:1">
      <c r="A373" t="s">
        <v>524</v>
      </c>
    </row>
    <row r="374" spans="1:1">
      <c r="A374" t="s">
        <v>525</v>
      </c>
    </row>
    <row r="375" spans="1:1">
      <c r="A375" t="s">
        <v>526</v>
      </c>
    </row>
    <row r="376" spans="1:1">
      <c r="A376" t="s">
        <v>527</v>
      </c>
    </row>
    <row r="377" spans="1:1">
      <c r="A377" t="s">
        <v>528</v>
      </c>
    </row>
    <row r="378" spans="1:1">
      <c r="A378" t="s">
        <v>529</v>
      </c>
    </row>
    <row r="379" spans="1:1">
      <c r="A379" t="s">
        <v>530</v>
      </c>
    </row>
    <row r="380" spans="1:1">
      <c r="A380" t="s">
        <v>531</v>
      </c>
    </row>
    <row r="381" spans="1:1">
      <c r="A381" t="s">
        <v>532</v>
      </c>
    </row>
    <row r="382" spans="1:1">
      <c r="A382" t="s">
        <v>533</v>
      </c>
    </row>
    <row r="383" spans="1:1">
      <c r="A383" t="s">
        <v>534</v>
      </c>
    </row>
    <row r="384" spans="1:1">
      <c r="A384" t="s">
        <v>535</v>
      </c>
    </row>
    <row r="385" spans="1:1">
      <c r="A385" t="s">
        <v>536</v>
      </c>
    </row>
    <row r="386" spans="1:1">
      <c r="A386" t="s">
        <v>537</v>
      </c>
    </row>
    <row r="387" spans="1:1">
      <c r="A387" t="s">
        <v>538</v>
      </c>
    </row>
    <row r="388" spans="1:1">
      <c r="A388" t="s">
        <v>539</v>
      </c>
    </row>
    <row r="389" spans="1:1">
      <c r="A389" t="s">
        <v>540</v>
      </c>
    </row>
    <row r="390" spans="1:1">
      <c r="A390" t="s">
        <v>541</v>
      </c>
    </row>
    <row r="391" spans="1:1">
      <c r="A391" t="s">
        <v>542</v>
      </c>
    </row>
    <row r="392" spans="1:1">
      <c r="A392" t="s">
        <v>543</v>
      </c>
    </row>
    <row r="393" spans="1:1">
      <c r="A393" t="s">
        <v>544</v>
      </c>
    </row>
    <row r="394" spans="1:1">
      <c r="A394" t="s">
        <v>545</v>
      </c>
    </row>
    <row r="395" spans="1:1">
      <c r="A395" t="s">
        <v>546</v>
      </c>
    </row>
    <row r="396" spans="1:1">
      <c r="A396" t="s">
        <v>547</v>
      </c>
    </row>
    <row r="397" spans="1:1">
      <c r="A397" t="s">
        <v>548</v>
      </c>
    </row>
    <row r="398" spans="1:1">
      <c r="A398" t="s">
        <v>549</v>
      </c>
    </row>
    <row r="399" spans="1:1">
      <c r="A399" t="s">
        <v>550</v>
      </c>
    </row>
    <row r="400" spans="1:1">
      <c r="A400" t="s">
        <v>551</v>
      </c>
    </row>
    <row r="401" spans="1:1">
      <c r="A401" t="s">
        <v>552</v>
      </c>
    </row>
    <row r="402" spans="1:1">
      <c r="A402" t="s">
        <v>553</v>
      </c>
    </row>
    <row r="403" spans="1:1">
      <c r="A403" t="s">
        <v>554</v>
      </c>
    </row>
    <row r="404" spans="1:1">
      <c r="A404" t="s">
        <v>555</v>
      </c>
    </row>
    <row r="405" spans="1:1">
      <c r="A405" t="s">
        <v>556</v>
      </c>
    </row>
    <row r="406" spans="1:1">
      <c r="A406" t="s">
        <v>557</v>
      </c>
    </row>
    <row r="407" spans="1:1">
      <c r="A407" t="s">
        <v>558</v>
      </c>
    </row>
    <row r="408" spans="1:1">
      <c r="A408" t="s">
        <v>559</v>
      </c>
    </row>
    <row r="409" spans="1:1">
      <c r="A409" t="s">
        <v>560</v>
      </c>
    </row>
    <row r="410" spans="1:1">
      <c r="A410" t="s">
        <v>561</v>
      </c>
    </row>
    <row r="411" spans="1:1">
      <c r="A411" t="s">
        <v>562</v>
      </c>
    </row>
    <row r="412" spans="1:1">
      <c r="A412" t="s">
        <v>563</v>
      </c>
    </row>
    <row r="413" spans="1:1">
      <c r="A413" t="s">
        <v>564</v>
      </c>
    </row>
    <row r="414" spans="1:1">
      <c r="A414" t="s">
        <v>565</v>
      </c>
    </row>
    <row r="415" spans="1:1">
      <c r="A415" t="s">
        <v>566</v>
      </c>
    </row>
    <row r="416" spans="1:1">
      <c r="A416" t="s">
        <v>567</v>
      </c>
    </row>
    <row r="417" spans="1:1">
      <c r="A417" t="s">
        <v>568</v>
      </c>
    </row>
    <row r="418" spans="1:1">
      <c r="A418" t="s">
        <v>569</v>
      </c>
    </row>
    <row r="419" spans="1:1">
      <c r="A419" t="s">
        <v>570</v>
      </c>
    </row>
    <row r="420" spans="1:1">
      <c r="A420" t="s">
        <v>571</v>
      </c>
    </row>
    <row r="421" spans="1:1">
      <c r="A421" t="s">
        <v>572</v>
      </c>
    </row>
    <row r="422" spans="1:1">
      <c r="A422" t="s">
        <v>573</v>
      </c>
    </row>
    <row r="423" spans="1:1">
      <c r="A423" t="s">
        <v>574</v>
      </c>
    </row>
    <row r="424" spans="1:1">
      <c r="A424" t="s">
        <v>575</v>
      </c>
    </row>
    <row r="425" spans="1:1">
      <c r="A425" t="s">
        <v>576</v>
      </c>
    </row>
    <row r="426" spans="1:1">
      <c r="A426" t="s">
        <v>577</v>
      </c>
    </row>
    <row r="427" spans="1:1">
      <c r="A427" t="s">
        <v>578</v>
      </c>
    </row>
    <row r="428" spans="1:1">
      <c r="A428" t="s">
        <v>579</v>
      </c>
    </row>
    <row r="429" spans="1:1">
      <c r="A429" t="s">
        <v>580</v>
      </c>
    </row>
    <row r="430" spans="1:1">
      <c r="A430" t="s">
        <v>581</v>
      </c>
    </row>
    <row r="431" spans="1:1">
      <c r="A431" t="s">
        <v>582</v>
      </c>
    </row>
    <row r="432" spans="1:1">
      <c r="A432" t="s">
        <v>583</v>
      </c>
    </row>
    <row r="433" spans="1:1">
      <c r="A433" t="s">
        <v>584</v>
      </c>
    </row>
    <row r="434" spans="1:1">
      <c r="A434" t="s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.</vt:lpstr>
      <vt:lpstr>Modèle_Sinistre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listeDR2</vt:lpstr>
      <vt:lpstr>listeexpert</vt:lpstr>
      <vt:lpstr>Modèle_Epave!Zone_d_impression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2019-11-27T19:38:37Z</cp:lastPrinted>
  <dcterms:created xsi:type="dcterms:W3CDTF">2018-11-07T08:15:07Z</dcterms:created>
  <dcterms:modified xsi:type="dcterms:W3CDTF">2020-01-16T20:37:50Z</dcterms:modified>
</cp:coreProperties>
</file>