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briel\Desktop\"/>
    </mc:Choice>
  </mc:AlternateContent>
  <bookViews>
    <workbookView xWindow="0" yWindow="0" windowWidth="24000" windowHeight="9510" tabRatio="512" firstSheet="2" activeTab="2"/>
  </bookViews>
  <sheets>
    <sheet name="SUIV CA 16-17" sheetId="14" state="hidden" r:id="rId1"/>
    <sheet name="SUIV CA 17-18" sheetId="7" state="hidden" r:id="rId2"/>
    <sheet name="SUVI RENTABILITE 16-17 " sheetId="12" r:id="rId3"/>
    <sheet name="SUIVI RENTABILITE 17-18" sheetId="13" r:id="rId4"/>
  </sheets>
  <definedNames>
    <definedName name="_xlnm.Print_Area" localSheetId="0">'SUIV CA 16-17'!$A$1:$R$35</definedName>
    <definedName name="_xlnm.Print_Area" localSheetId="1">'SUIV CA 17-18'!$A$1:$X$36</definedName>
    <definedName name="_xlnm.Print_Area" localSheetId="3">'SUIVI RENTABILITE 17-18'!$C$1:$T$124</definedName>
    <definedName name="_xlnm.Print_Area" localSheetId="2">'SUVI RENTABILITE 16-17 '!$A$1:$Q$114</definedName>
  </definedNames>
  <calcPr calcId="162913"/>
  <fileRecoveryPr autoRecover="0"/>
</workbook>
</file>

<file path=xl/calcChain.xml><?xml version="1.0" encoding="utf-8"?>
<calcChain xmlns="http://schemas.openxmlformats.org/spreadsheetml/2006/main">
  <c r="U6" i="13" l="1"/>
  <c r="U30" i="13"/>
  <c r="U28" i="13"/>
  <c r="U22" i="13"/>
  <c r="U21" i="13"/>
  <c r="U20" i="13"/>
  <c r="U19" i="13"/>
  <c r="U13" i="13"/>
  <c r="U12" i="13"/>
  <c r="U9" i="13"/>
  <c r="U8" i="13"/>
  <c r="R30" i="13"/>
  <c r="R13" i="13"/>
  <c r="Q30" i="13"/>
  <c r="S14" i="13"/>
  <c r="S26" i="13"/>
  <c r="S30" i="13"/>
  <c r="E30" i="13"/>
  <c r="Q28" i="13"/>
  <c r="R28" i="13"/>
  <c r="R22" i="13"/>
  <c r="R20" i="13"/>
  <c r="S20" i="13"/>
  <c r="R21" i="13"/>
  <c r="Q20" i="13"/>
  <c r="R19" i="13"/>
  <c r="R12" i="13"/>
  <c r="R9" i="13"/>
  <c r="R8" i="13"/>
  <c r="R6" i="13"/>
  <c r="T37" i="13"/>
  <c r="A7" i="13"/>
  <c r="A8" i="13"/>
  <c r="T8" i="13" s="1"/>
  <c r="A9" i="13"/>
  <c r="T9" i="13" s="1"/>
  <c r="A10" i="13"/>
  <c r="T10" i="13" s="1"/>
  <c r="A11" i="13"/>
  <c r="T11" i="13" s="1"/>
  <c r="A12" i="13"/>
  <c r="T12" i="13" s="1"/>
  <c r="A13" i="13"/>
  <c r="A14" i="13"/>
  <c r="A15" i="13"/>
  <c r="A16" i="13"/>
  <c r="A17" i="13"/>
  <c r="A18" i="13"/>
  <c r="A19" i="13"/>
  <c r="T19" i="13" s="1"/>
  <c r="A20" i="13"/>
  <c r="A21" i="13"/>
  <c r="T21" i="13" s="1"/>
  <c r="A22" i="13"/>
  <c r="T22" i="13" s="1"/>
  <c r="A23" i="13"/>
  <c r="A24" i="13"/>
  <c r="A25" i="13"/>
  <c r="A26" i="13"/>
  <c r="A27" i="13"/>
  <c r="A28" i="13"/>
  <c r="T28" i="13" s="1"/>
  <c r="A29" i="13"/>
  <c r="A30" i="13"/>
  <c r="A31" i="13"/>
  <c r="A32" i="13"/>
  <c r="T32" i="13" s="1"/>
  <c r="A33" i="13"/>
  <c r="A34" i="13"/>
  <c r="T34" i="13" s="1"/>
  <c r="A35" i="13"/>
  <c r="T35" i="13" s="1"/>
  <c r="A36" i="13"/>
  <c r="T36" i="13" s="1"/>
  <c r="A37" i="13"/>
  <c r="A38" i="13"/>
  <c r="T38" i="13" s="1"/>
  <c r="A39" i="13"/>
  <c r="A40" i="13"/>
  <c r="A41" i="13"/>
  <c r="A42" i="13"/>
  <c r="A43" i="13"/>
  <c r="A44" i="13"/>
  <c r="A45" i="13"/>
  <c r="T45" i="13" s="1"/>
  <c r="A46" i="13"/>
  <c r="A47" i="13"/>
  <c r="T47" i="13" s="1"/>
  <c r="A48" i="13"/>
  <c r="T48" i="13" s="1"/>
  <c r="A49" i="13"/>
  <c r="A50" i="13"/>
  <c r="A51" i="13"/>
  <c r="A52" i="13"/>
  <c r="A53" i="13"/>
  <c r="A54" i="13"/>
  <c r="T54" i="13" s="1"/>
  <c r="A55" i="13"/>
  <c r="A56" i="13"/>
  <c r="A57" i="13"/>
  <c r="A58" i="13"/>
  <c r="A59" i="13"/>
  <c r="A60" i="13"/>
  <c r="A61" i="13"/>
  <c r="A62" i="13"/>
  <c r="T62" i="13" s="1"/>
  <c r="A63" i="13"/>
  <c r="T63" i="13" s="1"/>
  <c r="A64" i="13"/>
  <c r="T64" i="13" s="1"/>
  <c r="A65" i="13"/>
  <c r="T65" i="13" s="1"/>
  <c r="A66" i="13"/>
  <c r="T66" i="13" s="1"/>
  <c r="A67" i="13"/>
  <c r="T67" i="13" s="1"/>
  <c r="A68" i="13"/>
  <c r="A69" i="13"/>
  <c r="A70" i="13"/>
  <c r="A71" i="13"/>
  <c r="T71" i="13" s="1"/>
  <c r="A72" i="13"/>
  <c r="A73" i="13"/>
  <c r="T73" i="13" s="1"/>
  <c r="A74" i="13"/>
  <c r="A75" i="13"/>
  <c r="T75" i="13" s="1"/>
  <c r="A76" i="13"/>
  <c r="T76" i="13" s="1"/>
  <c r="A77" i="13"/>
  <c r="A78" i="13"/>
  <c r="A79" i="13"/>
  <c r="A80" i="13"/>
  <c r="A81" i="13"/>
  <c r="T81" i="13" s="1"/>
  <c r="A82" i="13"/>
  <c r="A83" i="13"/>
  <c r="A84" i="13"/>
  <c r="A85" i="13"/>
  <c r="T85" i="13" s="1"/>
  <c r="A86" i="13"/>
  <c r="T86" i="13" s="1"/>
  <c r="A87" i="13"/>
  <c r="T87" i="13" s="1"/>
  <c r="A88" i="13"/>
  <c r="T88" i="13" s="1"/>
  <c r="A89" i="13"/>
  <c r="T89" i="13" s="1"/>
  <c r="A90" i="13"/>
  <c r="A91" i="13"/>
  <c r="T91" i="13" s="1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6" i="13"/>
  <c r="T6" i="13" s="1"/>
  <c r="I95" i="13" l="1"/>
  <c r="U20" i="7" l="1"/>
  <c r="U21" i="7"/>
  <c r="K123" i="13" l="1"/>
  <c r="K117" i="13"/>
  <c r="K118" i="13"/>
  <c r="K119" i="13"/>
  <c r="K120" i="13"/>
  <c r="K121" i="13"/>
  <c r="T121" i="13"/>
  <c r="T120" i="13"/>
  <c r="T119" i="13"/>
  <c r="T118" i="13"/>
  <c r="T117" i="13"/>
  <c r="Q21" i="13"/>
  <c r="Q19" i="13"/>
  <c r="Q6" i="13"/>
  <c r="Q9" i="13"/>
  <c r="S9" i="13"/>
  <c r="Q10" i="13"/>
  <c r="S10" i="13"/>
  <c r="Q11" i="13"/>
  <c r="S11" i="13"/>
  <c r="S6" i="13"/>
  <c r="K46" i="13" l="1"/>
  <c r="L46" i="13"/>
  <c r="M46" i="13"/>
  <c r="N46" i="13"/>
  <c r="O46" i="13"/>
  <c r="P46" i="13"/>
  <c r="J46" i="13"/>
  <c r="J74" i="13"/>
  <c r="K74" i="13"/>
  <c r="L74" i="13"/>
  <c r="M74" i="13"/>
  <c r="N74" i="13"/>
  <c r="O74" i="13"/>
  <c r="P74" i="13"/>
  <c r="I74" i="13"/>
  <c r="J55" i="13"/>
  <c r="K55" i="13"/>
  <c r="L55" i="13"/>
  <c r="M55" i="13"/>
  <c r="N55" i="13"/>
  <c r="O55" i="13"/>
  <c r="P55" i="13"/>
  <c r="I55" i="13"/>
  <c r="K50" i="13"/>
  <c r="L50" i="13"/>
  <c r="M50" i="13"/>
  <c r="N50" i="13"/>
  <c r="O50" i="13"/>
  <c r="P50" i="13"/>
  <c r="J50" i="13"/>
  <c r="J24" i="13"/>
  <c r="B96" i="13"/>
  <c r="B97" i="13"/>
  <c r="B98" i="13"/>
  <c r="B99" i="13"/>
  <c r="B100" i="13"/>
  <c r="B101" i="13"/>
  <c r="B102" i="13"/>
  <c r="B103" i="13"/>
  <c r="B104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52" i="13"/>
  <c r="B53" i="13"/>
  <c r="B54" i="13"/>
  <c r="B55" i="13"/>
  <c r="B56" i="13"/>
  <c r="B57" i="13"/>
  <c r="B58" i="13"/>
  <c r="B59" i="13"/>
  <c r="B60" i="13"/>
  <c r="B61" i="13"/>
  <c r="B42" i="13"/>
  <c r="B43" i="13"/>
  <c r="B44" i="13"/>
  <c r="B45" i="13"/>
  <c r="B46" i="13"/>
  <c r="B47" i="13"/>
  <c r="B48" i="13"/>
  <c r="B49" i="13"/>
  <c r="B50" i="13"/>
  <c r="B51" i="13"/>
  <c r="B36" i="13"/>
  <c r="B37" i="13"/>
  <c r="B38" i="13"/>
  <c r="B39" i="13"/>
  <c r="B40" i="13"/>
  <c r="B41" i="13"/>
  <c r="B35" i="13"/>
  <c r="B34" i="13"/>
  <c r="B33" i="13"/>
  <c r="B32" i="13"/>
  <c r="H29" i="13" l="1"/>
  <c r="I29" i="13"/>
  <c r="T29" i="13" s="1"/>
  <c r="J29" i="13"/>
  <c r="K29" i="13"/>
  <c r="L29" i="13"/>
  <c r="M29" i="13"/>
  <c r="N29" i="13"/>
  <c r="O29" i="13"/>
  <c r="P29" i="13"/>
  <c r="G29" i="13"/>
  <c r="H24" i="13"/>
  <c r="I24" i="13"/>
  <c r="T24" i="13" s="1"/>
  <c r="K24" i="13"/>
  <c r="L24" i="13"/>
  <c r="M24" i="13"/>
  <c r="N24" i="13"/>
  <c r="O24" i="13"/>
  <c r="P24" i="13"/>
  <c r="G24" i="13"/>
  <c r="H20" i="13"/>
  <c r="I20" i="13"/>
  <c r="J20" i="13"/>
  <c r="K20" i="13"/>
  <c r="L20" i="13"/>
  <c r="M20" i="13"/>
  <c r="N20" i="13"/>
  <c r="O20" i="13"/>
  <c r="P20" i="13"/>
  <c r="G20" i="13"/>
  <c r="B6" i="13"/>
  <c r="B7" i="13"/>
  <c r="W7" i="13" s="1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Q2" i="13"/>
  <c r="F50" i="13"/>
  <c r="F49" i="13"/>
  <c r="E49" i="13"/>
  <c r="E50" i="13"/>
  <c r="E24" i="13"/>
  <c r="H113" i="13"/>
  <c r="H112" i="13"/>
  <c r="H110" i="13"/>
  <c r="N7" i="7"/>
  <c r="I25" i="7"/>
  <c r="T20" i="13" l="1"/>
  <c r="H114" i="13"/>
  <c r="G7" i="7" l="1"/>
  <c r="G25" i="7" s="1"/>
  <c r="K25" i="7" l="1"/>
  <c r="L25" i="7"/>
  <c r="M25" i="7"/>
  <c r="N25" i="7" l="1"/>
  <c r="H13" i="13"/>
  <c r="H30" i="13" l="1"/>
  <c r="H14" i="13"/>
  <c r="O7" i="7"/>
  <c r="J7" i="7"/>
  <c r="E23" i="13" l="1"/>
  <c r="G112" i="13" l="1"/>
  <c r="G113" i="13"/>
  <c r="G110" i="13"/>
  <c r="G114" i="13" l="1"/>
  <c r="G111" i="13"/>
  <c r="P24" i="7"/>
  <c r="K23" i="7"/>
  <c r="L23" i="7"/>
  <c r="M23" i="7"/>
  <c r="K24" i="7"/>
  <c r="L24" i="7"/>
  <c r="M24" i="7"/>
  <c r="H23" i="13" l="1"/>
  <c r="G94" i="13" l="1"/>
  <c r="E90" i="13"/>
  <c r="F90" i="13"/>
  <c r="G89" i="13"/>
  <c r="G67" i="13"/>
  <c r="G38" i="13"/>
  <c r="G117" i="13" l="1"/>
  <c r="G118" i="13"/>
  <c r="G121" i="13"/>
  <c r="G120" i="13"/>
  <c r="G12" i="13"/>
  <c r="F12" i="13"/>
  <c r="S12" i="13" l="1"/>
  <c r="Q12" i="13"/>
  <c r="G119" i="13"/>
  <c r="G122" i="13" s="1"/>
  <c r="G123" i="13" s="1"/>
  <c r="G13" i="13"/>
  <c r="G30" i="13" l="1"/>
  <c r="G14" i="13"/>
  <c r="G6" i="7" l="1"/>
  <c r="J6" i="7" l="1"/>
  <c r="G24" i="7"/>
  <c r="F113" i="13" l="1"/>
  <c r="F110" i="13"/>
  <c r="N9" i="7" l="1"/>
  <c r="N10" i="7"/>
  <c r="N11" i="7"/>
  <c r="N12" i="7"/>
  <c r="N13" i="7"/>
  <c r="N14" i="7"/>
  <c r="N6" i="7"/>
  <c r="O6" i="7" s="1"/>
  <c r="P23" i="7" s="1"/>
  <c r="N8" i="7"/>
  <c r="N5" i="7"/>
  <c r="N4" i="7"/>
  <c r="G5" i="7" l="1"/>
  <c r="J5" i="7" s="1"/>
  <c r="G4" i="7"/>
  <c r="C39" i="12" l="1"/>
  <c r="N46" i="12"/>
  <c r="O19" i="12"/>
  <c r="O21" i="12"/>
  <c r="N20" i="12"/>
  <c r="O7" i="12" l="1"/>
  <c r="O8" i="12"/>
  <c r="O10" i="12"/>
  <c r="O11" i="12"/>
  <c r="O12" i="12"/>
  <c r="G23" i="7" l="1"/>
  <c r="O5" i="7"/>
  <c r="P22" i="7" s="1"/>
  <c r="S107" i="13" l="1"/>
  <c r="F112" i="13"/>
  <c r="F114" i="13" s="1"/>
  <c r="Q34" i="13" l="1"/>
  <c r="K22" i="7" l="1"/>
  <c r="L22" i="7"/>
  <c r="M22" i="7"/>
  <c r="N23" i="7"/>
  <c r="N27" i="7"/>
  <c r="N29" i="7"/>
  <c r="N30" i="7"/>
  <c r="N31" i="7"/>
  <c r="N24" i="7"/>
  <c r="N28" i="7"/>
  <c r="N32" i="7"/>
  <c r="M21" i="7"/>
  <c r="L21" i="7"/>
  <c r="K21" i="7"/>
  <c r="L15" i="7"/>
  <c r="M15" i="7"/>
  <c r="K15" i="7"/>
  <c r="U15" i="7"/>
  <c r="V15" i="7"/>
  <c r="T15" i="7"/>
  <c r="K33" i="7" l="1"/>
  <c r="N22" i="7"/>
  <c r="M33" i="7"/>
  <c r="L33" i="7"/>
  <c r="N21" i="7"/>
  <c r="N33" i="7" l="1"/>
  <c r="I22" i="7"/>
  <c r="I23" i="7"/>
  <c r="I24" i="7"/>
  <c r="I26" i="7"/>
  <c r="I27" i="7"/>
  <c r="I28" i="7"/>
  <c r="I29" i="7"/>
  <c r="I30" i="7"/>
  <c r="I31" i="7"/>
  <c r="I32" i="7"/>
  <c r="I21" i="7"/>
  <c r="I33" i="7" l="1"/>
  <c r="O108" i="12"/>
  <c r="O107" i="12"/>
  <c r="P107" i="12" l="1"/>
  <c r="AF5" i="14" l="1"/>
  <c r="AG5" i="14"/>
  <c r="AH5" i="14"/>
  <c r="AF6" i="14"/>
  <c r="AG6" i="14"/>
  <c r="AH6" i="14"/>
  <c r="AF7" i="14"/>
  <c r="AG7" i="14"/>
  <c r="AH7" i="14"/>
  <c r="AF8" i="14"/>
  <c r="AG8" i="14"/>
  <c r="AH8" i="14"/>
  <c r="AF9" i="14"/>
  <c r="AG9" i="14"/>
  <c r="AH9" i="14"/>
  <c r="AF10" i="14"/>
  <c r="AG10" i="14"/>
  <c r="AH10" i="14"/>
  <c r="AF11" i="14"/>
  <c r="AG11" i="14"/>
  <c r="AH11" i="14"/>
  <c r="AF12" i="14"/>
  <c r="AG12" i="14"/>
  <c r="AH12" i="14"/>
  <c r="AF13" i="14"/>
  <c r="AG13" i="14"/>
  <c r="AH13" i="14"/>
  <c r="AF14" i="14"/>
  <c r="AG14" i="14"/>
  <c r="AH14" i="14"/>
  <c r="AF15" i="14"/>
  <c r="AG15" i="14"/>
  <c r="AH15" i="14"/>
  <c r="AH4" i="14"/>
  <c r="AG4" i="14"/>
  <c r="AF4" i="14"/>
  <c r="Y4" i="14"/>
  <c r="AC16" i="14"/>
  <c r="AB16" i="14"/>
  <c r="AA16" i="14"/>
  <c r="X16" i="14"/>
  <c r="W16" i="14"/>
  <c r="V16" i="14"/>
  <c r="AD15" i="14"/>
  <c r="Y15" i="14"/>
  <c r="AD14" i="14"/>
  <c r="Y14" i="14"/>
  <c r="AD13" i="14"/>
  <c r="Y13" i="14"/>
  <c r="AD12" i="14"/>
  <c r="Y12" i="14"/>
  <c r="AD11" i="14"/>
  <c r="Y11" i="14"/>
  <c r="AD10" i="14"/>
  <c r="Y10" i="14"/>
  <c r="AD9" i="14"/>
  <c r="Y9" i="14"/>
  <c r="AD8" i="14"/>
  <c r="Y8" i="14"/>
  <c r="AD7" i="14"/>
  <c r="Y7" i="14"/>
  <c r="AD6" i="14"/>
  <c r="Y6" i="14"/>
  <c r="AD5" i="14"/>
  <c r="Y5" i="14"/>
  <c r="AD4" i="14"/>
  <c r="AI9" i="14" l="1"/>
  <c r="AI5" i="14"/>
  <c r="Y16" i="14"/>
  <c r="AI13" i="14"/>
  <c r="AI6" i="14"/>
  <c r="AG16" i="14"/>
  <c r="AI15" i="14"/>
  <c r="AI12" i="14"/>
  <c r="AI11" i="14"/>
  <c r="AI7" i="14"/>
  <c r="AD16" i="14"/>
  <c r="AH16" i="14"/>
  <c r="AI14" i="14"/>
  <c r="AI10" i="14"/>
  <c r="AI8" i="14"/>
  <c r="AF16" i="14"/>
  <c r="AI4" i="14" l="1"/>
  <c r="AI16" i="14" s="1"/>
  <c r="S4" i="7" l="1"/>
  <c r="S3" i="7"/>
  <c r="D14" i="7"/>
  <c r="D13" i="7"/>
  <c r="D12" i="7"/>
  <c r="D11" i="7"/>
  <c r="D10" i="7"/>
  <c r="D9" i="7"/>
  <c r="D8" i="7"/>
  <c r="D7" i="7"/>
  <c r="D6" i="7"/>
  <c r="D5" i="7"/>
  <c r="D4" i="7"/>
  <c r="D3" i="7"/>
  <c r="C33" i="7" l="1"/>
  <c r="C29" i="7"/>
  <c r="C30" i="7"/>
  <c r="C26" i="7"/>
  <c r="C25" i="7"/>
  <c r="C32" i="7"/>
  <c r="C28" i="7"/>
  <c r="C24" i="7"/>
  <c r="C31" i="7"/>
  <c r="C27" i="7"/>
  <c r="C23" i="7"/>
  <c r="E39" i="13" l="1"/>
  <c r="E56" i="13" l="1"/>
  <c r="E40" i="13"/>
  <c r="F55" i="13"/>
  <c r="P102" i="13" l="1"/>
  <c r="O102" i="13"/>
  <c r="N102" i="13"/>
  <c r="M102" i="13"/>
  <c r="L102" i="13"/>
  <c r="K102" i="13"/>
  <c r="J102" i="13"/>
  <c r="I102" i="13"/>
  <c r="H102" i="13"/>
  <c r="G102" i="13"/>
  <c r="F102" i="13"/>
  <c r="E102" i="13"/>
  <c r="E112" i="13"/>
  <c r="E113" i="13"/>
  <c r="E110" i="13"/>
  <c r="E108" i="13"/>
  <c r="E109" i="13" l="1"/>
  <c r="F109" i="13" s="1"/>
  <c r="G109" i="13" s="1"/>
  <c r="E111" i="13"/>
  <c r="E20" i="13"/>
  <c r="S21" i="13"/>
  <c r="E8" i="13" l="1"/>
  <c r="S8" i="13" l="1"/>
  <c r="Q8" i="13"/>
  <c r="E13" i="13"/>
  <c r="E14" i="13" l="1"/>
  <c r="G22" i="7" l="1"/>
  <c r="O4" i="7"/>
  <c r="J4" i="7"/>
  <c r="N3" i="7" l="1"/>
  <c r="C5" i="12" l="1"/>
  <c r="Q15" i="7" l="1"/>
  <c r="H15" i="7"/>
  <c r="N15" i="14"/>
  <c r="L15" i="14"/>
  <c r="G15" i="14"/>
  <c r="O14" i="14"/>
  <c r="O4" i="14"/>
  <c r="O5" i="14"/>
  <c r="O6" i="14"/>
  <c r="O7" i="14"/>
  <c r="O8" i="14"/>
  <c r="O9" i="14"/>
  <c r="O10" i="14"/>
  <c r="O11" i="14"/>
  <c r="O12" i="14"/>
  <c r="O13" i="14"/>
  <c r="G19" i="14" l="1"/>
  <c r="K15" i="14"/>
  <c r="I15" i="14"/>
  <c r="R14" i="14"/>
  <c r="M14" i="14"/>
  <c r="M13" i="14"/>
  <c r="R12" i="14"/>
  <c r="M12" i="14"/>
  <c r="M11" i="14"/>
  <c r="R10" i="14"/>
  <c r="M10" i="14"/>
  <c r="M9" i="14"/>
  <c r="R8" i="14"/>
  <c r="M8" i="14"/>
  <c r="M7" i="14"/>
  <c r="R6" i="14"/>
  <c r="M6" i="14"/>
  <c r="M5" i="14"/>
  <c r="R4" i="14"/>
  <c r="M4" i="14"/>
  <c r="M3" i="14"/>
  <c r="M15" i="14" l="1"/>
  <c r="R3" i="14"/>
  <c r="R7" i="14"/>
  <c r="R11" i="14"/>
  <c r="R13" i="14"/>
  <c r="R5" i="14"/>
  <c r="R9" i="14"/>
  <c r="O3" i="14"/>
  <c r="O15" i="14" s="1"/>
  <c r="R15" i="14" l="1"/>
  <c r="O2" i="12" l="1"/>
  <c r="J114" i="13"/>
  <c r="I114" i="13"/>
  <c r="E114" i="13"/>
  <c r="M114" i="13"/>
  <c r="K114" i="13"/>
  <c r="P114" i="13"/>
  <c r="O114" i="13"/>
  <c r="N114" i="13"/>
  <c r="S112" i="13"/>
  <c r="J111" i="13"/>
  <c r="I111" i="13"/>
  <c r="H111" i="13"/>
  <c r="F111" i="13"/>
  <c r="P111" i="13"/>
  <c r="O111" i="13"/>
  <c r="N111" i="13"/>
  <c r="M111" i="13"/>
  <c r="L111" i="13"/>
  <c r="K111" i="13"/>
  <c r="H109" i="13"/>
  <c r="I109" i="13" s="1"/>
  <c r="J109" i="13" s="1"/>
  <c r="K109" i="13" s="1"/>
  <c r="L109" i="13" s="1"/>
  <c r="M109" i="13" s="1"/>
  <c r="N109" i="13" s="1"/>
  <c r="O109" i="13" s="1"/>
  <c r="P109" i="13" s="1"/>
  <c r="S108" i="13"/>
  <c r="Q108" i="13"/>
  <c r="S102" i="13"/>
  <c r="Q102" i="13"/>
  <c r="S101" i="13"/>
  <c r="Q101" i="13"/>
  <c r="S100" i="13"/>
  <c r="Q100" i="13"/>
  <c r="S99" i="13"/>
  <c r="Q99" i="13"/>
  <c r="P97" i="13"/>
  <c r="O97" i="13"/>
  <c r="N97" i="13"/>
  <c r="M97" i="13"/>
  <c r="L97" i="13"/>
  <c r="J97" i="13"/>
  <c r="I97" i="13"/>
  <c r="H97" i="13"/>
  <c r="P95" i="13"/>
  <c r="O95" i="13"/>
  <c r="N95" i="13"/>
  <c r="M95" i="13"/>
  <c r="L95" i="13"/>
  <c r="K95" i="13"/>
  <c r="J95" i="13"/>
  <c r="J96" i="13" s="1"/>
  <c r="H95" i="13"/>
  <c r="T95" i="13" s="1"/>
  <c r="G95" i="13"/>
  <c r="F95" i="13"/>
  <c r="E95" i="13"/>
  <c r="E96" i="13" s="1"/>
  <c r="P90" i="13"/>
  <c r="P92" i="13" s="1"/>
  <c r="O90" i="13"/>
  <c r="O92" i="13" s="1"/>
  <c r="N90" i="13"/>
  <c r="N92" i="13" s="1"/>
  <c r="M90" i="13"/>
  <c r="M92" i="13" s="1"/>
  <c r="L90" i="13"/>
  <c r="L92" i="13" s="1"/>
  <c r="K90" i="13"/>
  <c r="K92" i="13" s="1"/>
  <c r="J90" i="13"/>
  <c r="J92" i="13" s="1"/>
  <c r="I90" i="13"/>
  <c r="H90" i="13"/>
  <c r="G90" i="13"/>
  <c r="G92" i="13" s="1"/>
  <c r="E70" i="13"/>
  <c r="Q89" i="13"/>
  <c r="Q88" i="13"/>
  <c r="Q87" i="13"/>
  <c r="Q86" i="13"/>
  <c r="Q85" i="13"/>
  <c r="S76" i="13"/>
  <c r="Q76" i="13"/>
  <c r="S75" i="13"/>
  <c r="Q75" i="13"/>
  <c r="H74" i="13"/>
  <c r="T74" i="13" s="1"/>
  <c r="G74" i="13"/>
  <c r="F74" i="13"/>
  <c r="E74" i="13"/>
  <c r="S73" i="13"/>
  <c r="Q73" i="13"/>
  <c r="P68" i="13"/>
  <c r="O68" i="13"/>
  <c r="N68" i="13"/>
  <c r="M68" i="13"/>
  <c r="L68" i="13"/>
  <c r="K68" i="13"/>
  <c r="J68" i="13"/>
  <c r="I68" i="13"/>
  <c r="T68" i="13" s="1"/>
  <c r="H68" i="13"/>
  <c r="G68" i="13"/>
  <c r="G83" i="13" s="1"/>
  <c r="F68" i="13"/>
  <c r="E68" i="13"/>
  <c r="S67" i="13"/>
  <c r="Q67" i="13"/>
  <c r="S66" i="13"/>
  <c r="Q66" i="13"/>
  <c r="S65" i="13"/>
  <c r="Q65" i="13"/>
  <c r="S64" i="13"/>
  <c r="Q64" i="13"/>
  <c r="S62" i="13"/>
  <c r="Q62" i="13"/>
  <c r="P60" i="13"/>
  <c r="P49" i="13"/>
  <c r="O49" i="13"/>
  <c r="N49" i="13"/>
  <c r="M49" i="13"/>
  <c r="S48" i="13"/>
  <c r="Q48" i="13"/>
  <c r="S47" i="13"/>
  <c r="Q47" i="13"/>
  <c r="I46" i="13"/>
  <c r="T46" i="13" s="1"/>
  <c r="H46" i="13"/>
  <c r="G46" i="13"/>
  <c r="F46" i="13"/>
  <c r="E46" i="13"/>
  <c r="S45" i="13"/>
  <c r="Q45" i="13"/>
  <c r="P39" i="13"/>
  <c r="O39" i="13"/>
  <c r="N39" i="13"/>
  <c r="M39" i="13"/>
  <c r="L39" i="13"/>
  <c r="K39" i="13"/>
  <c r="J39" i="13"/>
  <c r="I39" i="13"/>
  <c r="H39" i="13"/>
  <c r="G39" i="13"/>
  <c r="F39" i="13"/>
  <c r="S38" i="13"/>
  <c r="Q38" i="13"/>
  <c r="S37" i="13"/>
  <c r="Q37" i="13"/>
  <c r="S36" i="13"/>
  <c r="Q36" i="13"/>
  <c r="S35" i="13"/>
  <c r="Q35" i="13"/>
  <c r="S34" i="13"/>
  <c r="L49" i="13"/>
  <c r="K49" i="13"/>
  <c r="J49" i="13"/>
  <c r="H49" i="13"/>
  <c r="G49" i="13"/>
  <c r="P23" i="13"/>
  <c r="O23" i="13"/>
  <c r="N23" i="13"/>
  <c r="M23" i="13"/>
  <c r="L23" i="13"/>
  <c r="K23" i="13"/>
  <c r="S22" i="13"/>
  <c r="Q22" i="13"/>
  <c r="F20" i="13"/>
  <c r="S19" i="13"/>
  <c r="P13" i="13"/>
  <c r="O13" i="13"/>
  <c r="N13" i="13"/>
  <c r="M13" i="13"/>
  <c r="L13" i="13"/>
  <c r="K13" i="13"/>
  <c r="J13" i="13"/>
  <c r="I13" i="13"/>
  <c r="T13" i="13" s="1"/>
  <c r="F13" i="13"/>
  <c r="J23" i="13"/>
  <c r="G23" i="13"/>
  <c r="F23" i="13"/>
  <c r="E29" i="13"/>
  <c r="N59" i="12"/>
  <c r="N82" i="12" s="1"/>
  <c r="T39" i="13" l="1"/>
  <c r="I92" i="13"/>
  <c r="T90" i="13"/>
  <c r="T97" i="13"/>
  <c r="I94" i="13"/>
  <c r="K98" i="13"/>
  <c r="H92" i="13"/>
  <c r="L117" i="13"/>
  <c r="L121" i="13"/>
  <c r="L119" i="13"/>
  <c r="L120" i="13"/>
  <c r="L98" i="13"/>
  <c r="L123" i="13"/>
  <c r="L118" i="13"/>
  <c r="P117" i="13"/>
  <c r="P121" i="13"/>
  <c r="P120" i="13"/>
  <c r="P98" i="13"/>
  <c r="P119" i="13"/>
  <c r="P123" i="13"/>
  <c r="P118" i="13"/>
  <c r="Q13" i="13"/>
  <c r="S13" i="13"/>
  <c r="M123" i="13"/>
  <c r="M118" i="13"/>
  <c r="M120" i="13"/>
  <c r="M117" i="13"/>
  <c r="M121" i="13"/>
  <c r="M98" i="13"/>
  <c r="M119" i="13"/>
  <c r="I17" i="13"/>
  <c r="I14" i="13"/>
  <c r="T14" i="13" s="1"/>
  <c r="I123" i="13"/>
  <c r="N98" i="13"/>
  <c r="N119" i="13"/>
  <c r="N121" i="13"/>
  <c r="N123" i="13"/>
  <c r="N118" i="13"/>
  <c r="N117" i="13"/>
  <c r="N120" i="13"/>
  <c r="H17" i="13"/>
  <c r="H94" i="13"/>
  <c r="G17" i="13"/>
  <c r="G16" i="13" s="1"/>
  <c r="G98" i="13"/>
  <c r="J98" i="13"/>
  <c r="J119" i="13"/>
  <c r="J117" i="13"/>
  <c r="J120" i="13"/>
  <c r="J123" i="13"/>
  <c r="J118" i="13"/>
  <c r="J121" i="13"/>
  <c r="O120" i="13"/>
  <c r="O118" i="13"/>
  <c r="O98" i="13"/>
  <c r="O119" i="13"/>
  <c r="O123" i="13"/>
  <c r="O117" i="13"/>
  <c r="O121" i="13"/>
  <c r="J43" i="13"/>
  <c r="J42" i="13" s="1"/>
  <c r="J56" i="13"/>
  <c r="L43" i="13"/>
  <c r="L42" i="13" s="1"/>
  <c r="L56" i="13"/>
  <c r="N43" i="13"/>
  <c r="N42" i="13" s="1"/>
  <c r="N56" i="13"/>
  <c r="P43" i="13"/>
  <c r="P42" i="13" s="1"/>
  <c r="P56" i="13"/>
  <c r="P82" i="13"/>
  <c r="P78" i="13"/>
  <c r="J83" i="13"/>
  <c r="J79" i="13"/>
  <c r="L79" i="13"/>
  <c r="L83" i="13"/>
  <c r="N79" i="13"/>
  <c r="N83" i="13"/>
  <c r="P79" i="13"/>
  <c r="P83" i="13"/>
  <c r="K96" i="13"/>
  <c r="M96" i="13"/>
  <c r="O96" i="13"/>
  <c r="I56" i="13"/>
  <c r="T56" i="13" s="1"/>
  <c r="I43" i="13"/>
  <c r="K56" i="13"/>
  <c r="K43" i="13"/>
  <c r="K42" i="13" s="1"/>
  <c r="M56" i="13"/>
  <c r="M43" i="13"/>
  <c r="M42" i="13" s="1"/>
  <c r="O56" i="13"/>
  <c r="O43" i="13"/>
  <c r="O42" i="13" s="1"/>
  <c r="K83" i="13"/>
  <c r="K79" i="13"/>
  <c r="M83" i="13"/>
  <c r="M79" i="13"/>
  <c r="O83" i="13"/>
  <c r="O79" i="13"/>
  <c r="L96" i="13"/>
  <c r="N96" i="13"/>
  <c r="J17" i="13"/>
  <c r="J16" i="13" s="1"/>
  <c r="J30" i="13"/>
  <c r="L17" i="13"/>
  <c r="L16" i="13" s="1"/>
  <c r="L30" i="13"/>
  <c r="N17" i="13"/>
  <c r="N16" i="13" s="1"/>
  <c r="N30" i="13"/>
  <c r="P17" i="13"/>
  <c r="P16" i="13" s="1"/>
  <c r="P30" i="13"/>
  <c r="I30" i="13"/>
  <c r="T30" i="13" s="1"/>
  <c r="K30" i="13"/>
  <c r="K17" i="13"/>
  <c r="K16" i="13" s="1"/>
  <c r="M30" i="13"/>
  <c r="M17" i="13"/>
  <c r="M16" i="13" s="1"/>
  <c r="O30" i="13"/>
  <c r="O17" i="13"/>
  <c r="O16" i="13" s="1"/>
  <c r="S46" i="13"/>
  <c r="H43" i="13"/>
  <c r="M40" i="13"/>
  <c r="E83" i="13"/>
  <c r="E79" i="13"/>
  <c r="E43" i="13"/>
  <c r="E42" i="13" s="1"/>
  <c r="E17" i="13"/>
  <c r="F43" i="13"/>
  <c r="F42" i="13" s="1"/>
  <c r="N40" i="13"/>
  <c r="F17" i="13"/>
  <c r="F16" i="13" s="1"/>
  <c r="G56" i="13"/>
  <c r="G43" i="13"/>
  <c r="G42" i="13" s="1"/>
  <c r="Q111" i="13"/>
  <c r="E7" i="13" s="1"/>
  <c r="P40" i="13"/>
  <c r="H96" i="13"/>
  <c r="H56" i="13"/>
  <c r="F14" i="13"/>
  <c r="I96" i="13"/>
  <c r="T96" i="13" s="1"/>
  <c r="F83" i="13"/>
  <c r="F92" i="13"/>
  <c r="F96" i="13"/>
  <c r="F94" i="13"/>
  <c r="F56" i="13"/>
  <c r="S74" i="13"/>
  <c r="E94" i="13"/>
  <c r="G96" i="13"/>
  <c r="E92" i="13"/>
  <c r="N77" i="12"/>
  <c r="S97" i="13"/>
  <c r="L14" i="13"/>
  <c r="P14" i="13"/>
  <c r="F29" i="13"/>
  <c r="F30" i="13"/>
  <c r="E55" i="13"/>
  <c r="Q32" i="13"/>
  <c r="H40" i="13"/>
  <c r="L40" i="13"/>
  <c r="G50" i="13"/>
  <c r="H70" i="13"/>
  <c r="L70" i="13"/>
  <c r="P70" i="13"/>
  <c r="P69" i="13" s="1"/>
  <c r="P72" i="13" s="1"/>
  <c r="M14" i="13"/>
  <c r="I23" i="13"/>
  <c r="T23" i="13" s="1"/>
  <c r="F24" i="13"/>
  <c r="S32" i="13"/>
  <c r="I40" i="13"/>
  <c r="H50" i="13"/>
  <c r="I70" i="13"/>
  <c r="T70" i="13" s="1"/>
  <c r="M70" i="13"/>
  <c r="J14" i="13"/>
  <c r="N14" i="13"/>
  <c r="G55" i="13"/>
  <c r="K60" i="13"/>
  <c r="Q39" i="13"/>
  <c r="F40" i="13"/>
  <c r="J40" i="13"/>
  <c r="I50" i="13"/>
  <c r="S111" i="13"/>
  <c r="K14" i="13"/>
  <c r="O14" i="13"/>
  <c r="H55" i="13"/>
  <c r="T55" i="13" s="1"/>
  <c r="S39" i="13"/>
  <c r="G40" i="13"/>
  <c r="K40" i="13"/>
  <c r="O40" i="13"/>
  <c r="I49" i="13"/>
  <c r="T49" i="13" s="1"/>
  <c r="S68" i="13"/>
  <c r="F70" i="13"/>
  <c r="J70" i="13"/>
  <c r="N70" i="13"/>
  <c r="P77" i="13"/>
  <c r="H79" i="13"/>
  <c r="H83" i="13"/>
  <c r="Q90" i="13"/>
  <c r="G70" i="13"/>
  <c r="K70" i="13"/>
  <c r="O70" i="13"/>
  <c r="I79" i="13"/>
  <c r="I83" i="13"/>
  <c r="Q95" i="13"/>
  <c r="L114" i="13"/>
  <c r="S114" i="13" s="1"/>
  <c r="F79" i="13"/>
  <c r="S95" i="13"/>
  <c r="Q97" i="13"/>
  <c r="P96" i="13" s="1"/>
  <c r="Q110" i="13"/>
  <c r="Q112" i="13"/>
  <c r="Q68" i="13"/>
  <c r="G79" i="13"/>
  <c r="S110" i="13"/>
  <c r="N78" i="12"/>
  <c r="G114" i="12"/>
  <c r="O33" i="12"/>
  <c r="K54" i="12"/>
  <c r="L54" i="12"/>
  <c r="M54" i="12"/>
  <c r="N54" i="12"/>
  <c r="M68" i="12"/>
  <c r="M83" i="12" s="1"/>
  <c r="D68" i="12"/>
  <c r="D83" i="12" s="1"/>
  <c r="E68" i="12"/>
  <c r="E83" i="12" s="1"/>
  <c r="F68" i="12"/>
  <c r="F83" i="12" s="1"/>
  <c r="G68" i="12"/>
  <c r="G83" i="12" s="1"/>
  <c r="H68" i="12"/>
  <c r="H83" i="12" s="1"/>
  <c r="I68" i="12"/>
  <c r="I83" i="12" s="1"/>
  <c r="J68" i="12"/>
  <c r="J83" i="12" s="1"/>
  <c r="K68" i="12"/>
  <c r="K83" i="12" s="1"/>
  <c r="L68" i="12"/>
  <c r="L83" i="12" s="1"/>
  <c r="N68" i="12"/>
  <c r="C68" i="12"/>
  <c r="D39" i="12"/>
  <c r="E39" i="12"/>
  <c r="F39" i="12"/>
  <c r="G39" i="12"/>
  <c r="H39" i="12"/>
  <c r="I39" i="12"/>
  <c r="J39" i="12"/>
  <c r="K39" i="12"/>
  <c r="L39" i="12"/>
  <c r="M39" i="12"/>
  <c r="N39" i="12"/>
  <c r="N40" i="12" s="1"/>
  <c r="I28" i="12"/>
  <c r="J28" i="12"/>
  <c r="K28" i="12"/>
  <c r="L28" i="12"/>
  <c r="M28" i="12"/>
  <c r="N28" i="12"/>
  <c r="D13" i="12"/>
  <c r="E13" i="12"/>
  <c r="F13" i="12"/>
  <c r="G13" i="12"/>
  <c r="H13" i="12"/>
  <c r="I13" i="12"/>
  <c r="J13" i="12"/>
  <c r="K13" i="12"/>
  <c r="L13" i="12"/>
  <c r="M13" i="12"/>
  <c r="N13" i="12"/>
  <c r="N29" i="12" s="1"/>
  <c r="T83" i="13" l="1"/>
  <c r="T92" i="13"/>
  <c r="T94" i="13"/>
  <c r="T40" i="13"/>
  <c r="I16" i="13"/>
  <c r="T17" i="13"/>
  <c r="T50" i="13"/>
  <c r="I42" i="13"/>
  <c r="T43" i="13"/>
  <c r="I98" i="13"/>
  <c r="T79" i="13"/>
  <c r="P80" i="13"/>
  <c r="Q14" i="13"/>
  <c r="H16" i="13"/>
  <c r="H98" i="13"/>
  <c r="H117" i="13"/>
  <c r="H121" i="13"/>
  <c r="H120" i="13"/>
  <c r="H119" i="13"/>
  <c r="H118" i="13"/>
  <c r="E60" i="13"/>
  <c r="E69" i="13" s="1"/>
  <c r="E120" i="13"/>
  <c r="E119" i="13"/>
  <c r="E117" i="13"/>
  <c r="E98" i="13"/>
  <c r="E121" i="13"/>
  <c r="E118" i="13"/>
  <c r="F98" i="13"/>
  <c r="F121" i="13"/>
  <c r="F120" i="13"/>
  <c r="F118" i="13"/>
  <c r="F117" i="13"/>
  <c r="F119" i="13"/>
  <c r="E16" i="13"/>
  <c r="S17" i="13"/>
  <c r="Q17" i="13"/>
  <c r="K78" i="13"/>
  <c r="K80" i="13" s="1"/>
  <c r="K82" i="13"/>
  <c r="O18" i="13"/>
  <c r="O44" i="13"/>
  <c r="M18" i="13"/>
  <c r="M44" i="13"/>
  <c r="K18" i="13"/>
  <c r="K44" i="13"/>
  <c r="P18" i="13"/>
  <c r="P44" i="13"/>
  <c r="N18" i="13"/>
  <c r="N44" i="13"/>
  <c r="L18" i="13"/>
  <c r="L44" i="13"/>
  <c r="J18" i="13"/>
  <c r="J44" i="13"/>
  <c r="H42" i="13"/>
  <c r="S24" i="13"/>
  <c r="S50" i="13"/>
  <c r="S92" i="13"/>
  <c r="Q56" i="13"/>
  <c r="S56" i="13" s="1"/>
  <c r="F60" i="13"/>
  <c r="Q40" i="13"/>
  <c r="Q55" i="13"/>
  <c r="Q114" i="13"/>
  <c r="F33" i="13" s="1"/>
  <c r="S96" i="13"/>
  <c r="S79" i="13"/>
  <c r="Q79" i="13"/>
  <c r="Q49" i="13"/>
  <c r="S49" i="13"/>
  <c r="S40" i="13"/>
  <c r="Q50" i="13"/>
  <c r="S23" i="13"/>
  <c r="Q23" i="13"/>
  <c r="Q24" i="13"/>
  <c r="M7" i="13"/>
  <c r="I7" i="13"/>
  <c r="P7" i="13"/>
  <c r="L7" i="13"/>
  <c r="H7" i="13"/>
  <c r="O7" i="13"/>
  <c r="K7" i="13"/>
  <c r="G7" i="13"/>
  <c r="N7" i="13"/>
  <c r="J7" i="13"/>
  <c r="F7" i="13"/>
  <c r="K77" i="13"/>
  <c r="K61" i="13"/>
  <c r="K69" i="13"/>
  <c r="K72" i="13" s="1"/>
  <c r="S70" i="13"/>
  <c r="Q70" i="13"/>
  <c r="N43" i="12"/>
  <c r="N83" i="12"/>
  <c r="N71" i="12"/>
  <c r="N17" i="12"/>
  <c r="N16" i="12" s="1"/>
  <c r="T98" i="13" l="1"/>
  <c r="I44" i="13"/>
  <c r="T16" i="13"/>
  <c r="I18" i="13"/>
  <c r="T42" i="13"/>
  <c r="T7" i="13"/>
  <c r="H122" i="13"/>
  <c r="H123" i="13" s="1"/>
  <c r="Q16" i="13"/>
  <c r="S16" i="13"/>
  <c r="E122" i="13"/>
  <c r="S117" i="13"/>
  <c r="S118" i="13"/>
  <c r="S119" i="13"/>
  <c r="F25" i="13"/>
  <c r="F26" i="13" s="1"/>
  <c r="F122" i="13"/>
  <c r="F123" i="13" s="1"/>
  <c r="S121" i="13"/>
  <c r="S7" i="13"/>
  <c r="Q7" i="13"/>
  <c r="P103" i="13"/>
  <c r="P104" i="13"/>
  <c r="F27" i="13"/>
  <c r="Q42" i="13"/>
  <c r="F53" i="13"/>
  <c r="F51" i="13"/>
  <c r="F52" i="13" s="1"/>
  <c r="F15" i="13"/>
  <c r="F18" i="13" s="1"/>
  <c r="F41" i="13"/>
  <c r="F44" i="13" s="1"/>
  <c r="E104" i="13"/>
  <c r="E103" i="13"/>
  <c r="F78" i="13"/>
  <c r="N33" i="13"/>
  <c r="H33" i="13"/>
  <c r="E33" i="13"/>
  <c r="O33" i="13"/>
  <c r="M33" i="13"/>
  <c r="I33" i="13"/>
  <c r="T33" i="13" s="1"/>
  <c r="G33" i="13"/>
  <c r="G25" i="13" s="1"/>
  <c r="G26" i="13" s="1"/>
  <c r="L33" i="13"/>
  <c r="K33" i="13"/>
  <c r="P33" i="13"/>
  <c r="J33" i="13"/>
  <c r="E58" i="13"/>
  <c r="E59" i="13" s="1"/>
  <c r="N58" i="13"/>
  <c r="N59" i="13" s="1"/>
  <c r="J58" i="13"/>
  <c r="J59" i="13" s="1"/>
  <c r="F58" i="13"/>
  <c r="M58" i="13"/>
  <c r="M59" i="13" s="1"/>
  <c r="I58" i="13"/>
  <c r="P58" i="13"/>
  <c r="P59" i="13" s="1"/>
  <c r="L58" i="13"/>
  <c r="L59" i="13" s="1"/>
  <c r="H58" i="13"/>
  <c r="O58" i="13"/>
  <c r="O59" i="13" s="1"/>
  <c r="K58" i="13"/>
  <c r="K59" i="13" s="1"/>
  <c r="G58" i="13"/>
  <c r="G59" i="13" s="1"/>
  <c r="S42" i="13"/>
  <c r="I59" i="13" l="1"/>
  <c r="T58" i="13"/>
  <c r="S122" i="13"/>
  <c r="H41" i="13"/>
  <c r="E123" i="13"/>
  <c r="H59" i="13"/>
  <c r="P27" i="13"/>
  <c r="P51" i="13"/>
  <c r="P52" i="13" s="1"/>
  <c r="P53" i="13"/>
  <c r="L25" i="13"/>
  <c r="L26" i="13" s="1"/>
  <c r="L51" i="13"/>
  <c r="L52" i="13" s="1"/>
  <c r="L53" i="13"/>
  <c r="I25" i="13"/>
  <c r="I53" i="13"/>
  <c r="O25" i="13"/>
  <c r="O26" i="13" s="1"/>
  <c r="O51" i="13"/>
  <c r="O52" i="13" s="1"/>
  <c r="O53" i="13"/>
  <c r="K104" i="13"/>
  <c r="K103" i="13"/>
  <c r="J51" i="13"/>
  <c r="J52" i="13" s="1"/>
  <c r="J53" i="13"/>
  <c r="K25" i="13"/>
  <c r="K26" i="13" s="1"/>
  <c r="K51" i="13"/>
  <c r="K52" i="13" s="1"/>
  <c r="K53" i="13"/>
  <c r="M27" i="13"/>
  <c r="M51" i="13"/>
  <c r="M52" i="13" s="1"/>
  <c r="M53" i="13"/>
  <c r="N25" i="13"/>
  <c r="N26" i="13" s="1"/>
  <c r="N51" i="13"/>
  <c r="N52" i="13" s="1"/>
  <c r="N53" i="13"/>
  <c r="J25" i="13"/>
  <c r="J26" i="13" s="1"/>
  <c r="M25" i="13"/>
  <c r="M26" i="13" s="1"/>
  <c r="P25" i="13"/>
  <c r="P26" i="13" s="1"/>
  <c r="H25" i="13"/>
  <c r="K27" i="13"/>
  <c r="N27" i="13"/>
  <c r="I27" i="13"/>
  <c r="L27" i="13"/>
  <c r="O27" i="13"/>
  <c r="G27" i="13"/>
  <c r="J27" i="13"/>
  <c r="H27" i="13"/>
  <c r="H15" i="13"/>
  <c r="T15" i="13" s="1"/>
  <c r="G51" i="13"/>
  <c r="G52" i="13" s="1"/>
  <c r="G53" i="13"/>
  <c r="G15" i="13"/>
  <c r="G18" i="13" s="1"/>
  <c r="S33" i="13"/>
  <c r="E51" i="13"/>
  <c r="E53" i="13"/>
  <c r="E41" i="13"/>
  <c r="E44" i="13" s="1"/>
  <c r="E27" i="13"/>
  <c r="E25" i="13"/>
  <c r="E15" i="13"/>
  <c r="I51" i="13"/>
  <c r="H51" i="13"/>
  <c r="H53" i="13"/>
  <c r="G41" i="13"/>
  <c r="G44" i="13" s="1"/>
  <c r="F59" i="13"/>
  <c r="F80" i="13"/>
  <c r="S83" i="13"/>
  <c r="Q83" i="13"/>
  <c r="T53" i="13" l="1"/>
  <c r="I52" i="13"/>
  <c r="T51" i="13"/>
  <c r="H44" i="13"/>
  <c r="T44" i="13" s="1"/>
  <c r="T41" i="13"/>
  <c r="T27" i="13"/>
  <c r="I26" i="13"/>
  <c r="T25" i="13"/>
  <c r="T59" i="13"/>
  <c r="Q15" i="13"/>
  <c r="S15" i="13"/>
  <c r="H18" i="13"/>
  <c r="T18" i="13" s="1"/>
  <c r="H26" i="13"/>
  <c r="S53" i="13"/>
  <c r="H52" i="13"/>
  <c r="E18" i="13"/>
  <c r="Q44" i="13"/>
  <c r="E26" i="13"/>
  <c r="S25" i="13"/>
  <c r="E52" i="13"/>
  <c r="S51" i="13"/>
  <c r="S52" i="13" s="1"/>
  <c r="Q51" i="13"/>
  <c r="Q25" i="13"/>
  <c r="T26" i="13" l="1"/>
  <c r="T52" i="13"/>
  <c r="Q18" i="13"/>
  <c r="S18" i="13"/>
  <c r="C33" i="14" l="1"/>
  <c r="C25" i="14"/>
  <c r="C28" i="14"/>
  <c r="C27" i="14"/>
  <c r="G3" i="7" l="1"/>
  <c r="F10" i="14"/>
  <c r="F6" i="14"/>
  <c r="F13" i="14"/>
  <c r="J13" i="14" s="1"/>
  <c r="F9" i="14"/>
  <c r="F8" i="14"/>
  <c r="F3" i="14"/>
  <c r="F11" i="14"/>
  <c r="F7" i="14"/>
  <c r="F4" i="14"/>
  <c r="I5" i="7" l="1"/>
  <c r="H23" i="7" s="1"/>
  <c r="G21" i="7"/>
  <c r="G33" i="7" s="1"/>
  <c r="O3" i="7"/>
  <c r="P20" i="7" s="1"/>
  <c r="J3" i="7"/>
  <c r="P6" i="14"/>
  <c r="H6" i="14"/>
  <c r="Q6" i="14" s="1"/>
  <c r="J6" i="14"/>
  <c r="P4" i="14"/>
  <c r="J4" i="14"/>
  <c r="H4" i="14"/>
  <c r="Q4" i="14" s="1"/>
  <c r="P8" i="14"/>
  <c r="J8" i="14"/>
  <c r="H8" i="14"/>
  <c r="Q8" i="14" s="1"/>
  <c r="P13" i="14"/>
  <c r="H13" i="14"/>
  <c r="Q13" i="14" s="1"/>
  <c r="H11" i="14"/>
  <c r="Q11" i="14" s="1"/>
  <c r="J11" i="14"/>
  <c r="P11" i="14"/>
  <c r="P10" i="14"/>
  <c r="H10" i="14"/>
  <c r="Q10" i="14" s="1"/>
  <c r="J10" i="14"/>
  <c r="H7" i="14"/>
  <c r="Q7" i="14" s="1"/>
  <c r="J7" i="14"/>
  <c r="P7" i="14"/>
  <c r="I3" i="7"/>
  <c r="H3" i="14"/>
  <c r="J3" i="14"/>
  <c r="P3" i="14"/>
  <c r="H9" i="14"/>
  <c r="Q9" i="14" s="1"/>
  <c r="J9" i="14"/>
  <c r="P9" i="14"/>
  <c r="H21" i="7" l="1"/>
  <c r="Q3" i="14"/>
  <c r="I14" i="12" l="1"/>
  <c r="J14" i="12"/>
  <c r="K14" i="12"/>
  <c r="L14" i="12"/>
  <c r="M14" i="12"/>
  <c r="N14" i="12"/>
  <c r="N18" i="12" s="1"/>
  <c r="C13" i="12"/>
  <c r="O13" i="12" s="1"/>
  <c r="N110" i="12"/>
  <c r="N113" i="12"/>
  <c r="P108" i="12"/>
  <c r="N112" i="12"/>
  <c r="M113" i="12"/>
  <c r="M112" i="12"/>
  <c r="M110" i="12"/>
  <c r="N114" i="12" l="1"/>
  <c r="N111" i="12"/>
  <c r="M114" i="12"/>
  <c r="M111" i="12"/>
  <c r="N49" i="12" l="1"/>
  <c r="N50" i="12"/>
  <c r="M24" i="12"/>
  <c r="N24" i="12"/>
  <c r="C29" i="12" l="1"/>
  <c r="N55" i="12"/>
  <c r="M29" i="12"/>
  <c r="I94" i="12" l="1"/>
  <c r="M71" i="12" l="1"/>
  <c r="L74" i="12" l="1"/>
  <c r="M74" i="12"/>
  <c r="M43" i="12"/>
  <c r="D55" i="12"/>
  <c r="E55" i="12"/>
  <c r="F55" i="12"/>
  <c r="G55" i="12"/>
  <c r="H55" i="12"/>
  <c r="I55" i="12"/>
  <c r="J55" i="12"/>
  <c r="K55" i="12"/>
  <c r="L55" i="12"/>
  <c r="M55" i="12"/>
  <c r="M50" i="12"/>
  <c r="L46" i="12" l="1"/>
  <c r="M46" i="12"/>
  <c r="L20" i="12"/>
  <c r="M20" i="12"/>
  <c r="M17" i="12" l="1"/>
  <c r="M16" i="12" s="1"/>
  <c r="P15" i="7" l="1"/>
  <c r="N15" i="7"/>
  <c r="G11" i="7" l="1"/>
  <c r="G13" i="7"/>
  <c r="G9" i="7"/>
  <c r="G8" i="7"/>
  <c r="G12" i="7"/>
  <c r="G10" i="7"/>
  <c r="G14" i="7"/>
  <c r="J8" i="7" l="1"/>
  <c r="G15" i="7"/>
  <c r="G16" i="7" s="1"/>
  <c r="U22" i="7"/>
  <c r="I13" i="7"/>
  <c r="U23" i="7" l="1"/>
  <c r="V21" i="7" l="1"/>
  <c r="V20" i="7"/>
  <c r="V22" i="7"/>
  <c r="F14" i="14" l="1"/>
  <c r="J14" i="14" s="1"/>
  <c r="H14" i="14" l="1"/>
  <c r="Q14" i="14" s="1"/>
  <c r="P14" i="14"/>
  <c r="L113" i="12" l="1"/>
  <c r="L112" i="12"/>
  <c r="L110" i="12"/>
  <c r="L111" i="12" l="1"/>
  <c r="L114" i="12"/>
  <c r="L50" i="12" l="1"/>
  <c r="L24" i="12" l="1"/>
  <c r="L17" i="12" l="1"/>
  <c r="L16" i="12" s="1"/>
  <c r="L29" i="12"/>
  <c r="L71" i="12"/>
  <c r="L43" i="12"/>
  <c r="P7" i="12"/>
  <c r="K29" i="12" l="1"/>
  <c r="P33" i="12" l="1"/>
  <c r="C109" i="12"/>
  <c r="D109" i="12" s="1"/>
  <c r="E109" i="12" s="1"/>
  <c r="F109" i="12" s="1"/>
  <c r="G109" i="12" s="1"/>
  <c r="H109" i="12" s="1"/>
  <c r="I109" i="12" s="1"/>
  <c r="J109" i="12" s="1"/>
  <c r="K109" i="12" s="1"/>
  <c r="L109" i="12" s="1"/>
  <c r="M109" i="12" s="1"/>
  <c r="N109" i="12" s="1"/>
  <c r="K113" i="12"/>
  <c r="C95" i="12" l="1"/>
  <c r="Q7" i="12"/>
  <c r="Q5" i="12"/>
  <c r="D95" i="12"/>
  <c r="E95" i="12"/>
  <c r="F95" i="12"/>
  <c r="G95" i="12"/>
  <c r="H95" i="12"/>
  <c r="I95" i="12"/>
  <c r="I96" i="12" s="1"/>
  <c r="J95" i="12"/>
  <c r="K95" i="12"/>
  <c r="L95" i="12"/>
  <c r="M95" i="12"/>
  <c r="N95" i="12"/>
  <c r="K97" i="12"/>
  <c r="M60" i="13" s="1"/>
  <c r="D74" i="12"/>
  <c r="E74" i="12"/>
  <c r="F74" i="12"/>
  <c r="G74" i="12"/>
  <c r="H74" i="12"/>
  <c r="I74" i="12"/>
  <c r="J74" i="12"/>
  <c r="K74" i="12"/>
  <c r="C74" i="12"/>
  <c r="D46" i="12"/>
  <c r="E46" i="12"/>
  <c r="F46" i="12"/>
  <c r="G46" i="12"/>
  <c r="H46" i="12"/>
  <c r="I46" i="12"/>
  <c r="J46" i="12"/>
  <c r="K46" i="12"/>
  <c r="C46" i="12"/>
  <c r="D20" i="12"/>
  <c r="E20" i="12"/>
  <c r="F20" i="12"/>
  <c r="G20" i="12"/>
  <c r="H20" i="12"/>
  <c r="I20" i="12"/>
  <c r="J20" i="12"/>
  <c r="K20" i="12"/>
  <c r="C20" i="12"/>
  <c r="M78" i="13" l="1"/>
  <c r="M80" i="13" s="1"/>
  <c r="M82" i="13"/>
  <c r="O95" i="12"/>
  <c r="M77" i="13"/>
  <c r="M69" i="13"/>
  <c r="K96" i="12"/>
  <c r="K94" i="12"/>
  <c r="K59" i="12" s="1"/>
  <c r="P20" i="12"/>
  <c r="P46" i="12"/>
  <c r="P95" i="12"/>
  <c r="P74" i="12"/>
  <c r="M72" i="13" l="1"/>
  <c r="K78" i="12"/>
  <c r="K82" i="12"/>
  <c r="M104" i="13" l="1"/>
  <c r="M103" i="13"/>
  <c r="K110" i="12"/>
  <c r="K114" i="12" s="1"/>
  <c r="K111" i="12" l="1"/>
  <c r="K40" i="12"/>
  <c r="J97" i="12" l="1"/>
  <c r="L60" i="13" l="1"/>
  <c r="J96" i="12"/>
  <c r="J94" i="12"/>
  <c r="K49" i="12"/>
  <c r="K50" i="12"/>
  <c r="P21" i="12"/>
  <c r="L82" i="13" l="1"/>
  <c r="L78" i="13"/>
  <c r="L80" i="13" s="1"/>
  <c r="L69" i="13"/>
  <c r="L61" i="13"/>
  <c r="L77" i="13"/>
  <c r="K24" i="12"/>
  <c r="L72" i="13" l="1"/>
  <c r="L103" i="13" l="1"/>
  <c r="L104" i="13"/>
  <c r="K71" i="12" l="1"/>
  <c r="K43" i="12"/>
  <c r="K17" i="12"/>
  <c r="K16" i="12" s="1"/>
  <c r="C31" i="14" l="1"/>
  <c r="C32" i="14" l="1"/>
  <c r="J112" i="12" l="1"/>
  <c r="P112" i="12" s="1"/>
  <c r="J113" i="12"/>
  <c r="J110" i="12"/>
  <c r="J114" i="12" l="1"/>
  <c r="J111" i="12"/>
  <c r="F12" i="14" l="1"/>
  <c r="P12" i="14" s="1"/>
  <c r="H12" i="14" l="1"/>
  <c r="Q12" i="14" s="1"/>
  <c r="J12" i="14"/>
  <c r="Q86" i="12" l="1"/>
  <c r="Q87" i="12"/>
  <c r="Q88" i="12"/>
  <c r="Q89" i="12"/>
  <c r="Q85" i="12"/>
  <c r="Q61" i="12"/>
  <c r="Q62" i="12"/>
  <c r="Q63" i="12"/>
  <c r="Q64" i="12"/>
  <c r="Q65" i="12"/>
  <c r="Q66" i="12"/>
  <c r="Q67" i="12"/>
  <c r="Q33" i="12"/>
  <c r="Q34" i="12"/>
  <c r="Q35" i="12"/>
  <c r="Q36" i="12"/>
  <c r="Q37" i="12"/>
  <c r="Q38" i="12"/>
  <c r="Q45" i="12"/>
  <c r="Q47" i="12"/>
  <c r="Q9" i="12"/>
  <c r="Q10" i="12"/>
  <c r="Q11" i="12"/>
  <c r="Q12" i="12"/>
  <c r="Q8" i="12"/>
  <c r="W15" i="7" l="1"/>
  <c r="R15" i="7" l="1"/>
  <c r="X15" i="7"/>
  <c r="J31" i="12" l="1"/>
  <c r="I31" i="12"/>
  <c r="I54" i="12" l="1"/>
  <c r="I59" i="12"/>
  <c r="J54" i="12"/>
  <c r="J59" i="12"/>
  <c r="J50" i="12"/>
  <c r="Q31" i="12"/>
  <c r="J78" i="12" l="1"/>
  <c r="J82" i="12"/>
  <c r="I78" i="12"/>
  <c r="I82" i="12"/>
  <c r="Q76" i="12"/>
  <c r="Q75" i="12"/>
  <c r="Q48" i="12"/>
  <c r="Q22" i="12"/>
  <c r="J24" i="12" l="1"/>
  <c r="Q68" i="12" l="1"/>
  <c r="Q39" i="12" l="1"/>
  <c r="J29" i="12"/>
  <c r="Q13" i="12" l="1"/>
  <c r="J17" i="12"/>
  <c r="J16" i="12" s="1"/>
  <c r="J43" i="12"/>
  <c r="Q43" i="12" s="1"/>
  <c r="J71" i="12"/>
  <c r="I29" i="12" l="1"/>
  <c r="I113" i="12"/>
  <c r="O113" i="12" s="1"/>
  <c r="I110" i="12"/>
  <c r="P110" i="12" s="1"/>
  <c r="D97" i="12"/>
  <c r="E97" i="12"/>
  <c r="G60" i="13" s="1"/>
  <c r="G61" i="13" s="1"/>
  <c r="F97" i="12"/>
  <c r="H60" i="13" s="1"/>
  <c r="G97" i="12"/>
  <c r="I60" i="13" s="1"/>
  <c r="T60" i="13" s="1"/>
  <c r="H97" i="12"/>
  <c r="J60" i="13" s="1"/>
  <c r="L97" i="12"/>
  <c r="N60" i="13" s="1"/>
  <c r="M97" i="12"/>
  <c r="O60" i="13" s="1"/>
  <c r="C97" i="12"/>
  <c r="C31" i="12"/>
  <c r="C40" i="12" s="1"/>
  <c r="H31" i="12"/>
  <c r="G31" i="12"/>
  <c r="F31" i="12"/>
  <c r="E31" i="12"/>
  <c r="D31" i="12"/>
  <c r="H5" i="12"/>
  <c r="H28" i="12" s="1"/>
  <c r="G5" i="12"/>
  <c r="G28" i="12" s="1"/>
  <c r="F5" i="12"/>
  <c r="F23" i="12" s="1"/>
  <c r="E5" i="12"/>
  <c r="E28" i="12" s="1"/>
  <c r="D5" i="12"/>
  <c r="D28" i="12" s="1"/>
  <c r="I24" i="12"/>
  <c r="Q24" i="12" s="1"/>
  <c r="H114" i="12"/>
  <c r="F114" i="12"/>
  <c r="E114" i="12"/>
  <c r="D114" i="12"/>
  <c r="C114" i="12"/>
  <c r="O112" i="12"/>
  <c r="H111" i="12"/>
  <c r="G111" i="12"/>
  <c r="F111" i="12"/>
  <c r="E111" i="12"/>
  <c r="D111" i="12"/>
  <c r="C111" i="12"/>
  <c r="P102" i="12"/>
  <c r="O102" i="12"/>
  <c r="P101" i="12"/>
  <c r="O101" i="12"/>
  <c r="P100" i="12"/>
  <c r="O100" i="12"/>
  <c r="P99" i="12"/>
  <c r="O99" i="12"/>
  <c r="N90" i="12"/>
  <c r="N92" i="12" s="1"/>
  <c r="M90" i="12"/>
  <c r="L90" i="12"/>
  <c r="L92" i="12" s="1"/>
  <c r="K90" i="12"/>
  <c r="K92" i="12" s="1"/>
  <c r="J90" i="12"/>
  <c r="J92" i="12" s="1"/>
  <c r="I90" i="12"/>
  <c r="I92" i="12" s="1"/>
  <c r="H90" i="12"/>
  <c r="H92" i="12" s="1"/>
  <c r="G90" i="12"/>
  <c r="G92" i="12" s="1"/>
  <c r="F90" i="12"/>
  <c r="F92" i="12" s="1"/>
  <c r="E90" i="12"/>
  <c r="E92" i="12" s="1"/>
  <c r="D90" i="12"/>
  <c r="D92" i="12" s="1"/>
  <c r="C90" i="12"/>
  <c r="C92" i="12" s="1"/>
  <c r="O89" i="12"/>
  <c r="O88" i="12"/>
  <c r="O87" i="12"/>
  <c r="O86" i="12"/>
  <c r="O85" i="12"/>
  <c r="P76" i="12"/>
  <c r="O76" i="12"/>
  <c r="P75" i="12"/>
  <c r="O75" i="12"/>
  <c r="P73" i="12"/>
  <c r="O73" i="12"/>
  <c r="P67" i="12"/>
  <c r="O67" i="12"/>
  <c r="P66" i="12"/>
  <c r="O66" i="12"/>
  <c r="P65" i="12"/>
  <c r="O65" i="12"/>
  <c r="O64" i="12"/>
  <c r="P63" i="12"/>
  <c r="O63" i="12"/>
  <c r="P61" i="12"/>
  <c r="O61" i="12"/>
  <c r="P48" i="12"/>
  <c r="O48" i="12"/>
  <c r="P47" i="12"/>
  <c r="O47" i="12"/>
  <c r="P45" i="12"/>
  <c r="O45" i="12"/>
  <c r="C55" i="12"/>
  <c r="O55" i="12" s="1"/>
  <c r="P55" i="12" s="1"/>
  <c r="P38" i="12"/>
  <c r="O38" i="12"/>
  <c r="P37" i="12"/>
  <c r="O37" i="12"/>
  <c r="P36" i="12"/>
  <c r="O36" i="12"/>
  <c r="O35" i="12"/>
  <c r="P34" i="12"/>
  <c r="O34" i="12"/>
  <c r="P22" i="12"/>
  <c r="O22" i="12"/>
  <c r="P19" i="12"/>
  <c r="H29" i="12"/>
  <c r="G29" i="12"/>
  <c r="F29" i="12"/>
  <c r="E29" i="12"/>
  <c r="D29" i="12"/>
  <c r="P12" i="12"/>
  <c r="P11" i="12"/>
  <c r="P10" i="12"/>
  <c r="O9" i="12"/>
  <c r="P8" i="12"/>
  <c r="I23" i="12"/>
  <c r="I49" i="12"/>
  <c r="I50" i="12"/>
  <c r="C13" i="14" l="1"/>
  <c r="N82" i="13"/>
  <c r="N78" i="13"/>
  <c r="N80" i="13" s="1"/>
  <c r="O78" i="13"/>
  <c r="O80" i="13" s="1"/>
  <c r="O82" i="13"/>
  <c r="J78" i="13"/>
  <c r="J80" i="13" s="1"/>
  <c r="J82" i="13"/>
  <c r="C17" i="14"/>
  <c r="C22" i="14"/>
  <c r="C21" i="14"/>
  <c r="C26" i="14"/>
  <c r="C54" i="12"/>
  <c r="G18" i="14"/>
  <c r="O97" i="12"/>
  <c r="C9" i="7"/>
  <c r="C10" i="7"/>
  <c r="C19" i="7"/>
  <c r="C15" i="7"/>
  <c r="C11" i="7"/>
  <c r="C21" i="7"/>
  <c r="C18" i="7"/>
  <c r="C14" i="7"/>
  <c r="C22" i="7"/>
  <c r="C12" i="7"/>
  <c r="C16" i="7"/>
  <c r="C13" i="7"/>
  <c r="C20" i="7"/>
  <c r="N77" i="13"/>
  <c r="N69" i="13"/>
  <c r="G78" i="13"/>
  <c r="G80" i="13" s="1"/>
  <c r="G69" i="13"/>
  <c r="G77" i="13"/>
  <c r="G82" i="13"/>
  <c r="S94" i="13"/>
  <c r="Q94" i="13"/>
  <c r="J69" i="13"/>
  <c r="J77" i="13"/>
  <c r="J61" i="13"/>
  <c r="F69" i="13"/>
  <c r="F82" i="13"/>
  <c r="F77" i="13"/>
  <c r="F61" i="13"/>
  <c r="I82" i="13"/>
  <c r="T82" i="13" s="1"/>
  <c r="I78" i="13"/>
  <c r="I61" i="13"/>
  <c r="I77" i="13"/>
  <c r="I69" i="13"/>
  <c r="O77" i="13"/>
  <c r="O69" i="13"/>
  <c r="H82" i="13"/>
  <c r="H61" i="13"/>
  <c r="H78" i="13"/>
  <c r="H69" i="13"/>
  <c r="H77" i="13"/>
  <c r="F5" i="14"/>
  <c r="C7" i="14"/>
  <c r="C10" i="14"/>
  <c r="C20" i="14"/>
  <c r="C18" i="14"/>
  <c r="C14" i="14"/>
  <c r="C6" i="14"/>
  <c r="C15" i="14"/>
  <c r="C9" i="14"/>
  <c r="C8" i="14"/>
  <c r="C19" i="14"/>
  <c r="C16" i="14"/>
  <c r="C11" i="14"/>
  <c r="C3" i="14"/>
  <c r="C5" i="14"/>
  <c r="C4" i="14"/>
  <c r="D50" i="12"/>
  <c r="D54" i="12"/>
  <c r="H49" i="12"/>
  <c r="H54" i="12"/>
  <c r="M79" i="12"/>
  <c r="N79" i="12"/>
  <c r="N80" i="12" s="1"/>
  <c r="F49" i="12"/>
  <c r="F54" i="12"/>
  <c r="C28" i="12"/>
  <c r="O5" i="12"/>
  <c r="F14" i="12"/>
  <c r="F28" i="12"/>
  <c r="E50" i="12"/>
  <c r="E54" i="12"/>
  <c r="G50" i="12"/>
  <c r="G54" i="12"/>
  <c r="N42" i="12"/>
  <c r="N44" i="12" s="1"/>
  <c r="N70" i="12"/>
  <c r="N69" i="12" s="1"/>
  <c r="C49" i="12"/>
  <c r="P31" i="12"/>
  <c r="L96" i="12"/>
  <c r="L94" i="12"/>
  <c r="L59" i="12" s="1"/>
  <c r="E96" i="12"/>
  <c r="E94" i="12"/>
  <c r="E59" i="12" s="1"/>
  <c r="E49" i="12"/>
  <c r="G23" i="12"/>
  <c r="G14" i="12"/>
  <c r="C96" i="12"/>
  <c r="C94" i="12"/>
  <c r="C59" i="12" s="1"/>
  <c r="H96" i="12"/>
  <c r="H94" i="12"/>
  <c r="H59" i="12" s="1"/>
  <c r="D96" i="12"/>
  <c r="D94" i="12"/>
  <c r="D59" i="12" s="1"/>
  <c r="M92" i="12"/>
  <c r="P92" i="12" s="1"/>
  <c r="M70" i="12"/>
  <c r="M42" i="12"/>
  <c r="D23" i="12"/>
  <c r="D14" i="12"/>
  <c r="H23" i="12"/>
  <c r="H14" i="12"/>
  <c r="G96" i="12"/>
  <c r="G94" i="12"/>
  <c r="G59" i="12" s="1"/>
  <c r="F24" i="12"/>
  <c r="P29" i="12"/>
  <c r="E40" i="12"/>
  <c r="E23" i="12"/>
  <c r="E14" i="12"/>
  <c r="M96" i="12"/>
  <c r="M94" i="12"/>
  <c r="M59" i="12" s="1"/>
  <c r="F96" i="12"/>
  <c r="F94" i="12"/>
  <c r="F59" i="12" s="1"/>
  <c r="C7" i="7"/>
  <c r="C8" i="7"/>
  <c r="C3" i="7"/>
  <c r="C4" i="7"/>
  <c r="C5" i="7"/>
  <c r="K79" i="12"/>
  <c r="L79" i="12"/>
  <c r="L42" i="12"/>
  <c r="L70" i="12"/>
  <c r="C23" i="12"/>
  <c r="D79" i="12"/>
  <c r="K70" i="12"/>
  <c r="K69" i="12" s="1"/>
  <c r="K42" i="12"/>
  <c r="K44" i="12" s="1"/>
  <c r="O110" i="12"/>
  <c r="G49" i="12"/>
  <c r="D24" i="12"/>
  <c r="D49" i="12"/>
  <c r="E43" i="12"/>
  <c r="E42" i="12" s="1"/>
  <c r="I111" i="12"/>
  <c r="O111" i="12" s="1"/>
  <c r="G71" i="12"/>
  <c r="G70" i="12" s="1"/>
  <c r="G79" i="12"/>
  <c r="Q90" i="12"/>
  <c r="H24" i="12"/>
  <c r="E71" i="12"/>
  <c r="E70" i="12" s="1"/>
  <c r="G40" i="12"/>
  <c r="G17" i="12"/>
  <c r="G16" i="12" s="1"/>
  <c r="H17" i="12"/>
  <c r="H16" i="12" s="1"/>
  <c r="G43" i="12"/>
  <c r="G42" i="12" s="1"/>
  <c r="I79" i="12"/>
  <c r="D43" i="12"/>
  <c r="D42" i="12" s="1"/>
  <c r="I17" i="12"/>
  <c r="I16" i="12" s="1"/>
  <c r="D17" i="12"/>
  <c r="D16" i="12" s="1"/>
  <c r="H40" i="12"/>
  <c r="F71" i="12"/>
  <c r="F70" i="12" s="1"/>
  <c r="O90" i="12"/>
  <c r="P97" i="12"/>
  <c r="D40" i="12"/>
  <c r="H50" i="12"/>
  <c r="P39" i="12"/>
  <c r="F50" i="12"/>
  <c r="C24" i="12"/>
  <c r="O39" i="12"/>
  <c r="P68" i="12"/>
  <c r="G24" i="12"/>
  <c r="C14" i="12"/>
  <c r="F43" i="12"/>
  <c r="F42" i="12" s="1"/>
  <c r="C43" i="12"/>
  <c r="C42" i="12" s="1"/>
  <c r="P13" i="12"/>
  <c r="E17" i="12"/>
  <c r="E16" i="12" s="1"/>
  <c r="I43" i="12"/>
  <c r="I42" i="12" s="1"/>
  <c r="I114" i="12"/>
  <c r="P114" i="12" s="1"/>
  <c r="C71" i="12"/>
  <c r="C70" i="12" s="1"/>
  <c r="F40" i="12"/>
  <c r="H43" i="12"/>
  <c r="H42" i="12" s="1"/>
  <c r="I71" i="12"/>
  <c r="I70" i="12" s="1"/>
  <c r="I69" i="12" s="1"/>
  <c r="H71" i="12"/>
  <c r="H70" i="12" s="1"/>
  <c r="J70" i="12"/>
  <c r="J69" i="12" s="1"/>
  <c r="J42" i="12"/>
  <c r="C50" i="12"/>
  <c r="F17" i="12"/>
  <c r="F16" i="12" s="1"/>
  <c r="C17" i="12"/>
  <c r="C16" i="12" s="1"/>
  <c r="P5" i="12"/>
  <c r="D71" i="12"/>
  <c r="D70" i="12" s="1"/>
  <c r="O68" i="12"/>
  <c r="H79" i="12"/>
  <c r="J79" i="12"/>
  <c r="I40" i="12"/>
  <c r="E24" i="12"/>
  <c r="E79" i="12"/>
  <c r="F79" i="12"/>
  <c r="C79" i="12"/>
  <c r="T69" i="13" l="1"/>
  <c r="T61" i="13"/>
  <c r="I80" i="13"/>
  <c r="T78" i="13"/>
  <c r="T77" i="13"/>
  <c r="H80" i="13"/>
  <c r="G104" i="13"/>
  <c r="G103" i="13"/>
  <c r="O28" i="12"/>
  <c r="P96" i="12"/>
  <c r="O54" i="12"/>
  <c r="N72" i="13"/>
  <c r="F72" i="13"/>
  <c r="G72" i="13"/>
  <c r="D18" i="12"/>
  <c r="E44" i="12"/>
  <c r="H72" i="13"/>
  <c r="O72" i="13"/>
  <c r="I72" i="13"/>
  <c r="T72" i="13" s="1"/>
  <c r="E78" i="13"/>
  <c r="E77" i="13"/>
  <c r="E61" i="13"/>
  <c r="Q60" i="13"/>
  <c r="S60" i="13"/>
  <c r="E82" i="13"/>
  <c r="Q82" i="13" s="1"/>
  <c r="J72" i="13"/>
  <c r="H5" i="14"/>
  <c r="H15" i="14" s="1"/>
  <c r="G20" i="14"/>
  <c r="J5" i="14"/>
  <c r="J15" i="14" s="1"/>
  <c r="F15" i="14"/>
  <c r="F16" i="14"/>
  <c r="P5" i="14"/>
  <c r="P15" i="14" s="1"/>
  <c r="C12" i="14"/>
  <c r="C29" i="14"/>
  <c r="C23" i="14"/>
  <c r="C24" i="14"/>
  <c r="C6" i="7"/>
  <c r="C30" i="14"/>
  <c r="M78" i="12"/>
  <c r="M69" i="12"/>
  <c r="M82" i="12"/>
  <c r="C78" i="12"/>
  <c r="C69" i="12"/>
  <c r="C82" i="12"/>
  <c r="G78" i="12"/>
  <c r="G69" i="12"/>
  <c r="G82" i="12"/>
  <c r="L82" i="12"/>
  <c r="L78" i="12"/>
  <c r="L69" i="12"/>
  <c r="D82" i="12"/>
  <c r="D78" i="12"/>
  <c r="D69" i="12"/>
  <c r="E78" i="12"/>
  <c r="E69" i="12"/>
  <c r="E82" i="12"/>
  <c r="O14" i="12"/>
  <c r="F69" i="12"/>
  <c r="F78" i="12"/>
  <c r="F82" i="12"/>
  <c r="H82" i="12"/>
  <c r="H78" i="12"/>
  <c r="H69" i="12"/>
  <c r="G6" i="12"/>
  <c r="G15" i="12" s="1"/>
  <c r="L6" i="12"/>
  <c r="L15" i="12" s="1"/>
  <c r="D6" i="12"/>
  <c r="D15" i="12" s="1"/>
  <c r="N6" i="12"/>
  <c r="M6" i="12"/>
  <c r="M15" i="12" s="1"/>
  <c r="H6" i="12"/>
  <c r="H15" i="12" s="1"/>
  <c r="C6" i="12"/>
  <c r="J6" i="12"/>
  <c r="J15" i="12" s="1"/>
  <c r="I6" i="12"/>
  <c r="I15" i="12" s="1"/>
  <c r="K6" i="12"/>
  <c r="F6" i="12"/>
  <c r="F15" i="12" s="1"/>
  <c r="E6" i="12"/>
  <c r="E15" i="12" s="1"/>
  <c r="P111" i="12"/>
  <c r="O114" i="12"/>
  <c r="Q42" i="12"/>
  <c r="P24" i="12"/>
  <c r="P50" i="12"/>
  <c r="O16" i="12"/>
  <c r="I18" i="12"/>
  <c r="I12" i="7"/>
  <c r="H18" i="12"/>
  <c r="G44" i="12"/>
  <c r="G18" i="12"/>
  <c r="C44" i="12"/>
  <c r="I44" i="12"/>
  <c r="Q79" i="12"/>
  <c r="F18" i="12"/>
  <c r="F44" i="12"/>
  <c r="P42" i="12"/>
  <c r="P70" i="12"/>
  <c r="E18" i="12"/>
  <c r="D44" i="12"/>
  <c r="H44" i="12"/>
  <c r="O24" i="12"/>
  <c r="O70" i="12"/>
  <c r="C18" i="12"/>
  <c r="O42" i="12"/>
  <c r="O79" i="12"/>
  <c r="P79" i="12"/>
  <c r="T80" i="13" l="1"/>
  <c r="I103" i="13"/>
  <c r="J103" i="13"/>
  <c r="J104" i="13"/>
  <c r="O104" i="13"/>
  <c r="O103" i="13"/>
  <c r="N103" i="13"/>
  <c r="N104" i="13"/>
  <c r="I104" i="13"/>
  <c r="T104" i="13" s="1"/>
  <c r="F104" i="13"/>
  <c r="Q104" i="13" s="1"/>
  <c r="F103" i="13"/>
  <c r="S103" i="13" s="1"/>
  <c r="H104" i="13"/>
  <c r="H103" i="13"/>
  <c r="Q98" i="13"/>
  <c r="G41" i="12"/>
  <c r="K15" i="12"/>
  <c r="K41" i="12"/>
  <c r="E41" i="12"/>
  <c r="N15" i="12"/>
  <c r="N41" i="12"/>
  <c r="F41" i="12"/>
  <c r="H41" i="12"/>
  <c r="C15" i="12"/>
  <c r="C41" i="12"/>
  <c r="I41" i="12"/>
  <c r="D41" i="12"/>
  <c r="G21" i="14"/>
  <c r="Q5" i="14"/>
  <c r="Q15" i="14" s="1"/>
  <c r="E80" i="13"/>
  <c r="S78" i="13"/>
  <c r="Q78" i="13"/>
  <c r="Q69" i="13"/>
  <c r="E72" i="13"/>
  <c r="S69" i="13"/>
  <c r="G57" i="12"/>
  <c r="G58" i="12" s="1"/>
  <c r="C34" i="14"/>
  <c r="C35" i="14" s="1"/>
  <c r="O69" i="12"/>
  <c r="N32" i="12"/>
  <c r="C32" i="12"/>
  <c r="C51" i="12" s="1"/>
  <c r="C52" i="12" s="1"/>
  <c r="F32" i="12"/>
  <c r="F51" i="12" s="1"/>
  <c r="F52" i="12" s="1"/>
  <c r="G32" i="12"/>
  <c r="G51" i="12" s="1"/>
  <c r="G52" i="12" s="1"/>
  <c r="L32" i="12"/>
  <c r="L51" i="12" s="1"/>
  <c r="L52" i="12" s="1"/>
  <c r="J32" i="12"/>
  <c r="J51" i="12" s="1"/>
  <c r="K32" i="12"/>
  <c r="K51" i="12" s="1"/>
  <c r="K52" i="12" s="1"/>
  <c r="E32" i="12"/>
  <c r="E51" i="12" s="1"/>
  <c r="E52" i="12" s="1"/>
  <c r="N51" i="12"/>
  <c r="N52" i="12" s="1"/>
  <c r="N104" i="12" s="1"/>
  <c r="D32" i="12"/>
  <c r="D51" i="12" s="1"/>
  <c r="D52" i="12" s="1"/>
  <c r="I32" i="12"/>
  <c r="I51" i="12" s="1"/>
  <c r="I52" i="12" s="1"/>
  <c r="H32" i="12"/>
  <c r="H51" i="12" s="1"/>
  <c r="H52" i="12" s="1"/>
  <c r="M32" i="12"/>
  <c r="M51" i="12" s="1"/>
  <c r="M52" i="12" s="1"/>
  <c r="N57" i="12"/>
  <c r="N58" i="12" s="1"/>
  <c r="L57" i="12"/>
  <c r="L58" i="12" s="1"/>
  <c r="M57" i="12"/>
  <c r="M58" i="12" s="1"/>
  <c r="K57" i="12"/>
  <c r="K58" i="12" s="1"/>
  <c r="L80" i="12"/>
  <c r="L72" i="12"/>
  <c r="L77" i="12"/>
  <c r="F57" i="12"/>
  <c r="F58" i="12" s="1"/>
  <c r="E57" i="12"/>
  <c r="E58" i="12" s="1"/>
  <c r="D57" i="12"/>
  <c r="D58" i="12" s="1"/>
  <c r="D60" i="12" s="1"/>
  <c r="J57" i="12"/>
  <c r="J58" i="12" s="1"/>
  <c r="C57" i="12"/>
  <c r="C58" i="12" s="1"/>
  <c r="C83" i="12" s="1"/>
  <c r="P83" i="12" s="1"/>
  <c r="I57" i="12"/>
  <c r="I58" i="12" s="1"/>
  <c r="H57" i="12"/>
  <c r="H58" i="12" s="1"/>
  <c r="K80" i="12"/>
  <c r="K72" i="12"/>
  <c r="Q6" i="12"/>
  <c r="P6" i="12"/>
  <c r="C25" i="12" s="1"/>
  <c r="C26" i="12" s="1"/>
  <c r="P21" i="7"/>
  <c r="I6" i="7"/>
  <c r="H24" i="7" s="1"/>
  <c r="I7" i="7"/>
  <c r="H25" i="7" s="1"/>
  <c r="I4" i="7"/>
  <c r="H22" i="7" s="1"/>
  <c r="I11" i="7"/>
  <c r="I14" i="7"/>
  <c r="I8" i="7"/>
  <c r="I10" i="7"/>
  <c r="I9" i="7"/>
  <c r="L18" i="12"/>
  <c r="L40" i="12"/>
  <c r="T103" i="13" l="1"/>
  <c r="S120" i="13"/>
  <c r="O15" i="12"/>
  <c r="H19" i="14"/>
  <c r="H18" i="14"/>
  <c r="H20" i="14"/>
  <c r="L44" i="12"/>
  <c r="L41" i="12"/>
  <c r="S72" i="13"/>
  <c r="Q72" i="13"/>
  <c r="S80" i="13"/>
  <c r="Q32" i="12"/>
  <c r="Q51" i="12"/>
  <c r="P32" i="12"/>
  <c r="F25" i="12"/>
  <c r="F26" i="12" s="1"/>
  <c r="J25" i="12"/>
  <c r="N25" i="12"/>
  <c r="G25" i="12"/>
  <c r="G26" i="12" s="1"/>
  <c r="K25" i="12"/>
  <c r="K26" i="12" s="1"/>
  <c r="K104" i="12" s="1"/>
  <c r="D25" i="12"/>
  <c r="D26" i="12" s="1"/>
  <c r="H25" i="12"/>
  <c r="H26" i="12" s="1"/>
  <c r="L25" i="12"/>
  <c r="L26" i="12" s="1"/>
  <c r="L104" i="12" s="1"/>
  <c r="E25" i="12"/>
  <c r="E26" i="12" s="1"/>
  <c r="I25" i="12"/>
  <c r="I26" i="12" s="1"/>
  <c r="M25" i="12"/>
  <c r="M26" i="12" s="1"/>
  <c r="I15" i="7"/>
  <c r="O15" i="7"/>
  <c r="P51" i="12"/>
  <c r="O51" i="12"/>
  <c r="G60" i="12"/>
  <c r="F77" i="12"/>
  <c r="H60" i="12"/>
  <c r="Q94" i="12"/>
  <c r="D77" i="12"/>
  <c r="E60" i="12"/>
  <c r="J49" i="12"/>
  <c r="Q49" i="12" s="1"/>
  <c r="Q50" i="12"/>
  <c r="P94" i="12"/>
  <c r="O94" i="12"/>
  <c r="K77" i="12"/>
  <c r="M18" i="12"/>
  <c r="O31" i="12"/>
  <c r="J40" i="12"/>
  <c r="K23" i="12"/>
  <c r="K18" i="12"/>
  <c r="L23" i="12"/>
  <c r="J18" i="12"/>
  <c r="J23" i="12"/>
  <c r="Q23" i="12" s="1"/>
  <c r="L49" i="12"/>
  <c r="N23" i="12"/>
  <c r="J44" i="12" l="1"/>
  <c r="Q44" i="12" s="1"/>
  <c r="J41" i="12"/>
  <c r="O18" i="12"/>
  <c r="S98" i="13"/>
  <c r="O25" i="12"/>
  <c r="P25" i="12"/>
  <c r="J26" i="12"/>
  <c r="Q26" i="12" s="1"/>
  <c r="Q25" i="12"/>
  <c r="G72" i="12"/>
  <c r="Q40" i="12"/>
  <c r="Q14" i="12"/>
  <c r="G77" i="12"/>
  <c r="F60" i="12"/>
  <c r="H77" i="12"/>
  <c r="H72" i="12"/>
  <c r="F72" i="12"/>
  <c r="C77" i="12"/>
  <c r="C60" i="12"/>
  <c r="I60" i="12"/>
  <c r="I80" i="12" s="1"/>
  <c r="I104" i="12" s="1"/>
  <c r="I77" i="12"/>
  <c r="I72" i="12"/>
  <c r="E80" i="12"/>
  <c r="E104" i="12" s="1"/>
  <c r="E77" i="12"/>
  <c r="D80" i="12"/>
  <c r="D104" i="12" s="1"/>
  <c r="J72" i="12"/>
  <c r="J60" i="12"/>
  <c r="Q60" i="12" s="1"/>
  <c r="J77" i="12"/>
  <c r="J52" i="12"/>
  <c r="O50" i="12"/>
  <c r="L98" i="12"/>
  <c r="L103" i="12" s="1"/>
  <c r="M23" i="12"/>
  <c r="P23" i="12" s="1"/>
  <c r="M49" i="12"/>
  <c r="O49" i="12" s="1"/>
  <c r="M40" i="12"/>
  <c r="M41" i="12" s="1"/>
  <c r="P14" i="12"/>
  <c r="N72" i="12"/>
  <c r="P40" i="12" l="1"/>
  <c r="O41" i="12"/>
  <c r="M44" i="12"/>
  <c r="O44" i="12" s="1"/>
  <c r="P26" i="12"/>
  <c r="Q52" i="12"/>
  <c r="P52" i="12"/>
  <c r="G80" i="12"/>
  <c r="G104" i="12" s="1"/>
  <c r="M77" i="12"/>
  <c r="M80" i="12"/>
  <c r="M104" i="12" s="1"/>
  <c r="G98" i="12"/>
  <c r="G103" i="12" s="1"/>
  <c r="J80" i="12"/>
  <c r="J104" i="12" s="1"/>
  <c r="C72" i="12"/>
  <c r="C98" i="12" s="1"/>
  <c r="K98" i="12"/>
  <c r="K103" i="12" s="1"/>
  <c r="Q69" i="12"/>
  <c r="H98" i="12"/>
  <c r="H103" i="12" s="1"/>
  <c r="H80" i="12"/>
  <c r="H104" i="12" s="1"/>
  <c r="F98" i="12"/>
  <c r="F103" i="12" s="1"/>
  <c r="F80" i="12"/>
  <c r="F104" i="12" s="1"/>
  <c r="C80" i="12"/>
  <c r="C104" i="12" s="1"/>
  <c r="Q77" i="12"/>
  <c r="E72" i="12"/>
  <c r="I98" i="12"/>
  <c r="I103" i="12" s="1"/>
  <c r="D72" i="12"/>
  <c r="D98" i="12"/>
  <c r="D103" i="12" s="1"/>
  <c r="J98" i="12"/>
  <c r="J103" i="12" s="1"/>
  <c r="O23" i="12"/>
  <c r="P49" i="12"/>
  <c r="M72" i="12"/>
  <c r="P59" i="12"/>
  <c r="O59" i="12"/>
  <c r="O40" i="12"/>
  <c r="N98" i="12"/>
  <c r="N103" i="12" s="1"/>
  <c r="P69" i="12" l="1"/>
  <c r="E98" i="12"/>
  <c r="E103" i="12" s="1"/>
  <c r="O104" i="12"/>
  <c r="O72" i="12"/>
  <c r="O78" i="12"/>
  <c r="P78" i="12"/>
  <c r="Q78" i="12"/>
  <c r="P80" i="12"/>
  <c r="P72" i="12"/>
  <c r="M98" i="12"/>
  <c r="M103" i="12" s="1"/>
  <c r="C103" i="12"/>
  <c r="P98" i="12" l="1"/>
  <c r="O98" i="12"/>
  <c r="P103" i="12"/>
  <c r="O103" i="12"/>
  <c r="C17" i="7" l="1"/>
  <c r="C34" i="7" s="1"/>
  <c r="C35" i="7" s="1"/>
</calcChain>
</file>

<file path=xl/comments1.xml><?xml version="1.0" encoding="utf-8"?>
<comments xmlns="http://schemas.openxmlformats.org/spreadsheetml/2006/main">
  <authors>
    <author>Gabriel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Hors Fac fin de mois</t>
        </r>
      </text>
    </comment>
    <comment ref="S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Hors Fac fin de mois</t>
        </r>
      </text>
    </comment>
  </commentList>
</comments>
</file>

<file path=xl/comments2.xml><?xml version="1.0" encoding="utf-8"?>
<comments xmlns="http://schemas.openxmlformats.org/spreadsheetml/2006/main">
  <authors>
    <author>Gabriel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-48% de perte matière =X  1,923  en coût matière</t>
        </r>
      </text>
    </comment>
    <comment ref="B32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-52 % de perte matière
soit + 2,04 en coût matière</t>
        </r>
      </text>
    </comment>
  </commentList>
</comments>
</file>

<file path=xl/comments3.xml><?xml version="1.0" encoding="utf-8"?>
<comments xmlns="http://schemas.openxmlformats.org/spreadsheetml/2006/main">
  <authors>
    <author>Gabriel</author>
  </authors>
  <commentList>
    <comment ref="D7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-48% de perte matière =X  1,923  en coût matière</t>
        </r>
      </text>
    </comment>
    <comment ref="D19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" authorId="0" shapeId="0">
      <text>
        <r>
          <rPr>
            <b/>
            <sz val="9"/>
            <color indexed="81"/>
            <rFont val="Tahoma"/>
            <family val="2"/>
          </rPr>
          <t>Gabriel: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<sst xmlns="http://schemas.openxmlformats.org/spreadsheetml/2006/main" count="454" uniqueCount="158">
  <si>
    <t>TOTAL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</si>
  <si>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</si>
  <si>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</si>
  <si>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</si>
  <si>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</si>
  <si>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</si>
  <si>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</si>
  <si>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</si>
  <si>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</si>
  <si>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</si>
  <si>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</si>
  <si>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</si>
  <si>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</si>
  <si>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SUIVI C.A A RECEVOIR TTC (€)</t>
  </si>
  <si>
    <t>C.A SUIVI MENSUEL H.T (€)</t>
  </si>
  <si>
    <t>août</t>
  </si>
  <si>
    <t>2016-2017</t>
  </si>
  <si>
    <t>Pro assurés</t>
  </si>
  <si>
    <t>Pro non assurés</t>
  </si>
  <si>
    <t>COMPOSITION DU CA (HT) €</t>
  </si>
  <si>
    <t>Total</t>
  </si>
  <si>
    <t>Particuliers</t>
  </si>
  <si>
    <t>C.A Moyen</t>
  </si>
  <si>
    <t>Jours de Production</t>
  </si>
  <si>
    <t xml:space="preserve">Mois </t>
  </si>
  <si>
    <t>Moyenne</t>
  </si>
  <si>
    <t>SCIERIE 1</t>
  </si>
  <si>
    <t xml:space="preserve">Méthode
Coûts Par
Flux 
Comptable
</t>
  </si>
  <si>
    <t>Cout Achat Moyen M3</t>
  </si>
  <si>
    <t>Achat Bois</t>
  </si>
  <si>
    <t>Salaires Brutes</t>
  </si>
  <si>
    <t>Tpt / Ventes</t>
  </si>
  <si>
    <t xml:space="preserve">Prêts </t>
  </si>
  <si>
    <t>C.B.M</t>
  </si>
  <si>
    <t>Charges Fixes</t>
  </si>
  <si>
    <t>Total Charges</t>
  </si>
  <si>
    <t>Imputation Général</t>
  </si>
  <si>
    <t>% Charges</t>
  </si>
  <si>
    <t>Méthode 
Coût Par
Volumes 
Production</t>
  </si>
  <si>
    <t>Volume Sciage (M3)</t>
  </si>
  <si>
    <t>C.A / Jour de Prod'</t>
  </si>
  <si>
    <t>C.A / M3</t>
  </si>
  <si>
    <t>Cout de Prod /M3</t>
  </si>
  <si>
    <t>Marge Nette / M3</t>
  </si>
  <si>
    <t>SCIERIE 2</t>
  </si>
  <si>
    <t>Cout de Prod  /M3</t>
  </si>
  <si>
    <t>RABOTERIE</t>
  </si>
  <si>
    <t>GENERAL</t>
  </si>
  <si>
    <t>Dotation Amort</t>
  </si>
  <si>
    <t>Subventions Ex°</t>
  </si>
  <si>
    <t>Crédit Impots 4,12%</t>
  </si>
  <si>
    <t>Autres Charges</t>
  </si>
  <si>
    <t>Résultat Net</t>
  </si>
  <si>
    <t>Marge Nette Moyenne / M3</t>
  </si>
  <si>
    <t>ACHAT BOIS GRUMES (M3)</t>
  </si>
  <si>
    <t>TRANSFERT SC1 TO SC2</t>
  </si>
  <si>
    <t>TOTAL SC1</t>
  </si>
  <si>
    <t>ACHAT BOIS BILLONS (M3)</t>
  </si>
  <si>
    <t>TRANSFERT SC2 TO SC1</t>
  </si>
  <si>
    <t>TOTAL SC2</t>
  </si>
  <si>
    <t>C.A Connexes</t>
  </si>
  <si>
    <t>Volume Connexes (tonnes)</t>
  </si>
  <si>
    <t>C.A de Prod (hors Connexes)</t>
  </si>
  <si>
    <t>C.A de Prod  (hors Connexes)</t>
  </si>
  <si>
    <t>C.A TOTAL (hors Connexes)</t>
  </si>
  <si>
    <t>Achat Bois Autres</t>
  </si>
  <si>
    <t>Stock</t>
  </si>
  <si>
    <t xml:space="preserve">Achat Moyen Bois Raboterie </t>
  </si>
  <si>
    <t>Cout Achat Moyen / M3</t>
  </si>
  <si>
    <r>
      <t xml:space="preserve">Résultat de Gestion 
</t>
    </r>
    <r>
      <rPr>
        <b/>
        <i/>
        <sz val="10"/>
        <color indexed="8"/>
        <rFont val="Calibri"/>
        <family val="2"/>
      </rPr>
      <t>(dont  Connexes)</t>
    </r>
  </si>
  <si>
    <t>Résultat Après 
Imputation Général</t>
  </si>
  <si>
    <t>Résultat Après
 Imputation Général</t>
  </si>
  <si>
    <t>Résultat de Gestion
Après Imputat°</t>
  </si>
  <si>
    <t>Var° Mois à Mois</t>
  </si>
  <si>
    <t>Méthode</t>
  </si>
  <si>
    <t>Coûts Par</t>
  </si>
  <si>
    <t xml:space="preserve">Flux </t>
  </si>
  <si>
    <t>SUIVI ACHAT BOIS</t>
  </si>
  <si>
    <t>C.A/ jour</t>
  </si>
  <si>
    <t>M3</t>
  </si>
  <si>
    <t>Ecart M3</t>
  </si>
  <si>
    <t>Prix M3</t>
  </si>
  <si>
    <t>Délai Crédit Clients</t>
  </si>
  <si>
    <t>Jrs Prod</t>
  </si>
  <si>
    <t>Ecart C.A / Jrs</t>
  </si>
  <si>
    <t>Ecart CA / Mois</t>
  </si>
  <si>
    <t>CA / Jrs</t>
  </si>
  <si>
    <t>CONSO PAG  SC1 (M3)</t>
  </si>
  <si>
    <t>VAR ° PAG</t>
  </si>
  <si>
    <t>C.A Connexes / T</t>
  </si>
  <si>
    <t>Connexes T</t>
  </si>
  <si>
    <t>Nb Heures</t>
  </si>
  <si>
    <t>Coût H (hors achat bois)</t>
  </si>
  <si>
    <t xml:space="preserve"> Rentabilité
Salarié</t>
  </si>
  <si>
    <t>2017-2018</t>
  </si>
  <si>
    <t xml:space="preserve">Rentabilité
Salarié </t>
  </si>
  <si>
    <t>C.A / h (hors connexes)</t>
  </si>
  <si>
    <t>SUIVI RENTABILITE MENSUEL 2016-2017</t>
  </si>
  <si>
    <t>2015-2016</t>
  </si>
  <si>
    <t>Montant (€)</t>
  </si>
  <si>
    <t>Parts (%)</t>
  </si>
  <si>
    <t>Type</t>
  </si>
  <si>
    <t>SUIVI RENTABILITE MENSUEL 2017-2018</t>
  </si>
  <si>
    <t>% Imputation</t>
  </si>
  <si>
    <t>C.A / Sem Moy</t>
  </si>
  <si>
    <t>calcul datedif</t>
  </si>
  <si>
    <t>C.A Moy / Mois</t>
  </si>
  <si>
    <t>Ecart Prod</t>
  </si>
  <si>
    <t>Scierie 1</t>
  </si>
  <si>
    <t>Scierie 2</t>
  </si>
  <si>
    <t>Raboterie</t>
  </si>
  <si>
    <t>Ecart Sc1</t>
  </si>
  <si>
    <t>Ecart Sc2</t>
  </si>
  <si>
    <t>Ecart Raboterie</t>
  </si>
  <si>
    <t>Ecart Total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</si>
  <si>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</si>
  <si>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</si>
  <si>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</si>
  <si>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</si>
  <si>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</si>
  <si>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</si>
  <si>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</si>
  <si>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</si>
  <si>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</si>
  <si>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</si>
  <si>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Juil</t>
  </si>
  <si>
    <t>Août</t>
  </si>
  <si>
    <t>Artisans</t>
  </si>
  <si>
    <t>Total Prod</t>
  </si>
  <si>
    <t>Sciage SC2 (m3)</t>
  </si>
  <si>
    <t>Sciage SC1 (m3)</t>
  </si>
  <si>
    <t>Rab (m3)</t>
  </si>
  <si>
    <t>Dif Jour Prod</t>
  </si>
  <si>
    <t>Ecarts C.A</t>
  </si>
  <si>
    <t>Ecart SC1</t>
  </si>
  <si>
    <t>Ecart SC2</t>
  </si>
  <si>
    <t>Ecart Prix/ M3</t>
  </si>
  <si>
    <t>SUIVI DES ECARTS</t>
  </si>
  <si>
    <t>Pro Négoce</t>
  </si>
  <si>
    <t>Résultat de Gestion Après transfert
(dont connexes)</t>
  </si>
  <si>
    <t>Volume Raboté (M3)</t>
  </si>
  <si>
    <t>Marge Exploitation</t>
  </si>
  <si>
    <t>Ecart Prod° (M3)</t>
  </si>
  <si>
    <t>Salaires Chargés</t>
  </si>
  <si>
    <t>Marge Exploitation / M3</t>
  </si>
  <si>
    <t>Valeur Mensuelle =</t>
  </si>
  <si>
    <t>Valeur Mensuelle M-1 =</t>
  </si>
  <si>
    <t>INDICATEURS DE GESTION</t>
  </si>
  <si>
    <t>% Salaires</t>
  </si>
  <si>
    <t>% Achats Bois</t>
  </si>
  <si>
    <t>% Charges Diverses</t>
  </si>
  <si>
    <t>% Charges Financières</t>
  </si>
  <si>
    <t>% Charges Transports</t>
  </si>
  <si>
    <t>Marge Exploitation S.A.S</t>
  </si>
  <si>
    <t>Résultat Exploitation S.A.S (hors 
dotations amortissement)</t>
  </si>
  <si>
    <t>Cumul 17-18</t>
  </si>
  <si>
    <t>Var° Mois/Mois</t>
  </si>
  <si>
    <t>Cumul 16-17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</si>
</sst>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8" formatCode="_-* #,##0\ &quot;€&quot;_-;\-* #,##0\ &quot;€&quot;_-;_-* &quot;-&quot;??\ &quot;€&quot;_-;_-@_-"/>
    <numFmt numFmtId="170" formatCode="\ #,##0.00\ [$€-401]\ ;\-#,##0.00\ [$€-401]\ ;&quot; -&quot;#\ [$€-401]\ "/>
    <numFmt numFmtId="171" formatCode="0.0%"/>
    <numFmt numFmtId="172" formatCode="_-* #,##0.0\ &quot;€&quot;_-;\-* #,##0.0\ &quot;€&quot;_-;_-* &quot;-&quot;??\ &quot;€&quot;_-;_-@_-"/>
    <numFmt numFmtId="173" formatCode="mmmm"/>
  </numFmts>
  <fonts count="4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name val="Arial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b/>
      <i/>
      <sz val="10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2060"/>
        <bgColor indexed="64"/>
      </patternFill>
    </fill>
  </fills>
  <borders count="4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7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0" fillId="7" borderId="1" applyNumberFormat="0" applyAlignment="0" applyProtection="0"/>
    <xf numFmtId="170" fontId="1" fillId="0" borderId="0" applyFill="0" applyBorder="0" applyAlignment="0" applyProtection="0"/>
    <xf numFmtId="0" fontId="11" fillId="3" borderId="0" applyNumberFormat="0" applyBorder="0" applyAlignment="0" applyProtection="0"/>
    <xf numFmtId="43" fontId="5" fillId="0" borderId="0" applyFill="0" applyBorder="0" applyAlignment="0" applyProtection="0"/>
    <xf numFmtId="44" fontId="2" fillId="0" borderId="0" applyFont="0" applyFill="0" applyBorder="0" applyAlignment="0" applyProtection="0"/>
    <xf numFmtId="44" fontId="5" fillId="0" borderId="0" applyFill="0" applyBorder="0" applyAlignment="0" applyProtection="0"/>
    <xf numFmtId="0" fontId="12" fillId="21" borderId="0" applyNumberFormat="0" applyBorder="0" applyAlignment="0" applyProtection="0"/>
    <xf numFmtId="0" fontId="4" fillId="0" borderId="0">
      <alignment vertical="center"/>
    </xf>
    <xf numFmtId="0" fontId="1" fillId="0" borderId="0"/>
    <xf numFmtId="9" fontId="2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3" applyNumberFormat="0" applyAlignment="0" applyProtection="0"/>
    <xf numFmtId="0" fontId="15" fillId="0" borderId="0" applyNumberFormat="0" applyFill="0" applyBorder="0" applyAlignment="0" applyProtection="0"/>
    <xf numFmtId="0" fontId="16" fillId="0" borderId="4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0" applyNumberFormat="0" applyFill="0" applyBorder="0" applyAlignment="0" applyProtection="0"/>
    <xf numFmtId="0" fontId="3" fillId="0" borderId="7" applyNumberFormat="0" applyFill="0" applyAlignment="0" applyProtection="0"/>
    <xf numFmtId="0" fontId="19" fillId="22" borderId="8" applyNumberFormat="0" applyAlignment="0" applyProtection="0"/>
  </cellStyleXfs>
  <cellXfs count="794">
    <xf numFmtId="0" fontId="0" fillId="0" borderId="0" xfId="0"/>
    <xf numFmtId="0" fontId="0" fillId="0" borderId="0" xfId="0" applyFill="1"/>
    <xf numFmtId="0" fontId="0" fillId="0" borderId="0" xfId="0" applyBorder="1"/>
    <xf numFmtId="168" fontId="27" fillId="0" borderId="0" xfId="0" applyNumberFormat="1" applyFont="1"/>
    <xf numFmtId="0" fontId="27" fillId="23" borderId="17" xfId="0" applyFont="1" applyFill="1" applyBorder="1"/>
    <xf numFmtId="14" fontId="27" fillId="23" borderId="19" xfId="0" applyNumberFormat="1" applyFont="1" applyFill="1" applyBorder="1"/>
    <xf numFmtId="168" fontId="27" fillId="23" borderId="20" xfId="32" applyNumberFormat="1" applyFont="1" applyFill="1" applyBorder="1"/>
    <xf numFmtId="0" fontId="27" fillId="23" borderId="13" xfId="0" applyFont="1" applyFill="1" applyBorder="1"/>
    <xf numFmtId="14" fontId="27" fillId="23" borderId="0" xfId="0" applyNumberFormat="1" applyFont="1" applyFill="1" applyBorder="1"/>
    <xf numFmtId="168" fontId="27" fillId="23" borderId="21" xfId="32" applyNumberFormat="1" applyFont="1" applyFill="1" applyBorder="1"/>
    <xf numFmtId="0" fontId="27" fillId="24" borderId="22" xfId="0" applyFont="1" applyFill="1" applyBorder="1"/>
    <xf numFmtId="14" fontId="27" fillId="24" borderId="23" xfId="0" applyNumberFormat="1" applyFont="1" applyFill="1" applyBorder="1"/>
    <xf numFmtId="168" fontId="27" fillId="24" borderId="24" xfId="32" applyNumberFormat="1" applyFont="1" applyFill="1" applyBorder="1"/>
    <xf numFmtId="0" fontId="27" fillId="24" borderId="13" xfId="0" applyFont="1" applyFill="1" applyBorder="1"/>
    <xf numFmtId="14" fontId="27" fillId="24" borderId="0" xfId="0" applyNumberFormat="1" applyFont="1" applyFill="1" applyBorder="1"/>
    <xf numFmtId="168" fontId="27" fillId="24" borderId="21" xfId="32" applyNumberFormat="1" applyFont="1" applyFill="1" applyBorder="1"/>
    <xf numFmtId="0" fontId="27" fillId="24" borderId="18" xfId="0" applyFont="1" applyFill="1" applyBorder="1"/>
    <xf numFmtId="14" fontId="27" fillId="24" borderId="12" xfId="0" applyNumberFormat="1" applyFont="1" applyFill="1" applyBorder="1"/>
    <xf numFmtId="168" fontId="27" fillId="0" borderId="0" xfId="0" applyNumberFormat="1" applyFont="1" applyBorder="1"/>
    <xf numFmtId="1" fontId="0" fillId="0" borderId="0" xfId="0" applyNumberFormat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9" fontId="23" fillId="0" borderId="0" xfId="37" applyFont="1" applyFill="1" applyBorder="1"/>
    <xf numFmtId="1" fontId="24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/>
    <xf numFmtId="1" fontId="24" fillId="0" borderId="0" xfId="0" applyNumberFormat="1" applyFont="1" applyFill="1" applyBorder="1"/>
    <xf numFmtId="0" fontId="0" fillId="0" borderId="21" xfId="0" applyFill="1" applyBorder="1"/>
    <xf numFmtId="0" fontId="0" fillId="0" borderId="13" xfId="0" applyFill="1" applyBorder="1"/>
    <xf numFmtId="0" fontId="0" fillId="0" borderId="27" xfId="0" applyFill="1" applyBorder="1"/>
    <xf numFmtId="0" fontId="0" fillId="0" borderId="18" xfId="0" applyFill="1" applyBorder="1"/>
    <xf numFmtId="0" fontId="0" fillId="0" borderId="12" xfId="0" applyFill="1" applyBorder="1"/>
    <xf numFmtId="168" fontId="23" fillId="26" borderId="0" xfId="32" applyNumberFormat="1" applyFont="1" applyFill="1" applyBorder="1"/>
    <xf numFmtId="9" fontId="24" fillId="26" borderId="0" xfId="37" applyFont="1" applyFill="1" applyBorder="1"/>
    <xf numFmtId="9" fontId="24" fillId="26" borderId="12" xfId="37" applyFont="1" applyFill="1" applyBorder="1"/>
    <xf numFmtId="168" fontId="24" fillId="26" borderId="12" xfId="32" applyNumberFormat="1" applyFont="1" applyFill="1" applyBorder="1"/>
    <xf numFmtId="168" fontId="24" fillId="27" borderId="0" xfId="32" applyNumberFormat="1" applyFont="1" applyFill="1" applyBorder="1"/>
    <xf numFmtId="1" fontId="24" fillId="0" borderId="12" xfId="0" applyNumberFormat="1" applyFont="1" applyFill="1" applyBorder="1" applyAlignment="1">
      <alignment horizontal="center"/>
    </xf>
    <xf numFmtId="1" fontId="24" fillId="0" borderId="12" xfId="0" applyNumberFormat="1" applyFont="1" applyFill="1" applyBorder="1"/>
    <xf numFmtId="168" fontId="27" fillId="30" borderId="0" xfId="0" applyNumberFormat="1" applyFont="1" applyFill="1" applyBorder="1"/>
    <xf numFmtId="1" fontId="27" fillId="30" borderId="0" xfId="0" applyNumberFormat="1" applyFont="1" applyFill="1" applyBorder="1" applyAlignment="1">
      <alignment horizontal="center"/>
    </xf>
    <xf numFmtId="0" fontId="0" fillId="28" borderId="0" xfId="0" applyNumberFormat="1" applyFill="1" applyBorder="1" applyAlignment="1">
      <alignment horizontal="center"/>
    </xf>
    <xf numFmtId="6" fontId="0" fillId="28" borderId="0" xfId="0" applyNumberFormat="1" applyFill="1" applyBorder="1"/>
    <xf numFmtId="1" fontId="0" fillId="28" borderId="0" xfId="0" applyNumberFormat="1" applyFill="1" applyBorder="1" applyAlignment="1">
      <alignment horizontal="center"/>
    </xf>
    <xf numFmtId="0" fontId="25" fillId="0" borderId="14" xfId="0" applyFont="1" applyBorder="1" applyAlignment="1"/>
    <xf numFmtId="168" fontId="27" fillId="30" borderId="32" xfId="32" applyNumberFormat="1" applyFont="1" applyFill="1" applyBorder="1"/>
    <xf numFmtId="0" fontId="25" fillId="30" borderId="11" xfId="0" applyFont="1" applyFill="1" applyBorder="1" applyAlignment="1">
      <alignment horizontal="center"/>
    </xf>
    <xf numFmtId="0" fontId="25" fillId="30" borderId="30" xfId="0" applyFont="1" applyFill="1" applyBorder="1"/>
    <xf numFmtId="0" fontId="25" fillId="30" borderId="30" xfId="0" applyFont="1" applyFill="1" applyBorder="1" applyAlignment="1">
      <alignment horizontal="center"/>
    </xf>
    <xf numFmtId="0" fontId="25" fillId="28" borderId="30" xfId="0" applyFont="1" applyFill="1" applyBorder="1" applyAlignment="1">
      <alignment horizontal="center"/>
    </xf>
    <xf numFmtId="0" fontId="25" fillId="29" borderId="30" xfId="0" applyFont="1" applyFill="1" applyBorder="1" applyAlignment="1">
      <alignment horizontal="center"/>
    </xf>
    <xf numFmtId="0" fontId="0" fillId="29" borderId="31" xfId="0" applyFill="1" applyBorder="1"/>
    <xf numFmtId="168" fontId="27" fillId="30" borderId="40" xfId="32" applyNumberFormat="1" applyFont="1" applyFill="1" applyBorder="1"/>
    <xf numFmtId="168" fontId="27" fillId="30" borderId="23" xfId="0" applyNumberFormat="1" applyFont="1" applyFill="1" applyBorder="1"/>
    <xf numFmtId="1" fontId="27" fillId="30" borderId="23" xfId="0" applyNumberFormat="1" applyFont="1" applyFill="1" applyBorder="1" applyAlignment="1">
      <alignment horizontal="center"/>
    </xf>
    <xf numFmtId="168" fontId="27" fillId="30" borderId="25" xfId="0" applyNumberFormat="1" applyFont="1" applyFill="1" applyBorder="1" applyAlignment="1">
      <alignment horizontal="center"/>
    </xf>
    <xf numFmtId="168" fontId="27" fillId="30" borderId="10" xfId="0" applyNumberFormat="1" applyFont="1" applyFill="1" applyBorder="1" applyAlignment="1">
      <alignment horizontal="center"/>
    </xf>
    <xf numFmtId="0" fontId="0" fillId="28" borderId="23" xfId="0" applyNumberFormat="1" applyFill="1" applyBorder="1" applyAlignment="1">
      <alignment horizontal="center"/>
    </xf>
    <xf numFmtId="6" fontId="0" fillId="28" borderId="23" xfId="0" applyNumberFormat="1" applyFill="1" applyBorder="1"/>
    <xf numFmtId="1" fontId="0" fillId="28" borderId="23" xfId="0" applyNumberFormat="1" applyFill="1" applyBorder="1" applyAlignment="1">
      <alignment horizontal="center"/>
    </xf>
    <xf numFmtId="0" fontId="0" fillId="28" borderId="36" xfId="0" applyNumberFormat="1" applyFill="1" applyBorder="1" applyAlignment="1">
      <alignment horizontal="center"/>
    </xf>
    <xf numFmtId="6" fontId="0" fillId="28" borderId="36" xfId="0" applyNumberFormat="1" applyFill="1" applyBorder="1"/>
    <xf numFmtId="1" fontId="0" fillId="28" borderId="36" xfId="0" applyNumberFormat="1" applyFill="1" applyBorder="1" applyAlignment="1">
      <alignment horizontal="center"/>
    </xf>
    <xf numFmtId="168" fontId="0" fillId="29" borderId="40" xfId="0" applyNumberFormat="1" applyFill="1" applyBorder="1"/>
    <xf numFmtId="168" fontId="0" fillId="29" borderId="32" xfId="0" applyNumberFormat="1" applyFill="1" applyBorder="1"/>
    <xf numFmtId="168" fontId="27" fillId="28" borderId="30" xfId="0" applyNumberFormat="1" applyFont="1" applyFill="1" applyBorder="1"/>
    <xf numFmtId="1" fontId="27" fillId="28" borderId="30" xfId="0" applyNumberFormat="1" applyFont="1" applyFill="1" applyBorder="1" applyAlignment="1">
      <alignment horizontal="center"/>
    </xf>
    <xf numFmtId="0" fontId="28" fillId="0" borderId="32" xfId="0" applyFont="1" applyFill="1" applyBorder="1" applyAlignment="1">
      <alignment horizontal="right"/>
    </xf>
    <xf numFmtId="168" fontId="27" fillId="30" borderId="11" xfId="0" applyNumberFormat="1" applyFont="1" applyFill="1" applyBorder="1"/>
    <xf numFmtId="168" fontId="27" fillId="30" borderId="30" xfId="0" applyNumberFormat="1" applyFont="1" applyFill="1" applyBorder="1"/>
    <xf numFmtId="1" fontId="27" fillId="30" borderId="30" xfId="0" applyNumberFormat="1" applyFont="1" applyFill="1" applyBorder="1" applyAlignment="1">
      <alignment horizontal="center"/>
    </xf>
    <xf numFmtId="168" fontId="27" fillId="30" borderId="31" xfId="0" applyNumberFormat="1" applyFont="1" applyFill="1" applyBorder="1"/>
    <xf numFmtId="0" fontId="28" fillId="0" borderId="32" xfId="0" applyFont="1" applyBorder="1"/>
    <xf numFmtId="0" fontId="28" fillId="0" borderId="33" xfId="0" applyFont="1" applyBorder="1"/>
    <xf numFmtId="0" fontId="29" fillId="0" borderId="32" xfId="0" applyFont="1" applyFill="1" applyBorder="1" applyAlignment="1">
      <alignment horizontal="right"/>
    </xf>
    <xf numFmtId="168" fontId="27" fillId="0" borderId="14" xfId="32" applyNumberFormat="1" applyFont="1" applyFill="1" applyBorder="1" applyAlignment="1">
      <alignment horizontal="center"/>
    </xf>
    <xf numFmtId="168" fontId="24" fillId="0" borderId="14" xfId="32" applyNumberFormat="1" applyFont="1" applyBorder="1"/>
    <xf numFmtId="168" fontId="24" fillId="0" borderId="15" xfId="32" applyNumberFormat="1" applyFont="1" applyBorder="1"/>
    <xf numFmtId="168" fontId="24" fillId="0" borderId="9" xfId="0" applyNumberFormat="1" applyFont="1" applyBorder="1"/>
    <xf numFmtId="168" fontId="24" fillId="0" borderId="20" xfId="0" applyNumberFormat="1" applyFont="1" applyBorder="1"/>
    <xf numFmtId="1" fontId="24" fillId="0" borderId="31" xfId="0" applyNumberFormat="1" applyFont="1" applyBorder="1" applyAlignment="1">
      <alignment horizontal="center"/>
    </xf>
    <xf numFmtId="0" fontId="25" fillId="30" borderId="31" xfId="0" applyFont="1" applyFill="1" applyBorder="1" applyAlignment="1">
      <alignment horizontal="center"/>
    </xf>
    <xf numFmtId="0" fontId="25" fillId="28" borderId="11" xfId="0" applyFont="1" applyFill="1" applyBorder="1" applyAlignment="1">
      <alignment horizontal="center"/>
    </xf>
    <xf numFmtId="0" fontId="25" fillId="28" borderId="31" xfId="0" applyFont="1" applyFill="1" applyBorder="1" applyAlignment="1">
      <alignment horizontal="center"/>
    </xf>
    <xf numFmtId="1" fontId="0" fillId="29" borderId="25" xfId="0" applyNumberFormat="1" applyFill="1" applyBorder="1" applyAlignment="1">
      <alignment horizontal="center"/>
    </xf>
    <xf numFmtId="1" fontId="0" fillId="29" borderId="10" xfId="0" applyNumberFormat="1" applyFill="1" applyBorder="1" applyAlignment="1">
      <alignment horizontal="center"/>
    </xf>
    <xf numFmtId="168" fontId="0" fillId="29" borderId="23" xfId="0" applyNumberFormat="1" applyFill="1" applyBorder="1" applyAlignment="1">
      <alignment horizontal="center"/>
    </xf>
    <xf numFmtId="168" fontId="0" fillId="29" borderId="0" xfId="0" applyNumberFormat="1" applyFill="1" applyBorder="1" applyAlignment="1">
      <alignment horizontal="center"/>
    </xf>
    <xf numFmtId="0" fontId="29" fillId="0" borderId="17" xfId="0" applyFont="1" applyFill="1" applyBorder="1" applyAlignment="1">
      <alignment horizontal="center"/>
    </xf>
    <xf numFmtId="0" fontId="29" fillId="0" borderId="20" xfId="0" applyFont="1" applyFill="1" applyBorder="1" applyAlignment="1">
      <alignment horizontal="center"/>
    </xf>
    <xf numFmtId="0" fontId="34" fillId="0" borderId="19" xfId="0" applyFont="1" applyFill="1" applyBorder="1" applyAlignment="1">
      <alignment horizontal="left"/>
    </xf>
    <xf numFmtId="1" fontId="0" fillId="0" borderId="0" xfId="0" applyNumberFormat="1" applyFont="1" applyFill="1" applyBorder="1"/>
    <xf numFmtId="168" fontId="0" fillId="0" borderId="0" xfId="0" applyNumberFormat="1" applyBorder="1"/>
    <xf numFmtId="171" fontId="0" fillId="0" borderId="0" xfId="37" applyNumberFormat="1" applyFont="1"/>
    <xf numFmtId="0" fontId="24" fillId="27" borderId="0" xfId="0" applyFont="1" applyFill="1" applyBorder="1"/>
    <xf numFmtId="168" fontId="0" fillId="29" borderId="11" xfId="0" applyNumberFormat="1" applyFill="1" applyBorder="1"/>
    <xf numFmtId="0" fontId="24" fillId="27" borderId="23" xfId="0" applyFont="1" applyFill="1" applyBorder="1"/>
    <xf numFmtId="44" fontId="27" fillId="28" borderId="40" xfId="32" applyFont="1" applyFill="1" applyBorder="1"/>
    <xf numFmtId="44" fontId="27" fillId="28" borderId="32" xfId="32" applyFont="1" applyFill="1" applyBorder="1"/>
    <xf numFmtId="44" fontId="27" fillId="28" borderId="33" xfId="32" applyFont="1" applyFill="1" applyBorder="1"/>
    <xf numFmtId="172" fontId="24" fillId="26" borderId="12" xfId="0" applyNumberFormat="1" applyFont="1" applyFill="1" applyBorder="1"/>
    <xf numFmtId="168" fontId="24" fillId="26" borderId="45" xfId="32" applyNumberFormat="1" applyFont="1" applyFill="1" applyBorder="1"/>
    <xf numFmtId="0" fontId="0" fillId="0" borderId="32" xfId="0" applyFill="1" applyBorder="1"/>
    <xf numFmtId="0" fontId="29" fillId="0" borderId="44" xfId="0" applyFont="1" applyFill="1" applyBorder="1" applyAlignment="1">
      <alignment horizontal="center"/>
    </xf>
    <xf numFmtId="1" fontId="0" fillId="0" borderId="32" xfId="0" applyNumberFormat="1" applyFill="1" applyBorder="1"/>
    <xf numFmtId="1" fontId="24" fillId="0" borderId="32" xfId="0" applyNumberFormat="1" applyFont="1" applyFill="1" applyBorder="1"/>
    <xf numFmtId="1" fontId="24" fillId="0" borderId="45" xfId="0" applyNumberFormat="1" applyFont="1" applyFill="1" applyBorder="1"/>
    <xf numFmtId="0" fontId="0" fillId="0" borderId="32" xfId="0" applyBorder="1"/>
    <xf numFmtId="1" fontId="34" fillId="0" borderId="19" xfId="0" applyNumberFormat="1" applyFont="1" applyFill="1" applyBorder="1" applyAlignment="1"/>
    <xf numFmtId="1" fontId="0" fillId="0" borderId="0" xfId="0" applyNumberFormat="1" applyFill="1" applyBorder="1" applyAlignment="1"/>
    <xf numFmtId="1" fontId="0" fillId="0" borderId="0" xfId="0" applyNumberFormat="1" applyFont="1" applyFill="1" applyBorder="1" applyAlignment="1"/>
    <xf numFmtId="0" fontId="23" fillId="26" borderId="32" xfId="32" applyNumberFormat="1" applyFont="1" applyFill="1" applyBorder="1"/>
    <xf numFmtId="0" fontId="0" fillId="26" borderId="0" xfId="0" applyNumberFormat="1" applyFont="1" applyFill="1" applyBorder="1"/>
    <xf numFmtId="0" fontId="27" fillId="30" borderId="23" xfId="0" applyNumberFormat="1" applyFont="1" applyFill="1" applyBorder="1" applyAlignment="1">
      <alignment horizontal="center"/>
    </xf>
    <xf numFmtId="0" fontId="27" fillId="30" borderId="0" xfId="0" applyNumberFormat="1" applyFont="1" applyFill="1" applyBorder="1" applyAlignment="1">
      <alignment horizontal="center"/>
    </xf>
    <xf numFmtId="168" fontId="0" fillId="29" borderId="30" xfId="0" applyNumberFormat="1" applyFill="1" applyBorder="1"/>
    <xf numFmtId="1" fontId="0" fillId="29" borderId="31" xfId="0" applyNumberFormat="1" applyFill="1" applyBorder="1" applyAlignment="1">
      <alignment horizontal="center"/>
    </xf>
    <xf numFmtId="0" fontId="27" fillId="30" borderId="30" xfId="0" applyNumberFormat="1" applyFont="1" applyFill="1" applyBorder="1" applyAlignment="1">
      <alignment horizontal="center"/>
    </xf>
    <xf numFmtId="0" fontId="27" fillId="28" borderId="30" xfId="0" applyNumberFormat="1" applyFont="1" applyFill="1" applyBorder="1" applyAlignment="1">
      <alignment horizontal="center"/>
    </xf>
    <xf numFmtId="168" fontId="27" fillId="28" borderId="40" xfId="32" applyNumberFormat="1" applyFont="1" applyFill="1" applyBorder="1" applyAlignment="1">
      <alignment horizontal="center"/>
    </xf>
    <xf numFmtId="168" fontId="27" fillId="28" borderId="32" xfId="32" applyNumberFormat="1" applyFont="1" applyFill="1" applyBorder="1" applyAlignment="1">
      <alignment horizontal="center"/>
    </xf>
    <xf numFmtId="168" fontId="27" fillId="28" borderId="33" xfId="32" applyNumberFormat="1" applyFont="1" applyFill="1" applyBorder="1" applyAlignment="1">
      <alignment horizontal="center"/>
    </xf>
    <xf numFmtId="168" fontId="27" fillId="28" borderId="11" xfId="32" applyNumberFormat="1" applyFont="1" applyFill="1" applyBorder="1" applyAlignment="1">
      <alignment horizontal="center"/>
    </xf>
    <xf numFmtId="168" fontId="0" fillId="28" borderId="25" xfId="32" applyNumberFormat="1" applyFont="1" applyFill="1" applyBorder="1" applyAlignment="1">
      <alignment horizontal="center"/>
    </xf>
    <xf numFmtId="168" fontId="0" fillId="28" borderId="10" xfId="32" applyNumberFormat="1" applyFont="1" applyFill="1" applyBorder="1" applyAlignment="1">
      <alignment horizontal="center"/>
    </xf>
    <xf numFmtId="168" fontId="27" fillId="28" borderId="31" xfId="32" applyNumberFormat="1" applyFont="1" applyFill="1" applyBorder="1" applyAlignment="1">
      <alignment horizontal="center"/>
    </xf>
    <xf numFmtId="0" fontId="0" fillId="25" borderId="9" xfId="0" applyFill="1" applyBorder="1"/>
    <xf numFmtId="168" fontId="35" fillId="30" borderId="11" xfId="0" applyNumberFormat="1" applyFont="1" applyFill="1" applyBorder="1"/>
    <xf numFmtId="0" fontId="35" fillId="30" borderId="30" xfId="0" applyNumberFormat="1" applyFont="1" applyFill="1" applyBorder="1" applyAlignment="1">
      <alignment horizontal="center"/>
    </xf>
    <xf numFmtId="168" fontId="35" fillId="30" borderId="30" xfId="0" applyNumberFormat="1" applyFont="1" applyFill="1" applyBorder="1"/>
    <xf numFmtId="1" fontId="35" fillId="30" borderId="30" xfId="0" applyNumberFormat="1" applyFont="1" applyFill="1" applyBorder="1" applyAlignment="1">
      <alignment horizontal="center"/>
    </xf>
    <xf numFmtId="168" fontId="35" fillId="30" borderId="31" xfId="0" applyNumberFormat="1" applyFont="1" applyFill="1" applyBorder="1"/>
    <xf numFmtId="44" fontId="35" fillId="28" borderId="11" xfId="32" applyFont="1" applyFill="1" applyBorder="1"/>
    <xf numFmtId="0" fontId="35" fillId="28" borderId="30" xfId="0" applyNumberFormat="1" applyFont="1" applyFill="1" applyBorder="1"/>
    <xf numFmtId="168" fontId="35" fillId="28" borderId="30" xfId="0" applyNumberFormat="1" applyFont="1" applyFill="1" applyBorder="1"/>
    <xf numFmtId="1" fontId="35" fillId="28" borderId="30" xfId="0" applyNumberFormat="1" applyFont="1" applyFill="1" applyBorder="1" applyAlignment="1">
      <alignment horizontal="center"/>
    </xf>
    <xf numFmtId="1" fontId="34" fillId="0" borderId="19" xfId="0" applyNumberFormat="1" applyFont="1" applyFill="1" applyBorder="1" applyAlignment="1">
      <alignment horizontal="center"/>
    </xf>
    <xf numFmtId="6" fontId="0" fillId="28" borderId="23" xfId="0" applyNumberFormat="1" applyFill="1" applyBorder="1" applyAlignment="1">
      <alignment horizontal="center"/>
    </xf>
    <xf numFmtId="6" fontId="0" fillId="28" borderId="0" xfId="0" applyNumberFormat="1" applyFill="1" applyBorder="1" applyAlignment="1">
      <alignment horizontal="center"/>
    </xf>
    <xf numFmtId="0" fontId="36" fillId="33" borderId="0" xfId="0" applyFont="1" applyFill="1"/>
    <xf numFmtId="14" fontId="36" fillId="33" borderId="0" xfId="0" applyNumberFormat="1" applyFont="1" applyFill="1"/>
    <xf numFmtId="168" fontId="0" fillId="28" borderId="16" xfId="32" applyNumberFormat="1" applyFont="1" applyFill="1" applyBorder="1" applyAlignment="1">
      <alignment horizontal="center"/>
    </xf>
    <xf numFmtId="168" fontId="35" fillId="28" borderId="31" xfId="32" applyNumberFormat="1" applyFont="1" applyFill="1" applyBorder="1" applyAlignment="1">
      <alignment horizontal="center"/>
    </xf>
    <xf numFmtId="168" fontId="27" fillId="30" borderId="23" xfId="0" applyNumberFormat="1" applyFont="1" applyFill="1" applyBorder="1" applyAlignment="1">
      <alignment horizontal="center"/>
    </xf>
    <xf numFmtId="168" fontId="27" fillId="30" borderId="0" xfId="0" applyNumberFormat="1" applyFont="1" applyFill="1" applyBorder="1" applyAlignment="1">
      <alignment horizontal="center"/>
    </xf>
    <xf numFmtId="10" fontId="0" fillId="0" borderId="0" xfId="37" applyNumberFormat="1" applyFont="1"/>
    <xf numFmtId="1" fontId="0" fillId="0" borderId="0" xfId="0" applyNumberFormat="1" applyBorder="1"/>
    <xf numFmtId="0" fontId="0" fillId="0" borderId="40" xfId="0" applyBorder="1"/>
    <xf numFmtId="0" fontId="24" fillId="0" borderId="23" xfId="0" applyFont="1" applyBorder="1" applyAlignment="1">
      <alignment horizontal="center"/>
    </xf>
    <xf numFmtId="0" fontId="24" fillId="0" borderId="32" xfId="0" applyFont="1" applyBorder="1" applyAlignment="1">
      <alignment horizontal="right"/>
    </xf>
    <xf numFmtId="1" fontId="24" fillId="0" borderId="10" xfId="0" applyNumberFormat="1" applyFont="1" applyBorder="1"/>
    <xf numFmtId="0" fontId="24" fillId="0" borderId="33" xfId="0" applyFont="1" applyFill="1" applyBorder="1" applyAlignment="1">
      <alignment horizontal="right"/>
    </xf>
    <xf numFmtId="1" fontId="24" fillId="0" borderId="36" xfId="0" applyNumberFormat="1" applyFont="1" applyFill="1" applyBorder="1"/>
    <xf numFmtId="0" fontId="24" fillId="0" borderId="36" xfId="0" applyFont="1" applyBorder="1"/>
    <xf numFmtId="1" fontId="24" fillId="0" borderId="36" xfId="0" applyNumberFormat="1" applyFont="1" applyBorder="1" applyAlignment="1">
      <alignment horizontal="right"/>
    </xf>
    <xf numFmtId="1" fontId="24" fillId="0" borderId="16" xfId="0" applyNumberFormat="1" applyFont="1" applyBorder="1" applyAlignment="1">
      <alignment horizontal="right"/>
    </xf>
    <xf numFmtId="0" fontId="24" fillId="0" borderId="40" xfId="0" applyFont="1" applyBorder="1" applyAlignment="1">
      <alignment horizontal="right"/>
    </xf>
    <xf numFmtId="1" fontId="0" fillId="0" borderId="23" xfId="0" applyNumberFormat="1" applyBorder="1"/>
    <xf numFmtId="0" fontId="0" fillId="0" borderId="23" xfId="0" applyBorder="1"/>
    <xf numFmtId="1" fontId="0" fillId="0" borderId="23" xfId="0" applyNumberFormat="1" applyFill="1" applyBorder="1"/>
    <xf numFmtId="1" fontId="24" fillId="0" borderId="25" xfId="0" applyNumberFormat="1" applyFont="1" applyBorder="1"/>
    <xf numFmtId="0" fontId="24" fillId="0" borderId="33" xfId="0" applyFont="1" applyBorder="1"/>
    <xf numFmtId="0" fontId="24" fillId="0" borderId="36" xfId="0" applyFont="1" applyFill="1" applyBorder="1"/>
    <xf numFmtId="0" fontId="24" fillId="0" borderId="36" xfId="0" applyFont="1" applyFill="1" applyBorder="1" applyAlignment="1">
      <alignment horizontal="center"/>
    </xf>
    <xf numFmtId="0" fontId="24" fillId="0" borderId="16" xfId="0" applyFont="1" applyFill="1" applyBorder="1" applyAlignment="1">
      <alignment horizontal="center"/>
    </xf>
    <xf numFmtId="0" fontId="24" fillId="0" borderId="16" xfId="0" applyFont="1" applyBorder="1"/>
    <xf numFmtId="1" fontId="0" fillId="0" borderId="40" xfId="0" applyNumberFormat="1" applyBorder="1"/>
    <xf numFmtId="1" fontId="0" fillId="0" borderId="32" xfId="0" applyNumberFormat="1" applyBorder="1"/>
    <xf numFmtId="1" fontId="24" fillId="0" borderId="33" xfId="0" applyNumberFormat="1" applyFont="1" applyFill="1" applyBorder="1"/>
    <xf numFmtId="1" fontId="24" fillId="0" borderId="16" xfId="0" applyNumberFormat="1" applyFont="1" applyFill="1" applyBorder="1"/>
    <xf numFmtId="0" fontId="24" fillId="0" borderId="16" xfId="0" applyFont="1" applyFill="1" applyBorder="1"/>
    <xf numFmtId="1" fontId="0" fillId="0" borderId="40" xfId="0" applyNumberFormat="1" applyFill="1" applyBorder="1"/>
    <xf numFmtId="1" fontId="0" fillId="0" borderId="25" xfId="0" applyNumberFormat="1" applyBorder="1"/>
    <xf numFmtId="1" fontId="0" fillId="0" borderId="10" xfId="0" applyNumberFormat="1" applyBorder="1"/>
    <xf numFmtId="1" fontId="24" fillId="0" borderId="33" xfId="0" applyNumberFormat="1" applyFont="1" applyBorder="1" applyAlignment="1">
      <alignment horizontal="right"/>
    </xf>
    <xf numFmtId="0" fontId="24" fillId="0" borderId="33" xfId="0" applyFont="1" applyFill="1" applyBorder="1" applyAlignment="1">
      <alignment horizontal="center"/>
    </xf>
    <xf numFmtId="0" fontId="28" fillId="0" borderId="14" xfId="0" applyFont="1" applyFill="1" applyBorder="1" applyAlignment="1">
      <alignment horizontal="right"/>
    </xf>
    <xf numFmtId="0" fontId="29" fillId="0" borderId="42" xfId="0" applyFont="1" applyFill="1" applyBorder="1" applyAlignment="1">
      <alignment horizontal="right"/>
    </xf>
    <xf numFmtId="0" fontId="28" fillId="0" borderId="40" xfId="0" applyFont="1" applyFill="1" applyBorder="1" applyAlignment="1">
      <alignment horizontal="right"/>
    </xf>
    <xf numFmtId="0" fontId="27" fillId="30" borderId="40" xfId="0" applyNumberFormat="1" applyFont="1" applyFill="1" applyBorder="1" applyAlignment="1">
      <alignment horizontal="center"/>
    </xf>
    <xf numFmtId="0" fontId="27" fillId="30" borderId="32" xfId="0" applyNumberFormat="1" applyFont="1" applyFill="1" applyBorder="1" applyAlignment="1">
      <alignment horizontal="center"/>
    </xf>
    <xf numFmtId="0" fontId="27" fillId="30" borderId="33" xfId="0" applyNumberFormat="1" applyFont="1" applyFill="1" applyBorder="1" applyAlignment="1">
      <alignment horizontal="center"/>
    </xf>
    <xf numFmtId="0" fontId="27" fillId="30" borderId="36" xfId="0" applyNumberFormat="1" applyFont="1" applyFill="1" applyBorder="1" applyAlignment="1">
      <alignment horizontal="center"/>
    </xf>
    <xf numFmtId="168" fontId="27" fillId="30" borderId="16" xfId="0" applyNumberFormat="1" applyFont="1" applyFill="1" applyBorder="1" applyAlignment="1">
      <alignment horizontal="center"/>
    </xf>
    <xf numFmtId="0" fontId="0" fillId="28" borderId="40" xfId="0" applyNumberFormat="1" applyFill="1" applyBorder="1" applyAlignment="1"/>
    <xf numFmtId="0" fontId="0" fillId="28" borderId="23" xfId="0" applyNumberFormat="1" applyFill="1" applyBorder="1" applyAlignment="1"/>
    <xf numFmtId="0" fontId="0" fillId="28" borderId="32" xfId="0" applyNumberFormat="1" applyFill="1" applyBorder="1" applyAlignment="1"/>
    <xf numFmtId="0" fontId="0" fillId="28" borderId="0" xfId="0" applyNumberFormat="1" applyFill="1" applyBorder="1" applyAlignment="1"/>
    <xf numFmtId="0" fontId="0" fillId="28" borderId="33" xfId="0" applyNumberFormat="1" applyFill="1" applyBorder="1" applyAlignment="1"/>
    <xf numFmtId="0" fontId="0" fillId="28" borderId="36" xfId="0" applyNumberFormat="1" applyFill="1" applyBorder="1" applyAlignment="1"/>
    <xf numFmtId="0" fontId="35" fillId="28" borderId="30" xfId="0" applyNumberFormat="1" applyFont="1" applyFill="1" applyBorder="1" applyAlignment="1">
      <alignment horizontal="center"/>
    </xf>
    <xf numFmtId="0" fontId="25" fillId="29" borderId="14" xfId="0" applyFont="1" applyFill="1" applyBorder="1" applyAlignment="1"/>
    <xf numFmtId="0" fontId="28" fillId="29" borderId="32" xfId="0" applyFont="1" applyFill="1" applyBorder="1"/>
    <xf numFmtId="44" fontId="0" fillId="29" borderId="40" xfId="0" applyNumberFormat="1" applyFill="1" applyBorder="1"/>
    <xf numFmtId="168" fontId="0" fillId="29" borderId="23" xfId="0" applyNumberFormat="1" applyFill="1" applyBorder="1"/>
    <xf numFmtId="0" fontId="0" fillId="29" borderId="25" xfId="0" applyFill="1" applyBorder="1"/>
    <xf numFmtId="44" fontId="0" fillId="29" borderId="32" xfId="0" applyNumberFormat="1" applyFill="1" applyBorder="1"/>
    <xf numFmtId="168" fontId="0" fillId="29" borderId="0" xfId="0" applyNumberFormat="1" applyFill="1" applyBorder="1"/>
    <xf numFmtId="0" fontId="0" fillId="29" borderId="10" xfId="0" applyFill="1" applyBorder="1"/>
    <xf numFmtId="0" fontId="0" fillId="29" borderId="0" xfId="0" applyFill="1" applyBorder="1"/>
    <xf numFmtId="0" fontId="28" fillId="29" borderId="33" xfId="0" applyFont="1" applyFill="1" applyBorder="1"/>
    <xf numFmtId="44" fontId="0" fillId="29" borderId="33" xfId="0" applyNumberFormat="1" applyFill="1" applyBorder="1"/>
    <xf numFmtId="0" fontId="0" fillId="29" borderId="36" xfId="0" applyFill="1" applyBorder="1"/>
    <xf numFmtId="0" fontId="0" fillId="29" borderId="16" xfId="0" applyFill="1" applyBorder="1"/>
    <xf numFmtId="0" fontId="28" fillId="29" borderId="14" xfId="0" applyFont="1" applyFill="1" applyBorder="1" applyAlignment="1">
      <alignment horizontal="right"/>
    </xf>
    <xf numFmtId="0" fontId="0" fillId="29" borderId="11" xfId="0" applyFill="1" applyBorder="1"/>
    <xf numFmtId="0" fontId="0" fillId="29" borderId="30" xfId="0" applyFill="1" applyBorder="1"/>
    <xf numFmtId="0" fontId="0" fillId="29" borderId="11" xfId="0" applyFill="1" applyBorder="1" applyAlignment="1">
      <alignment horizontal="center"/>
    </xf>
    <xf numFmtId="0" fontId="0" fillId="29" borderId="30" xfId="0" applyFill="1" applyBorder="1" applyAlignment="1">
      <alignment horizontal="center"/>
    </xf>
    <xf numFmtId="0" fontId="0" fillId="29" borderId="32" xfId="0" applyFill="1" applyBorder="1"/>
    <xf numFmtId="0" fontId="0" fillId="29" borderId="33" xfId="0" applyFill="1" applyBorder="1"/>
    <xf numFmtId="168" fontId="0" fillId="29" borderId="14" xfId="0" applyNumberFormat="1" applyFill="1" applyBorder="1"/>
    <xf numFmtId="168" fontId="0" fillId="29" borderId="15" xfId="0" applyNumberFormat="1" applyFill="1" applyBorder="1"/>
    <xf numFmtId="168" fontId="0" fillId="29" borderId="42" xfId="0" applyNumberFormat="1" applyFill="1" applyBorder="1"/>
    <xf numFmtId="0" fontId="0" fillId="29" borderId="9" xfId="0" applyFill="1" applyBorder="1"/>
    <xf numFmtId="168" fontId="35" fillId="30" borderId="14" xfId="0" applyNumberFormat="1" applyFont="1" applyFill="1" applyBorder="1"/>
    <xf numFmtId="0" fontId="24" fillId="29" borderId="15" xfId="0" applyFont="1" applyFill="1" applyBorder="1"/>
    <xf numFmtId="0" fontId="29" fillId="0" borderId="0" xfId="0" applyFont="1" applyFill="1" applyBorder="1" applyAlignment="1">
      <alignment horizontal="right"/>
    </xf>
    <xf numFmtId="0" fontId="24" fillId="25" borderId="30" xfId="0" applyFont="1" applyFill="1" applyBorder="1" applyAlignment="1">
      <alignment horizontal="center" wrapText="1"/>
    </xf>
    <xf numFmtId="0" fontId="24" fillId="25" borderId="31" xfId="0" applyFont="1" applyFill="1" applyBorder="1" applyAlignment="1">
      <alignment horizontal="center" wrapText="1"/>
    </xf>
    <xf numFmtId="168" fontId="24" fillId="25" borderId="14" xfId="32" applyNumberFormat="1" applyFont="1" applyFill="1" applyBorder="1"/>
    <xf numFmtId="171" fontId="0" fillId="25" borderId="25" xfId="37" applyNumberFormat="1" applyFont="1" applyFill="1" applyBorder="1"/>
    <xf numFmtId="168" fontId="24" fillId="25" borderId="15" xfId="32" applyNumberFormat="1" applyFont="1" applyFill="1" applyBorder="1"/>
    <xf numFmtId="171" fontId="0" fillId="25" borderId="10" xfId="37" applyNumberFormat="1" applyFont="1" applyFill="1" applyBorder="1"/>
    <xf numFmtId="168" fontId="24" fillId="25" borderId="42" xfId="32" applyNumberFormat="1" applyFont="1" applyFill="1" applyBorder="1"/>
    <xf numFmtId="171" fontId="0" fillId="25" borderId="16" xfId="37" applyNumberFormat="1" applyFont="1" applyFill="1" applyBorder="1"/>
    <xf numFmtId="168" fontId="24" fillId="25" borderId="42" xfId="0" applyNumberFormat="1" applyFont="1" applyFill="1" applyBorder="1"/>
    <xf numFmtId="0" fontId="0" fillId="25" borderId="13" xfId="0" applyFill="1" applyBorder="1"/>
    <xf numFmtId="0" fontId="24" fillId="25" borderId="0" xfId="0" applyFont="1" applyFill="1" applyBorder="1"/>
    <xf numFmtId="44" fontId="0" fillId="29" borderId="11" xfId="0" applyNumberFormat="1" applyFill="1" applyBorder="1"/>
    <xf numFmtId="44" fontId="0" fillId="29" borderId="30" xfId="0" applyNumberFormat="1" applyFill="1" applyBorder="1"/>
    <xf numFmtId="0" fontId="24" fillId="30" borderId="0" xfId="0" applyFont="1" applyFill="1" applyBorder="1"/>
    <xf numFmtId="0" fontId="24" fillId="30" borderId="32" xfId="0" applyFont="1" applyFill="1" applyBorder="1"/>
    <xf numFmtId="0" fontId="0" fillId="30" borderId="21" xfId="0" applyFill="1" applyBorder="1"/>
    <xf numFmtId="0" fontId="0" fillId="34" borderId="13" xfId="0" applyFill="1" applyBorder="1"/>
    <xf numFmtId="0" fontId="24" fillId="34" borderId="0" xfId="0" applyFont="1" applyFill="1" applyBorder="1"/>
    <xf numFmtId="0" fontId="29" fillId="34" borderId="0" xfId="0" applyFont="1" applyFill="1" applyBorder="1" applyAlignment="1">
      <alignment horizontal="center"/>
    </xf>
    <xf numFmtId="0" fontId="24" fillId="34" borderId="32" xfId="0" applyFont="1" applyFill="1" applyBorder="1"/>
    <xf numFmtId="0" fontId="0" fillId="34" borderId="21" xfId="0" applyFill="1" applyBorder="1"/>
    <xf numFmtId="0" fontId="24" fillId="34" borderId="21" xfId="0" applyFont="1" applyFill="1" applyBorder="1"/>
    <xf numFmtId="168" fontId="24" fillId="30" borderId="0" xfId="32" applyNumberFormat="1" applyFont="1" applyFill="1" applyBorder="1"/>
    <xf numFmtId="168" fontId="24" fillId="30" borderId="32" xfId="0" applyNumberFormat="1" applyFont="1" applyFill="1" applyBorder="1"/>
    <xf numFmtId="168" fontId="24" fillId="30" borderId="0" xfId="0" applyNumberFormat="1" applyFont="1" applyFill="1" applyBorder="1"/>
    <xf numFmtId="0" fontId="0" fillId="30" borderId="32" xfId="0" applyFill="1" applyBorder="1"/>
    <xf numFmtId="168" fontId="23" fillId="30" borderId="0" xfId="32" applyNumberFormat="1" applyFont="1" applyFill="1" applyBorder="1"/>
    <xf numFmtId="168" fontId="0" fillId="30" borderId="32" xfId="0" applyNumberFormat="1" applyFill="1" applyBorder="1"/>
    <xf numFmtId="168" fontId="0" fillId="30" borderId="0" xfId="0" applyNumberFormat="1" applyFill="1" applyBorder="1"/>
    <xf numFmtId="0" fontId="24" fillId="30" borderId="33" xfId="0" applyFont="1" applyFill="1" applyBorder="1" applyAlignment="1">
      <alignment wrapText="1"/>
    </xf>
    <xf numFmtId="168" fontId="24" fillId="30" borderId="36" xfId="32" applyNumberFormat="1" applyFont="1" applyFill="1" applyBorder="1"/>
    <xf numFmtId="168" fontId="24" fillId="30" borderId="33" xfId="0" applyNumberFormat="1" applyFont="1" applyFill="1" applyBorder="1"/>
    <xf numFmtId="168" fontId="24" fillId="30" borderId="36" xfId="0" applyNumberFormat="1" applyFont="1" applyFill="1" applyBorder="1"/>
    <xf numFmtId="9" fontId="23" fillId="30" borderId="0" xfId="37" applyFont="1" applyFill="1" applyBorder="1"/>
    <xf numFmtId="9" fontId="23" fillId="30" borderId="32" xfId="37" applyFont="1" applyFill="1" applyBorder="1"/>
    <xf numFmtId="0" fontId="0" fillId="30" borderId="0" xfId="0" applyFill="1" applyBorder="1"/>
    <xf numFmtId="171" fontId="0" fillId="30" borderId="21" xfId="37" applyNumberFormat="1" applyFont="1" applyFill="1" applyBorder="1"/>
    <xf numFmtId="1" fontId="24" fillId="30" borderId="23" xfId="32" applyNumberFormat="1" applyFont="1" applyFill="1" applyBorder="1"/>
    <xf numFmtId="168" fontId="24" fillId="30" borderId="40" xfId="0" applyNumberFormat="1" applyFont="1" applyFill="1" applyBorder="1"/>
    <xf numFmtId="168" fontId="24" fillId="30" borderId="23" xfId="0" applyNumberFormat="1" applyFont="1" applyFill="1" applyBorder="1"/>
    <xf numFmtId="0" fontId="0" fillId="31" borderId="32" xfId="0" applyFill="1" applyBorder="1"/>
    <xf numFmtId="0" fontId="24" fillId="31" borderId="32" xfId="0" applyFont="1" applyFill="1" applyBorder="1"/>
    <xf numFmtId="168" fontId="24" fillId="31" borderId="0" xfId="32" applyNumberFormat="1" applyFont="1" applyFill="1" applyBorder="1"/>
    <xf numFmtId="168" fontId="24" fillId="31" borderId="32" xfId="0" applyNumberFormat="1" applyFont="1" applyFill="1" applyBorder="1"/>
    <xf numFmtId="168" fontId="24" fillId="31" borderId="0" xfId="0" applyNumberFormat="1" applyFont="1" applyFill="1" applyBorder="1"/>
    <xf numFmtId="168" fontId="23" fillId="31" borderId="0" xfId="32" applyNumberFormat="1" applyFont="1" applyFill="1" applyBorder="1"/>
    <xf numFmtId="168" fontId="0" fillId="31" borderId="32" xfId="0" applyNumberFormat="1" applyFill="1" applyBorder="1"/>
    <xf numFmtId="168" fontId="0" fillId="31" borderId="0" xfId="0" applyNumberFormat="1" applyFill="1" applyBorder="1"/>
    <xf numFmtId="0" fontId="24" fillId="31" borderId="33" xfId="0" applyFont="1" applyFill="1" applyBorder="1" applyAlignment="1">
      <alignment wrapText="1"/>
    </xf>
    <xf numFmtId="168" fontId="24" fillId="31" borderId="36" xfId="32" applyNumberFormat="1" applyFont="1" applyFill="1" applyBorder="1"/>
    <xf numFmtId="168" fontId="24" fillId="31" borderId="33" xfId="0" applyNumberFormat="1" applyFont="1" applyFill="1" applyBorder="1"/>
    <xf numFmtId="168" fontId="24" fillId="31" borderId="36" xfId="0" applyNumberFormat="1" applyFont="1" applyFill="1" applyBorder="1"/>
    <xf numFmtId="9" fontId="23" fillId="31" borderId="0" xfId="37" applyFont="1" applyFill="1" applyBorder="1"/>
    <xf numFmtId="9" fontId="23" fillId="31" borderId="32" xfId="37" applyFont="1" applyFill="1" applyBorder="1"/>
    <xf numFmtId="0" fontId="0" fillId="31" borderId="0" xfId="0" applyFill="1" applyBorder="1"/>
    <xf numFmtId="171" fontId="0" fillId="31" borderId="21" xfId="37" applyNumberFormat="1" applyFont="1" applyFill="1" applyBorder="1"/>
    <xf numFmtId="0" fontId="24" fillId="31" borderId="0" xfId="0" applyFont="1" applyFill="1" applyBorder="1"/>
    <xf numFmtId="1" fontId="24" fillId="31" borderId="23" xfId="32" applyNumberFormat="1" applyFont="1" applyFill="1" applyBorder="1"/>
    <xf numFmtId="168" fontId="24" fillId="31" borderId="40" xfId="0" applyNumberFormat="1" applyFont="1" applyFill="1" applyBorder="1"/>
    <xf numFmtId="168" fontId="24" fillId="31" borderId="23" xfId="0" applyNumberFormat="1" applyFont="1" applyFill="1" applyBorder="1"/>
    <xf numFmtId="171" fontId="24" fillId="31" borderId="21" xfId="37" applyNumberFormat="1" applyFont="1" applyFill="1" applyBorder="1"/>
    <xf numFmtId="171" fontId="24" fillId="31" borderId="41" xfId="37" applyNumberFormat="1" applyFont="1" applyFill="1" applyBorder="1"/>
    <xf numFmtId="0" fontId="24" fillId="31" borderId="11" xfId="0" applyFont="1" applyFill="1" applyBorder="1" applyAlignment="1">
      <alignment wrapText="1"/>
    </xf>
    <xf numFmtId="168" fontId="24" fillId="31" borderId="30" xfId="32" applyNumberFormat="1" applyFont="1" applyFill="1" applyBorder="1"/>
    <xf numFmtId="168" fontId="24" fillId="31" borderId="11" xfId="0" applyNumberFormat="1" applyFont="1" applyFill="1" applyBorder="1"/>
    <xf numFmtId="168" fontId="24" fillId="31" borderId="30" xfId="0" applyNumberFormat="1" applyFont="1" applyFill="1" applyBorder="1"/>
    <xf numFmtId="171" fontId="24" fillId="31" borderId="46" xfId="37" applyNumberFormat="1" applyFont="1" applyFill="1" applyBorder="1"/>
    <xf numFmtId="0" fontId="24" fillId="31" borderId="32" xfId="0" applyFont="1" applyFill="1" applyBorder="1" applyAlignment="1">
      <alignment wrapText="1"/>
    </xf>
    <xf numFmtId="168" fontId="24" fillId="31" borderId="0" xfId="37" applyNumberFormat="1" applyFont="1" applyFill="1" applyBorder="1"/>
    <xf numFmtId="0" fontId="30" fillId="31" borderId="40" xfId="0" applyFont="1" applyFill="1" applyBorder="1"/>
    <xf numFmtId="1" fontId="30" fillId="31" borderId="23" xfId="0" applyNumberFormat="1" applyFont="1" applyFill="1" applyBorder="1"/>
    <xf numFmtId="0" fontId="30" fillId="31" borderId="40" xfId="0" applyNumberFormat="1" applyFont="1" applyFill="1" applyBorder="1" applyAlignment="1">
      <alignment horizontal="center"/>
    </xf>
    <xf numFmtId="0" fontId="30" fillId="31" borderId="23" xfId="0" applyNumberFormat="1" applyFont="1" applyFill="1" applyBorder="1" applyAlignment="1">
      <alignment horizontal="center"/>
    </xf>
    <xf numFmtId="171" fontId="24" fillId="31" borderId="24" xfId="37" applyNumberFormat="1" applyFont="1" applyFill="1" applyBorder="1"/>
    <xf numFmtId="0" fontId="30" fillId="31" borderId="32" xfId="0" applyFont="1" applyFill="1" applyBorder="1"/>
    <xf numFmtId="44" fontId="30" fillId="31" borderId="0" xfId="32" applyFont="1" applyFill="1" applyBorder="1"/>
    <xf numFmtId="0" fontId="30" fillId="31" borderId="32" xfId="0" applyNumberFormat="1" applyFont="1" applyFill="1" applyBorder="1" applyAlignment="1">
      <alignment horizontal="center"/>
    </xf>
    <xf numFmtId="44" fontId="30" fillId="31" borderId="0" xfId="0" applyNumberFormat="1" applyFont="1" applyFill="1" applyBorder="1" applyAlignment="1">
      <alignment horizontal="center"/>
    </xf>
    <xf numFmtId="0" fontId="30" fillId="31" borderId="33" xfId="0" applyFont="1" applyFill="1" applyBorder="1"/>
    <xf numFmtId="168" fontId="30" fillId="31" borderId="36" xfId="32" applyNumberFormat="1" applyFont="1" applyFill="1" applyBorder="1"/>
    <xf numFmtId="168" fontId="30" fillId="31" borderId="33" xfId="0" applyNumberFormat="1" applyFont="1" applyFill="1" applyBorder="1"/>
    <xf numFmtId="168" fontId="30" fillId="31" borderId="36" xfId="0" applyNumberFormat="1" applyFont="1" applyFill="1" applyBorder="1"/>
    <xf numFmtId="0" fontId="0" fillId="31" borderId="23" xfId="0" applyFill="1" applyBorder="1"/>
    <xf numFmtId="0" fontId="0" fillId="31" borderId="23" xfId="0" applyNumberFormat="1" applyFill="1" applyBorder="1"/>
    <xf numFmtId="1" fontId="0" fillId="31" borderId="23" xfId="0" applyNumberFormat="1" applyFill="1" applyBorder="1"/>
    <xf numFmtId="1" fontId="0" fillId="31" borderId="40" xfId="0" applyNumberFormat="1" applyFill="1" applyBorder="1" applyAlignment="1">
      <alignment horizontal="center"/>
    </xf>
    <xf numFmtId="1" fontId="0" fillId="31" borderId="23" xfId="0" applyNumberFormat="1" applyFill="1" applyBorder="1" applyAlignment="1">
      <alignment horizontal="center"/>
    </xf>
    <xf numFmtId="171" fontId="0" fillId="31" borderId="24" xfId="37" applyNumberFormat="1" applyFont="1" applyFill="1" applyBorder="1"/>
    <xf numFmtId="0" fontId="24" fillId="31" borderId="23" xfId="0" applyFont="1" applyFill="1" applyBorder="1"/>
    <xf numFmtId="171" fontId="0" fillId="31" borderId="25" xfId="37" applyNumberFormat="1" applyFont="1" applyFill="1" applyBorder="1"/>
    <xf numFmtId="171" fontId="0" fillId="31" borderId="10" xfId="37" applyNumberFormat="1" applyFont="1" applyFill="1" applyBorder="1"/>
    <xf numFmtId="172" fontId="24" fillId="31" borderId="0" xfId="0" applyNumberFormat="1" applyFont="1" applyFill="1" applyBorder="1"/>
    <xf numFmtId="0" fontId="24" fillId="30" borderId="38" xfId="0" applyFont="1" applyFill="1" applyBorder="1" applyAlignment="1">
      <alignment horizontal="center" wrapText="1"/>
    </xf>
    <xf numFmtId="168" fontId="23" fillId="30" borderId="0" xfId="32" applyNumberFormat="1" applyFont="1" applyFill="1" applyBorder="1" applyAlignment="1">
      <alignment horizontal="center"/>
    </xf>
    <xf numFmtId="168" fontId="31" fillId="30" borderId="32" xfId="32" applyNumberFormat="1" applyFont="1" applyFill="1" applyBorder="1" applyAlignment="1">
      <alignment horizontal="center"/>
    </xf>
    <xf numFmtId="168" fontId="31" fillId="30" borderId="0" xfId="32" applyNumberFormat="1" applyFont="1" applyFill="1" applyBorder="1" applyAlignment="1">
      <alignment horizontal="center"/>
    </xf>
    <xf numFmtId="0" fontId="0" fillId="30" borderId="32" xfId="0" applyFont="1" applyFill="1" applyBorder="1"/>
    <xf numFmtId="9" fontId="0" fillId="30" borderId="21" xfId="37" applyFont="1" applyFill="1" applyBorder="1"/>
    <xf numFmtId="9" fontId="0" fillId="30" borderId="41" xfId="37" applyFont="1" applyFill="1" applyBorder="1"/>
    <xf numFmtId="168" fontId="24" fillId="30" borderId="36" xfId="37" applyNumberFormat="1" applyFont="1" applyFill="1" applyBorder="1"/>
    <xf numFmtId="171" fontId="0" fillId="30" borderId="41" xfId="37" applyNumberFormat="1" applyFont="1" applyFill="1" applyBorder="1"/>
    <xf numFmtId="1" fontId="0" fillId="30" borderId="0" xfId="0" applyNumberFormat="1" applyFill="1" applyBorder="1"/>
    <xf numFmtId="0" fontId="0" fillId="30" borderId="32" xfId="0" applyNumberFormat="1" applyFill="1" applyBorder="1" applyAlignment="1">
      <alignment horizontal="center"/>
    </xf>
    <xf numFmtId="0" fontId="0" fillId="30" borderId="0" xfId="0" applyNumberFormat="1" applyFill="1" applyBorder="1" applyAlignment="1">
      <alignment horizontal="center"/>
    </xf>
    <xf numFmtId="44" fontId="0" fillId="30" borderId="0" xfId="32" applyFont="1" applyFill="1" applyBorder="1"/>
    <xf numFmtId="44" fontId="0" fillId="30" borderId="0" xfId="0" applyNumberFormat="1" applyFill="1" applyBorder="1" applyAlignment="1">
      <alignment horizontal="center"/>
    </xf>
    <xf numFmtId="0" fontId="0" fillId="30" borderId="33" xfId="0" applyFill="1" applyBorder="1"/>
    <xf numFmtId="168" fontId="23" fillId="30" borderId="36" xfId="32" applyNumberFormat="1" applyFont="1" applyFill="1" applyBorder="1"/>
    <xf numFmtId="168" fontId="0" fillId="30" borderId="33" xfId="0" applyNumberFormat="1" applyFill="1" applyBorder="1"/>
    <xf numFmtId="168" fontId="0" fillId="30" borderId="36" xfId="0" applyNumberFormat="1" applyFill="1" applyBorder="1"/>
    <xf numFmtId="0" fontId="24" fillId="30" borderId="25" xfId="0" applyFont="1" applyFill="1" applyBorder="1"/>
    <xf numFmtId="0" fontId="0" fillId="30" borderId="24" xfId="0" applyFill="1" applyBorder="1"/>
    <xf numFmtId="0" fontId="24" fillId="30" borderId="10" xfId="0" applyFont="1" applyFill="1" applyBorder="1"/>
    <xf numFmtId="0" fontId="24" fillId="30" borderId="43" xfId="0" applyFont="1" applyFill="1" applyBorder="1"/>
    <xf numFmtId="168" fontId="24" fillId="30" borderId="12" xfId="32" applyNumberFormat="1" applyFont="1" applyFill="1" applyBorder="1"/>
    <xf numFmtId="168" fontId="24" fillId="30" borderId="45" xfId="0" applyNumberFormat="1" applyFont="1" applyFill="1" applyBorder="1"/>
    <xf numFmtId="172" fontId="24" fillId="30" borderId="12" xfId="0" applyNumberFormat="1" applyFont="1" applyFill="1" applyBorder="1"/>
    <xf numFmtId="0" fontId="0" fillId="30" borderId="27" xfId="0" applyFill="1" applyBorder="1"/>
    <xf numFmtId="0" fontId="0" fillId="32" borderId="13" xfId="0" applyFill="1" applyBorder="1"/>
    <xf numFmtId="0" fontId="0" fillId="32" borderId="0" xfId="0" applyFill="1" applyBorder="1"/>
    <xf numFmtId="168" fontId="23" fillId="32" borderId="0" xfId="32" applyNumberFormat="1" applyFont="1" applyFill="1" applyBorder="1"/>
    <xf numFmtId="168" fontId="0" fillId="32" borderId="32" xfId="0" applyNumberFormat="1" applyFill="1" applyBorder="1"/>
    <xf numFmtId="171" fontId="0" fillId="32" borderId="21" xfId="37" applyNumberFormat="1" applyFont="1" applyFill="1" applyBorder="1"/>
    <xf numFmtId="0" fontId="0" fillId="32" borderId="25" xfId="0" applyFill="1" applyBorder="1"/>
    <xf numFmtId="1" fontId="23" fillId="32" borderId="23" xfId="32" applyNumberFormat="1" applyFont="1" applyFill="1" applyBorder="1"/>
    <xf numFmtId="168" fontId="0" fillId="32" borderId="40" xfId="0" applyNumberFormat="1" applyFill="1" applyBorder="1"/>
    <xf numFmtId="0" fontId="0" fillId="32" borderId="23" xfId="0" applyFill="1" applyBorder="1"/>
    <xf numFmtId="171" fontId="0" fillId="32" borderId="24" xfId="37" applyNumberFormat="1" applyFont="1" applyFill="1" applyBorder="1"/>
    <xf numFmtId="0" fontId="0" fillId="32" borderId="43" xfId="0" applyFill="1" applyBorder="1"/>
    <xf numFmtId="168" fontId="23" fillId="32" borderId="12" xfId="32" applyNumberFormat="1" applyFont="1" applyFill="1" applyBorder="1"/>
    <xf numFmtId="168" fontId="0" fillId="32" borderId="45" xfId="0" applyNumberFormat="1" applyFill="1" applyBorder="1"/>
    <xf numFmtId="172" fontId="0" fillId="32" borderId="12" xfId="0" applyNumberFormat="1" applyFill="1" applyBorder="1"/>
    <xf numFmtId="171" fontId="0" fillId="32" borderId="27" xfId="37" applyNumberFormat="1" applyFont="1" applyFill="1" applyBorder="1"/>
    <xf numFmtId="168" fontId="24" fillId="25" borderId="0" xfId="32" applyNumberFormat="1" applyFont="1" applyFill="1" applyBorder="1"/>
    <xf numFmtId="168" fontId="24" fillId="25" borderId="32" xfId="32" applyNumberFormat="1" applyFont="1" applyFill="1" applyBorder="1"/>
    <xf numFmtId="168" fontId="24" fillId="25" borderId="0" xfId="0" applyNumberFormat="1" applyFont="1" applyFill="1" applyBorder="1"/>
    <xf numFmtId="171" fontId="0" fillId="25" borderId="21" xfId="37" applyNumberFormat="1" applyFont="1" applyFill="1" applyBorder="1"/>
    <xf numFmtId="0" fontId="0" fillId="25" borderId="0" xfId="0" applyFont="1" applyFill="1" applyBorder="1"/>
    <xf numFmtId="1" fontId="23" fillId="25" borderId="0" xfId="32" applyNumberFormat="1" applyFont="1" applyFill="1" applyBorder="1"/>
    <xf numFmtId="1" fontId="24" fillId="25" borderId="32" xfId="32" applyNumberFormat="1" applyFont="1" applyFill="1" applyBorder="1"/>
    <xf numFmtId="1" fontId="24" fillId="25" borderId="0" xfId="0" applyNumberFormat="1" applyFont="1" applyFill="1" applyBorder="1"/>
    <xf numFmtId="44" fontId="23" fillId="25" borderId="0" xfId="32" applyFont="1" applyFill="1" applyBorder="1"/>
    <xf numFmtId="44" fontId="0" fillId="25" borderId="0" xfId="0" applyNumberFormat="1" applyFont="1" applyFill="1" applyBorder="1"/>
    <xf numFmtId="0" fontId="0" fillId="25" borderId="0" xfId="0" applyFill="1" applyBorder="1"/>
    <xf numFmtId="168" fontId="23" fillId="25" borderId="0" xfId="32" applyNumberFormat="1" applyFont="1" applyFill="1" applyBorder="1"/>
    <xf numFmtId="168" fontId="23" fillId="25" borderId="32" xfId="32" applyNumberFormat="1" applyFont="1" applyFill="1" applyBorder="1"/>
    <xf numFmtId="168" fontId="0" fillId="25" borderId="0" xfId="0" applyNumberFormat="1" applyFill="1" applyBorder="1"/>
    <xf numFmtId="0" fontId="0" fillId="25" borderId="21" xfId="37" applyNumberFormat="1" applyFont="1" applyFill="1" applyBorder="1"/>
    <xf numFmtId="0" fontId="24" fillId="25" borderId="0" xfId="0" applyFont="1" applyFill="1" applyBorder="1" applyAlignment="1">
      <alignment wrapText="1"/>
    </xf>
    <xf numFmtId="0" fontId="0" fillId="25" borderId="18" xfId="0" applyFill="1" applyBorder="1"/>
    <xf numFmtId="0" fontId="0" fillId="25" borderId="12" xfId="0" applyFill="1" applyBorder="1"/>
    <xf numFmtId="168" fontId="23" fillId="25" borderId="12" xfId="32" applyNumberFormat="1" applyFont="1" applyFill="1" applyBorder="1"/>
    <xf numFmtId="171" fontId="0" fillId="25" borderId="27" xfId="37" applyNumberFormat="1" applyFont="1" applyFill="1" applyBorder="1"/>
    <xf numFmtId="0" fontId="24" fillId="35" borderId="32" xfId="0" applyFont="1" applyFill="1" applyBorder="1"/>
    <xf numFmtId="168" fontId="24" fillId="35" borderId="0" xfId="32" applyNumberFormat="1" applyFont="1" applyFill="1" applyBorder="1"/>
    <xf numFmtId="168" fontId="24" fillId="35" borderId="32" xfId="32" applyNumberFormat="1" applyFont="1" applyFill="1" applyBorder="1"/>
    <xf numFmtId="168" fontId="24" fillId="35" borderId="0" xfId="0" applyNumberFormat="1" applyFont="1" applyFill="1" applyBorder="1"/>
    <xf numFmtId="9" fontId="24" fillId="35" borderId="21" xfId="37" applyFont="1" applyFill="1" applyBorder="1"/>
    <xf numFmtId="0" fontId="0" fillId="35" borderId="32" xfId="0" applyFill="1" applyBorder="1"/>
    <xf numFmtId="168" fontId="23" fillId="35" borderId="0" xfId="32" applyNumberFormat="1" applyFont="1" applyFill="1" applyBorder="1"/>
    <xf numFmtId="168" fontId="23" fillId="35" borderId="32" xfId="32" applyNumberFormat="1" applyFont="1" applyFill="1" applyBorder="1"/>
    <xf numFmtId="168" fontId="0" fillId="35" borderId="0" xfId="0" applyNumberFormat="1" applyFill="1" applyBorder="1"/>
    <xf numFmtId="0" fontId="24" fillId="35" borderId="33" xfId="0" applyFont="1" applyFill="1" applyBorder="1" applyAlignment="1">
      <alignment wrapText="1"/>
    </xf>
    <xf numFmtId="168" fontId="24" fillId="35" borderId="36" xfId="32" applyNumberFormat="1" applyFont="1" applyFill="1" applyBorder="1"/>
    <xf numFmtId="168" fontId="24" fillId="35" borderId="33" xfId="32" applyNumberFormat="1" applyFont="1" applyFill="1" applyBorder="1"/>
    <xf numFmtId="168" fontId="24" fillId="35" borderId="36" xfId="0" applyNumberFormat="1" applyFont="1" applyFill="1" applyBorder="1"/>
    <xf numFmtId="9" fontId="24" fillId="35" borderId="41" xfId="37" applyFont="1" applyFill="1" applyBorder="1"/>
    <xf numFmtId="0" fontId="24" fillId="35" borderId="32" xfId="0" applyFont="1" applyFill="1" applyBorder="1" applyAlignment="1">
      <alignment wrapText="1"/>
    </xf>
    <xf numFmtId="0" fontId="0" fillId="35" borderId="21" xfId="0" applyFill="1" applyBorder="1"/>
    <xf numFmtId="9" fontId="23" fillId="35" borderId="0" xfId="37" applyFont="1" applyFill="1" applyBorder="1"/>
    <xf numFmtId="9" fontId="23" fillId="35" borderId="32" xfId="37" applyFont="1" applyFill="1" applyBorder="1"/>
    <xf numFmtId="168" fontId="24" fillId="35" borderId="0" xfId="37" applyNumberFormat="1" applyFont="1" applyFill="1" applyBorder="1"/>
    <xf numFmtId="9" fontId="30" fillId="35" borderId="40" xfId="37" applyFont="1" applyFill="1" applyBorder="1"/>
    <xf numFmtId="1" fontId="30" fillId="35" borderId="23" xfId="0" applyNumberFormat="1" applyFont="1" applyFill="1" applyBorder="1" applyAlignment="1">
      <alignment horizontal="center"/>
    </xf>
    <xf numFmtId="0" fontId="30" fillId="35" borderId="23" xfId="0" applyNumberFormat="1" applyFont="1" applyFill="1" applyBorder="1" applyAlignment="1">
      <alignment horizontal="center"/>
    </xf>
    <xf numFmtId="1" fontId="30" fillId="35" borderId="40" xfId="32" applyNumberFormat="1" applyFont="1" applyFill="1" applyBorder="1" applyAlignment="1">
      <alignment horizontal="center"/>
    </xf>
    <xf numFmtId="171" fontId="0" fillId="35" borderId="24" xfId="37" applyNumberFormat="1" applyFont="1" applyFill="1" applyBorder="1"/>
    <xf numFmtId="9" fontId="30" fillId="35" borderId="32" xfId="37" applyFont="1" applyFill="1" applyBorder="1"/>
    <xf numFmtId="172" fontId="30" fillId="35" borderId="0" xfId="0" applyNumberFormat="1" applyFont="1" applyFill="1" applyBorder="1" applyAlignment="1">
      <alignment horizontal="center"/>
    </xf>
    <xf numFmtId="172" fontId="30" fillId="35" borderId="32" xfId="32" applyNumberFormat="1" applyFont="1" applyFill="1" applyBorder="1" applyAlignment="1">
      <alignment horizontal="center"/>
    </xf>
    <xf numFmtId="44" fontId="30" fillId="35" borderId="0" xfId="32" applyFont="1" applyFill="1" applyBorder="1" applyAlignment="1">
      <alignment horizontal="center"/>
    </xf>
    <xf numFmtId="171" fontId="0" fillId="35" borderId="21" xfId="37" applyNumberFormat="1" applyFont="1" applyFill="1" applyBorder="1"/>
    <xf numFmtId="9" fontId="30" fillId="35" borderId="33" xfId="37" applyFont="1" applyFill="1" applyBorder="1"/>
    <xf numFmtId="168" fontId="30" fillId="35" borderId="36" xfId="32" applyNumberFormat="1" applyFont="1" applyFill="1" applyBorder="1" applyAlignment="1">
      <alignment horizontal="center"/>
    </xf>
    <xf numFmtId="168" fontId="30" fillId="35" borderId="33" xfId="32" applyNumberFormat="1" applyFont="1" applyFill="1" applyBorder="1"/>
    <xf numFmtId="168" fontId="30" fillId="35" borderId="36" xfId="0" applyNumberFormat="1" applyFont="1" applyFill="1" applyBorder="1"/>
    <xf numFmtId="0" fontId="0" fillId="35" borderId="41" xfId="0" applyFill="1" applyBorder="1"/>
    <xf numFmtId="0" fontId="0" fillId="35" borderId="0" xfId="0" applyNumberFormat="1" applyFill="1" applyBorder="1" applyAlignment="1">
      <alignment horizontal="center"/>
    </xf>
    <xf numFmtId="1" fontId="0" fillId="35" borderId="0" xfId="0" applyNumberFormat="1" applyFill="1" applyBorder="1" applyAlignment="1">
      <alignment horizontal="center"/>
    </xf>
    <xf numFmtId="1" fontId="24" fillId="35" borderId="32" xfId="32" applyNumberFormat="1" applyFont="1" applyFill="1" applyBorder="1" applyAlignment="1">
      <alignment horizontal="center"/>
    </xf>
    <xf numFmtId="1" fontId="24" fillId="35" borderId="0" xfId="0" applyNumberFormat="1" applyFont="1" applyFill="1" applyBorder="1" applyAlignment="1">
      <alignment horizontal="center"/>
    </xf>
    <xf numFmtId="171" fontId="24" fillId="35" borderId="21" xfId="37" applyNumberFormat="1" applyFont="1" applyFill="1" applyBorder="1"/>
    <xf numFmtId="168" fontId="23" fillId="35" borderId="0" xfId="32" applyNumberFormat="1" applyFont="1" applyFill="1" applyBorder="1" applyAlignment="1">
      <alignment horizontal="center"/>
    </xf>
    <xf numFmtId="9" fontId="24" fillId="35" borderId="0" xfId="37" applyFont="1" applyFill="1" applyBorder="1"/>
    <xf numFmtId="9" fontId="23" fillId="35" borderId="23" xfId="37" applyFont="1" applyFill="1" applyBorder="1"/>
    <xf numFmtId="0" fontId="23" fillId="35" borderId="23" xfId="32" applyNumberFormat="1" applyFont="1" applyFill="1" applyBorder="1"/>
    <xf numFmtId="0" fontId="23" fillId="35" borderId="40" xfId="32" applyNumberFormat="1" applyFont="1" applyFill="1" applyBorder="1"/>
    <xf numFmtId="0" fontId="0" fillId="35" borderId="23" xfId="0" applyNumberFormat="1" applyFont="1" applyFill="1" applyBorder="1"/>
    <xf numFmtId="171" fontId="23" fillId="35" borderId="24" xfId="37" applyNumberFormat="1" applyFont="1" applyFill="1" applyBorder="1"/>
    <xf numFmtId="0" fontId="0" fillId="35" borderId="0" xfId="0" applyNumberFormat="1" applyFont="1" applyFill="1" applyBorder="1"/>
    <xf numFmtId="171" fontId="23" fillId="35" borderId="21" xfId="37" applyNumberFormat="1" applyFont="1" applyFill="1" applyBorder="1"/>
    <xf numFmtId="9" fontId="24" fillId="35" borderId="12" xfId="37" applyFont="1" applyFill="1" applyBorder="1"/>
    <xf numFmtId="168" fontId="24" fillId="35" borderId="12" xfId="32" applyNumberFormat="1" applyFont="1" applyFill="1" applyBorder="1"/>
    <xf numFmtId="168" fontId="24" fillId="35" borderId="45" xfId="32" applyNumberFormat="1" applyFont="1" applyFill="1" applyBorder="1"/>
    <xf numFmtId="172" fontId="24" fillId="35" borderId="12" xfId="0" applyNumberFormat="1" applyFont="1" applyFill="1" applyBorder="1"/>
    <xf numFmtId="171" fontId="0" fillId="35" borderId="27" xfId="37" applyNumberFormat="1" applyFont="1" applyFill="1" applyBorder="1"/>
    <xf numFmtId="168" fontId="24" fillId="33" borderId="0" xfId="32" applyNumberFormat="1" applyFont="1" applyFill="1" applyBorder="1"/>
    <xf numFmtId="168" fontId="23" fillId="33" borderId="0" xfId="32" applyNumberFormat="1" applyFont="1" applyFill="1" applyBorder="1"/>
    <xf numFmtId="1" fontId="30" fillId="33" borderId="23" xfId="0" applyNumberFormat="1" applyFont="1" applyFill="1" applyBorder="1"/>
    <xf numFmtId="168" fontId="24" fillId="33" borderId="19" xfId="32" applyNumberFormat="1" applyFont="1" applyFill="1" applyBorder="1"/>
    <xf numFmtId="0" fontId="0" fillId="33" borderId="23" xfId="0" applyNumberFormat="1" applyFill="1" applyBorder="1"/>
    <xf numFmtId="1" fontId="0" fillId="33" borderId="23" xfId="0" applyNumberFormat="1" applyFill="1" applyBorder="1"/>
    <xf numFmtId="1" fontId="24" fillId="33" borderId="23" xfId="32" applyNumberFormat="1" applyFont="1" applyFill="1" applyBorder="1"/>
    <xf numFmtId="168" fontId="23" fillId="33" borderId="0" xfId="32" applyNumberFormat="1" applyFont="1" applyFill="1" applyBorder="1" applyAlignment="1">
      <alignment horizontal="center"/>
    </xf>
    <xf numFmtId="1" fontId="30" fillId="33" borderId="23" xfId="0" applyNumberFormat="1" applyFont="1" applyFill="1" applyBorder="1" applyAlignment="1">
      <alignment horizontal="center"/>
    </xf>
    <xf numFmtId="0" fontId="30" fillId="33" borderId="23" xfId="0" applyNumberFormat="1" applyFont="1" applyFill="1" applyBorder="1" applyAlignment="1">
      <alignment horizontal="center"/>
    </xf>
    <xf numFmtId="168" fontId="23" fillId="33" borderId="19" xfId="32" applyNumberFormat="1" applyFont="1" applyFill="1" applyBorder="1"/>
    <xf numFmtId="1" fontId="23" fillId="33" borderId="23" xfId="32" applyNumberFormat="1" applyFont="1" applyFill="1" applyBorder="1"/>
    <xf numFmtId="168" fontId="30" fillId="33" borderId="0" xfId="32" applyNumberFormat="1" applyFont="1" applyFill="1" applyBorder="1"/>
    <xf numFmtId="0" fontId="24" fillId="27" borderId="12" xfId="0" applyFont="1" applyFill="1" applyBorder="1"/>
    <xf numFmtId="168" fontId="24" fillId="27" borderId="12" xfId="32" applyNumberFormat="1" applyFont="1" applyFill="1" applyBorder="1"/>
    <xf numFmtId="173" fontId="0" fillId="25" borderId="20" xfId="0" applyNumberFormat="1" applyFill="1" applyBorder="1"/>
    <xf numFmtId="173" fontId="0" fillId="25" borderId="27" xfId="0" applyNumberFormat="1" applyFill="1" applyBorder="1"/>
    <xf numFmtId="168" fontId="24" fillId="36" borderId="0" xfId="32" applyNumberFormat="1" applyFont="1" applyFill="1" applyBorder="1"/>
    <xf numFmtId="9" fontId="23" fillId="36" borderId="0" xfId="37" applyFont="1" applyFill="1" applyBorder="1"/>
    <xf numFmtId="168" fontId="23" fillId="36" borderId="32" xfId="32" applyNumberFormat="1" applyFont="1" applyFill="1" applyBorder="1"/>
    <xf numFmtId="168" fontId="0" fillId="36" borderId="0" xfId="0" applyNumberFormat="1" applyFill="1" applyBorder="1"/>
    <xf numFmtId="168" fontId="24" fillId="36" borderId="32" xfId="32" applyNumberFormat="1" applyFont="1" applyFill="1" applyBorder="1"/>
    <xf numFmtId="168" fontId="24" fillId="36" borderId="0" xfId="0" applyNumberFormat="1" applyFont="1" applyFill="1" applyBorder="1"/>
    <xf numFmtId="0" fontId="24" fillId="37" borderId="44" xfId="0" applyFont="1" applyFill="1" applyBorder="1"/>
    <xf numFmtId="0" fontId="0" fillId="37" borderId="32" xfId="0" applyFill="1" applyBorder="1"/>
    <xf numFmtId="0" fontId="24" fillId="37" borderId="32" xfId="0" applyFont="1" applyFill="1" applyBorder="1"/>
    <xf numFmtId="0" fontId="24" fillId="37" borderId="32" xfId="0" applyFont="1" applyFill="1" applyBorder="1" applyAlignment="1">
      <alignment wrapText="1"/>
    </xf>
    <xf numFmtId="9" fontId="30" fillId="37" borderId="40" xfId="37" applyFont="1" applyFill="1" applyBorder="1"/>
    <xf numFmtId="9" fontId="30" fillId="37" borderId="32" xfId="37" applyFont="1" applyFill="1" applyBorder="1"/>
    <xf numFmtId="168" fontId="23" fillId="37" borderId="0" xfId="32" applyNumberFormat="1" applyFont="1" applyFill="1" applyBorder="1"/>
    <xf numFmtId="168" fontId="24" fillId="37" borderId="0" xfId="32" applyNumberFormat="1" applyFont="1" applyFill="1" applyBorder="1"/>
    <xf numFmtId="9" fontId="23" fillId="37" borderId="0" xfId="37" applyFont="1" applyFill="1" applyBorder="1"/>
    <xf numFmtId="168" fontId="24" fillId="37" borderId="0" xfId="37" applyNumberFormat="1" applyFont="1" applyFill="1" applyBorder="1"/>
    <xf numFmtId="168" fontId="24" fillId="37" borderId="19" xfId="0" applyNumberFormat="1" applyFont="1" applyFill="1" applyBorder="1"/>
    <xf numFmtId="168" fontId="24" fillId="37" borderId="0" xfId="0" applyNumberFormat="1" applyFont="1" applyFill="1" applyBorder="1"/>
    <xf numFmtId="44" fontId="30" fillId="37" borderId="0" xfId="32" applyFont="1" applyFill="1" applyBorder="1" applyAlignment="1">
      <alignment horizontal="center"/>
    </xf>
    <xf numFmtId="1" fontId="30" fillId="37" borderId="40" xfId="32" applyNumberFormat="1" applyFont="1" applyFill="1" applyBorder="1" applyAlignment="1">
      <alignment horizontal="center"/>
    </xf>
    <xf numFmtId="1" fontId="30" fillId="37" borderId="23" xfId="0" applyNumberFormat="1" applyFont="1" applyFill="1" applyBorder="1" applyAlignment="1">
      <alignment horizontal="center"/>
    </xf>
    <xf numFmtId="172" fontId="30" fillId="37" borderId="32" xfId="32" applyNumberFormat="1" applyFont="1" applyFill="1" applyBorder="1" applyAlignment="1">
      <alignment horizontal="center"/>
    </xf>
    <xf numFmtId="9" fontId="24" fillId="36" borderId="0" xfId="37" applyFont="1" applyFill="1" applyBorder="1"/>
    <xf numFmtId="168" fontId="23" fillId="36" borderId="0" xfId="32" applyNumberFormat="1" applyFont="1" applyFill="1" applyBorder="1" applyAlignment="1">
      <alignment horizontal="center"/>
    </xf>
    <xf numFmtId="44" fontId="23" fillId="36" borderId="0" xfId="32" applyFont="1" applyFill="1" applyBorder="1"/>
    <xf numFmtId="168" fontId="23" fillId="41" borderId="0" xfId="32" applyNumberFormat="1" applyFont="1" applyFill="1" applyBorder="1"/>
    <xf numFmtId="168" fontId="24" fillId="41" borderId="0" xfId="32" applyNumberFormat="1" applyFont="1" applyFill="1" applyBorder="1"/>
    <xf numFmtId="0" fontId="0" fillId="39" borderId="32" xfId="0" applyFill="1" applyBorder="1"/>
    <xf numFmtId="0" fontId="24" fillId="39" borderId="32" xfId="0" applyFont="1" applyFill="1" applyBorder="1"/>
    <xf numFmtId="0" fontId="24" fillId="39" borderId="32" xfId="0" applyFont="1" applyFill="1" applyBorder="1" applyAlignment="1">
      <alignment wrapText="1"/>
    </xf>
    <xf numFmtId="0" fontId="30" fillId="39" borderId="40" xfId="0" applyFont="1" applyFill="1" applyBorder="1"/>
    <xf numFmtId="0" fontId="30" fillId="39" borderId="32" xfId="0" applyFont="1" applyFill="1" applyBorder="1"/>
    <xf numFmtId="168" fontId="23" fillId="39" borderId="0" xfId="32" applyNumberFormat="1" applyFont="1" applyFill="1" applyBorder="1"/>
    <xf numFmtId="168" fontId="24" fillId="39" borderId="0" xfId="32" applyNumberFormat="1" applyFont="1" applyFill="1" applyBorder="1"/>
    <xf numFmtId="9" fontId="23" fillId="39" borderId="0" xfId="37" applyFont="1" applyFill="1" applyBorder="1"/>
    <xf numFmtId="168" fontId="24" fillId="39" borderId="0" xfId="37" applyNumberFormat="1" applyFont="1" applyFill="1" applyBorder="1"/>
    <xf numFmtId="44" fontId="30" fillId="39" borderId="0" xfId="32" applyFont="1" applyFill="1" applyBorder="1"/>
    <xf numFmtId="168" fontId="0" fillId="39" borderId="32" xfId="0" applyNumberFormat="1" applyFill="1" applyBorder="1"/>
    <xf numFmtId="168" fontId="0" fillId="39" borderId="0" xfId="0" applyNumberFormat="1" applyFill="1" applyBorder="1"/>
    <xf numFmtId="168" fontId="24" fillId="39" borderId="32" xfId="0" applyNumberFormat="1" applyFont="1" applyFill="1" applyBorder="1"/>
    <xf numFmtId="168" fontId="24" fillId="39" borderId="0" xfId="0" applyNumberFormat="1" applyFont="1" applyFill="1" applyBorder="1"/>
    <xf numFmtId="9" fontId="23" fillId="39" borderId="32" xfId="37" applyFont="1" applyFill="1" applyBorder="1"/>
    <xf numFmtId="0" fontId="30" fillId="39" borderId="40" xfId="0" applyNumberFormat="1" applyFont="1" applyFill="1" applyBorder="1" applyAlignment="1">
      <alignment horizontal="center"/>
    </xf>
    <xf numFmtId="0" fontId="30" fillId="39" borderId="23" xfId="0" applyNumberFormat="1" applyFont="1" applyFill="1" applyBorder="1" applyAlignment="1">
      <alignment horizontal="center"/>
    </xf>
    <xf numFmtId="0" fontId="30" fillId="39" borderId="32" xfId="0" applyNumberFormat="1" applyFont="1" applyFill="1" applyBorder="1" applyAlignment="1">
      <alignment horizontal="center"/>
    </xf>
    <xf numFmtId="44" fontId="30" fillId="39" borderId="0" xfId="0" applyNumberFormat="1" applyFont="1" applyFill="1" applyBorder="1" applyAlignment="1">
      <alignment horizontal="center"/>
    </xf>
    <xf numFmtId="168" fontId="30" fillId="39" borderId="32" xfId="0" applyNumberFormat="1" applyFont="1" applyFill="1" applyBorder="1"/>
    <xf numFmtId="168" fontId="30" fillId="39" borderId="0" xfId="0" applyNumberFormat="1" applyFont="1" applyFill="1" applyBorder="1"/>
    <xf numFmtId="0" fontId="0" fillId="41" borderId="40" xfId="0" applyFill="1" applyBorder="1"/>
    <xf numFmtId="0" fontId="0" fillId="41" borderId="0" xfId="0" applyFill="1" applyBorder="1"/>
    <xf numFmtId="0" fontId="24" fillId="41" borderId="0" xfId="0" applyFont="1" applyFill="1" applyBorder="1"/>
    <xf numFmtId="1" fontId="0" fillId="41" borderId="40" xfId="0" applyNumberFormat="1" applyFill="1" applyBorder="1" applyAlignment="1">
      <alignment horizontal="center"/>
    </xf>
    <xf numFmtId="1" fontId="0" fillId="41" borderId="23" xfId="0" applyNumberFormat="1" applyFill="1" applyBorder="1" applyAlignment="1">
      <alignment horizontal="center"/>
    </xf>
    <xf numFmtId="168" fontId="0" fillId="41" borderId="32" xfId="0" applyNumberFormat="1" applyFill="1" applyBorder="1"/>
    <xf numFmtId="168" fontId="0" fillId="41" borderId="0" xfId="0" applyNumberFormat="1" applyFill="1" applyBorder="1"/>
    <xf numFmtId="168" fontId="24" fillId="41" borderId="32" xfId="0" applyNumberFormat="1" applyFont="1" applyFill="1" applyBorder="1"/>
    <xf numFmtId="168" fontId="24" fillId="41" borderId="0" xfId="0" applyNumberFormat="1" applyFont="1" applyFill="1" applyBorder="1"/>
    <xf numFmtId="0" fontId="24" fillId="30" borderId="32" xfId="0" applyFont="1" applyFill="1" applyBorder="1" applyAlignment="1">
      <alignment wrapText="1"/>
    </xf>
    <xf numFmtId="0" fontId="0" fillId="28" borderId="0" xfId="0" applyFill="1" applyBorder="1"/>
    <xf numFmtId="0" fontId="24" fillId="28" borderId="0" xfId="0" applyFont="1" applyFill="1" applyBorder="1"/>
    <xf numFmtId="44" fontId="0" fillId="28" borderId="0" xfId="32" applyFont="1" applyFill="1" applyBorder="1"/>
    <xf numFmtId="0" fontId="0" fillId="28" borderId="32" xfId="0" applyNumberFormat="1" applyFill="1" applyBorder="1" applyAlignment="1">
      <alignment horizontal="center"/>
    </xf>
    <xf numFmtId="44" fontId="0" fillId="28" borderId="0" xfId="0" applyNumberFormat="1" applyFill="1" applyBorder="1" applyAlignment="1">
      <alignment horizontal="center"/>
    </xf>
    <xf numFmtId="168" fontId="0" fillId="28" borderId="32" xfId="0" applyNumberFormat="1" applyFill="1" applyBorder="1"/>
    <xf numFmtId="168" fontId="0" fillId="28" borderId="0" xfId="0" applyNumberFormat="1" applyFill="1" applyBorder="1"/>
    <xf numFmtId="168" fontId="24" fillId="28" borderId="32" xfId="0" applyNumberFormat="1" applyFont="1" applyFill="1" applyBorder="1"/>
    <xf numFmtId="168" fontId="24" fillId="28" borderId="0" xfId="0" applyNumberFormat="1" applyFont="1" applyFill="1" applyBorder="1"/>
    <xf numFmtId="168" fontId="23" fillId="28" borderId="0" xfId="32" applyNumberFormat="1" applyFont="1" applyFill="1" applyBorder="1"/>
    <xf numFmtId="168" fontId="24" fillId="28" borderId="0" xfId="32" applyNumberFormat="1" applyFont="1" applyFill="1" applyBorder="1"/>
    <xf numFmtId="0" fontId="24" fillId="29" borderId="10" xfId="0" applyFont="1" applyFill="1" applyBorder="1"/>
    <xf numFmtId="0" fontId="24" fillId="29" borderId="43" xfId="0" applyFont="1" applyFill="1" applyBorder="1"/>
    <xf numFmtId="168" fontId="24" fillId="29" borderId="0" xfId="32" applyNumberFormat="1" applyFont="1" applyFill="1" applyBorder="1"/>
    <xf numFmtId="168" fontId="24" fillId="29" borderId="12" xfId="32" applyNumberFormat="1" applyFont="1" applyFill="1" applyBorder="1"/>
    <xf numFmtId="168" fontId="24" fillId="29" borderId="40" xfId="0" applyNumberFormat="1" applyFont="1" applyFill="1" applyBorder="1"/>
    <xf numFmtId="168" fontId="24" fillId="29" borderId="23" xfId="0" applyNumberFormat="1" applyFont="1" applyFill="1" applyBorder="1"/>
    <xf numFmtId="168" fontId="24" fillId="29" borderId="32" xfId="0" applyNumberFormat="1" applyFont="1" applyFill="1" applyBorder="1"/>
    <xf numFmtId="168" fontId="24" fillId="29" borderId="0" xfId="0" applyNumberFormat="1" applyFont="1" applyFill="1" applyBorder="1"/>
    <xf numFmtId="168" fontId="24" fillId="29" borderId="45" xfId="0" applyNumberFormat="1" applyFont="1" applyFill="1" applyBorder="1"/>
    <xf numFmtId="172" fontId="24" fillId="29" borderId="12" xfId="0" applyNumberFormat="1" applyFont="1" applyFill="1" applyBorder="1"/>
    <xf numFmtId="0" fontId="0" fillId="43" borderId="0" xfId="0" applyFill="1" applyBorder="1"/>
    <xf numFmtId="0" fontId="0" fillId="43" borderId="25" xfId="0" applyFill="1" applyBorder="1"/>
    <xf numFmtId="0" fontId="0" fillId="43" borderId="17" xfId="0" applyFill="1" applyBorder="1"/>
    <xf numFmtId="0" fontId="0" fillId="43" borderId="13" xfId="0" applyFill="1" applyBorder="1"/>
    <xf numFmtId="168" fontId="23" fillId="43" borderId="0" xfId="32" applyNumberFormat="1" applyFont="1" applyFill="1" applyBorder="1"/>
    <xf numFmtId="168" fontId="0" fillId="43" borderId="44" xfId="0" applyNumberFormat="1" applyFill="1" applyBorder="1"/>
    <xf numFmtId="0" fontId="0" fillId="43" borderId="19" xfId="0" applyFill="1" applyBorder="1"/>
    <xf numFmtId="168" fontId="0" fillId="43" borderId="32" xfId="0" applyNumberFormat="1" applyFill="1" applyBorder="1"/>
    <xf numFmtId="168" fontId="0" fillId="43" borderId="40" xfId="0" applyNumberFormat="1" applyFill="1" applyBorder="1"/>
    <xf numFmtId="0" fontId="0" fillId="43" borderId="23" xfId="0" applyFill="1" applyBorder="1"/>
    <xf numFmtId="0" fontId="0" fillId="44" borderId="17" xfId="0" applyFill="1" applyBorder="1"/>
    <xf numFmtId="0" fontId="24" fillId="44" borderId="19" xfId="0" applyFont="1" applyFill="1" applyBorder="1"/>
    <xf numFmtId="168" fontId="24" fillId="44" borderId="19" xfId="32" applyNumberFormat="1" applyFont="1" applyFill="1" applyBorder="1"/>
    <xf numFmtId="168" fontId="24" fillId="44" borderId="44" xfId="32" applyNumberFormat="1" applyFont="1" applyFill="1" applyBorder="1"/>
    <xf numFmtId="168" fontId="24" fillId="44" borderId="19" xfId="0" applyNumberFormat="1" applyFont="1" applyFill="1" applyBorder="1"/>
    <xf numFmtId="0" fontId="0" fillId="44" borderId="13" xfId="0" applyFill="1" applyBorder="1"/>
    <xf numFmtId="0" fontId="0" fillId="44" borderId="0" xfId="0" applyFont="1" applyFill="1" applyBorder="1"/>
    <xf numFmtId="1" fontId="23" fillId="44" borderId="0" xfId="32" applyNumberFormat="1" applyFont="1" applyFill="1" applyBorder="1"/>
    <xf numFmtId="1" fontId="24" fillId="44" borderId="32" xfId="32" applyNumberFormat="1" applyFont="1" applyFill="1" applyBorder="1"/>
    <xf numFmtId="1" fontId="24" fillId="44" borderId="0" xfId="0" applyNumberFormat="1" applyFont="1" applyFill="1" applyBorder="1"/>
    <xf numFmtId="44" fontId="23" fillId="44" borderId="0" xfId="32" applyFont="1" applyFill="1" applyBorder="1"/>
    <xf numFmtId="168" fontId="24" fillId="44" borderId="32" xfId="32" applyNumberFormat="1" applyFont="1" applyFill="1" applyBorder="1"/>
    <xf numFmtId="44" fontId="0" fillId="44" borderId="0" xfId="0" applyNumberFormat="1" applyFont="1" applyFill="1" applyBorder="1"/>
    <xf numFmtId="0" fontId="0" fillId="44" borderId="0" xfId="0" applyFill="1" applyBorder="1"/>
    <xf numFmtId="168" fontId="23" fillId="44" borderId="0" xfId="32" applyNumberFormat="1" applyFont="1" applyFill="1" applyBorder="1"/>
    <xf numFmtId="168" fontId="23" fillId="44" borderId="32" xfId="32" applyNumberFormat="1" applyFont="1" applyFill="1" applyBorder="1"/>
    <xf numFmtId="168" fontId="0" fillId="44" borderId="0" xfId="0" applyNumberFormat="1" applyFill="1" applyBorder="1"/>
    <xf numFmtId="0" fontId="0" fillId="44" borderId="18" xfId="0" applyFill="1" applyBorder="1"/>
    <xf numFmtId="0" fontId="24" fillId="44" borderId="12" xfId="0" applyFont="1" applyFill="1" applyBorder="1" applyAlignment="1">
      <alignment wrapText="1"/>
    </xf>
    <xf numFmtId="168" fontId="24" fillId="44" borderId="12" xfId="32" applyNumberFormat="1" applyFont="1" applyFill="1" applyBorder="1"/>
    <xf numFmtId="168" fontId="24" fillId="44" borderId="45" xfId="32" applyNumberFormat="1" applyFont="1" applyFill="1" applyBorder="1"/>
    <xf numFmtId="168" fontId="24" fillId="44" borderId="12" xfId="0" applyNumberFormat="1" applyFont="1" applyFill="1" applyBorder="1"/>
    <xf numFmtId="0" fontId="24" fillId="44" borderId="0" xfId="0" applyFont="1" applyFill="1" applyBorder="1"/>
    <xf numFmtId="10" fontId="24" fillId="44" borderId="0" xfId="37" applyNumberFormat="1" applyFont="1" applyFill="1" applyBorder="1"/>
    <xf numFmtId="171" fontId="24" fillId="44" borderId="0" xfId="37" applyNumberFormat="1" applyFont="1" applyFill="1" applyBorder="1"/>
    <xf numFmtId="0" fontId="0" fillId="44" borderId="12" xfId="0" applyFill="1" applyBorder="1"/>
    <xf numFmtId="168" fontId="23" fillId="44" borderId="12" xfId="32" applyNumberFormat="1" applyFont="1" applyFill="1" applyBorder="1"/>
    <xf numFmtId="168" fontId="0" fillId="39" borderId="0" xfId="32" applyNumberFormat="1" applyFont="1" applyFill="1" applyBorder="1" applyAlignment="1">
      <alignment wrapText="1"/>
    </xf>
    <xf numFmtId="0" fontId="23" fillId="41" borderId="0" xfId="32" applyNumberFormat="1" applyFont="1" applyFill="1" applyBorder="1"/>
    <xf numFmtId="0" fontId="0" fillId="43" borderId="10" xfId="0" applyFill="1" applyBorder="1"/>
    <xf numFmtId="172" fontId="0" fillId="43" borderId="0" xfId="0" applyNumberFormat="1" applyFill="1" applyBorder="1"/>
    <xf numFmtId="0" fontId="36" fillId="45" borderId="17" xfId="0" applyFont="1" applyFill="1" applyBorder="1"/>
    <xf numFmtId="0" fontId="38" fillId="45" borderId="19" xfId="0" applyFont="1" applyFill="1" applyBorder="1"/>
    <xf numFmtId="0" fontId="41" fillId="45" borderId="19" xfId="0" applyFont="1" applyFill="1" applyBorder="1" applyAlignment="1">
      <alignment horizontal="center"/>
    </xf>
    <xf numFmtId="0" fontId="38" fillId="45" borderId="44" xfId="0" applyFont="1" applyFill="1" applyBorder="1"/>
    <xf numFmtId="0" fontId="36" fillId="45" borderId="13" xfId="0" applyFont="1" applyFill="1" applyBorder="1"/>
    <xf numFmtId="0" fontId="38" fillId="45" borderId="0" xfId="0" applyFont="1" applyFill="1" applyBorder="1"/>
    <xf numFmtId="0" fontId="0" fillId="25" borderId="19" xfId="0" applyFill="1" applyBorder="1"/>
    <xf numFmtId="168" fontId="24" fillId="37" borderId="19" xfId="32" applyNumberFormat="1" applyFont="1" applyFill="1" applyBorder="1"/>
    <xf numFmtId="168" fontId="24" fillId="33" borderId="47" xfId="32" applyNumberFormat="1" applyFont="1" applyFill="1" applyBorder="1"/>
    <xf numFmtId="168" fontId="23" fillId="37" borderId="10" xfId="32" applyNumberFormat="1" applyFont="1" applyFill="1" applyBorder="1"/>
    <xf numFmtId="168" fontId="24" fillId="33" borderId="10" xfId="32" applyNumberFormat="1" applyFont="1" applyFill="1" applyBorder="1"/>
    <xf numFmtId="168" fontId="23" fillId="33" borderId="10" xfId="32" applyNumberFormat="1" applyFont="1" applyFill="1" applyBorder="1"/>
    <xf numFmtId="168" fontId="24" fillId="37" borderId="10" xfId="32" applyNumberFormat="1" applyFont="1" applyFill="1" applyBorder="1"/>
    <xf numFmtId="9" fontId="23" fillId="37" borderId="10" xfId="37" applyFont="1" applyFill="1" applyBorder="1"/>
    <xf numFmtId="168" fontId="24" fillId="41" borderId="40" xfId="0" applyNumberFormat="1" applyFont="1" applyFill="1" applyBorder="1"/>
    <xf numFmtId="168" fontId="24" fillId="41" borderId="23" xfId="0" applyNumberFormat="1" applyFont="1" applyFill="1" applyBorder="1"/>
    <xf numFmtId="168" fontId="24" fillId="41" borderId="45" xfId="0" applyNumberFormat="1" applyFont="1" applyFill="1" applyBorder="1"/>
    <xf numFmtId="172" fontId="24" fillId="41" borderId="12" xfId="0" applyNumberFormat="1" applyFont="1" applyFill="1" applyBorder="1"/>
    <xf numFmtId="168" fontId="24" fillId="30" borderId="0" xfId="37" applyNumberFormat="1" applyFont="1" applyFill="1" applyBorder="1"/>
    <xf numFmtId="0" fontId="0" fillId="28" borderId="32" xfId="0" applyFill="1" applyBorder="1"/>
    <xf numFmtId="0" fontId="0" fillId="28" borderId="40" xfId="0" applyFill="1" applyBorder="1"/>
    <xf numFmtId="0" fontId="0" fillId="28" borderId="40" xfId="0" applyNumberFormat="1" applyFill="1" applyBorder="1" applyAlignment="1">
      <alignment horizontal="center"/>
    </xf>
    <xf numFmtId="0" fontId="24" fillId="29" borderId="14" xfId="0" applyFont="1" applyFill="1" applyBorder="1"/>
    <xf numFmtId="168" fontId="0" fillId="28" borderId="40" xfId="0" applyNumberFormat="1" applyFill="1" applyBorder="1"/>
    <xf numFmtId="168" fontId="0" fillId="28" borderId="23" xfId="0" applyNumberFormat="1" applyFill="1" applyBorder="1"/>
    <xf numFmtId="0" fontId="0" fillId="34" borderId="0" xfId="0" applyFont="1" applyFill="1" applyBorder="1"/>
    <xf numFmtId="1" fontId="23" fillId="34" borderId="0" xfId="32" applyNumberFormat="1" applyFont="1" applyFill="1" applyBorder="1"/>
    <xf numFmtId="168" fontId="23" fillId="34" borderId="0" xfId="32" applyNumberFormat="1" applyFont="1" applyFill="1" applyBorder="1"/>
    <xf numFmtId="171" fontId="23" fillId="34" borderId="0" xfId="37" applyNumberFormat="1" applyFont="1" applyFill="1" applyBorder="1"/>
    <xf numFmtId="10" fontId="23" fillId="34" borderId="0" xfId="37" applyNumberFormat="1" applyFont="1" applyFill="1" applyBorder="1"/>
    <xf numFmtId="0" fontId="0" fillId="34" borderId="0" xfId="0" applyFont="1" applyFill="1" applyBorder="1" applyAlignment="1">
      <alignment wrapText="1"/>
    </xf>
    <xf numFmtId="0" fontId="0" fillId="34" borderId="13" xfId="0" applyFont="1" applyFill="1" applyBorder="1"/>
    <xf numFmtId="0" fontId="0" fillId="34" borderId="18" xfId="0" applyFont="1" applyFill="1" applyBorder="1"/>
    <xf numFmtId="0" fontId="0" fillId="34" borderId="12" xfId="0" applyFont="1" applyFill="1" applyBorder="1" applyAlignment="1">
      <alignment wrapText="1"/>
    </xf>
    <xf numFmtId="171" fontId="23" fillId="34" borderId="12" xfId="37" applyNumberFormat="1" applyFont="1" applyFill="1" applyBorder="1"/>
    <xf numFmtId="10" fontId="23" fillId="34" borderId="12" xfId="37" applyNumberFormat="1" applyFont="1" applyFill="1" applyBorder="1"/>
    <xf numFmtId="0" fontId="24" fillId="30" borderId="38" xfId="0" applyFont="1" applyFill="1" applyBorder="1" applyAlignment="1">
      <alignment horizontal="center" wrapText="1"/>
    </xf>
    <xf numFmtId="0" fontId="24" fillId="36" borderId="38" xfId="0" applyFont="1" applyFill="1" applyBorder="1" applyAlignment="1">
      <alignment horizontal="center"/>
    </xf>
    <xf numFmtId="0" fontId="24" fillId="41" borderId="38" xfId="0" applyFont="1" applyFill="1" applyBorder="1" applyAlignment="1">
      <alignment horizontal="center"/>
    </xf>
    <xf numFmtId="168" fontId="23" fillId="0" borderId="0" xfId="32" applyNumberFormat="1" applyFont="1" applyFill="1" applyBorder="1"/>
    <xf numFmtId="168" fontId="23" fillId="33" borderId="0" xfId="32" applyNumberFormat="1" applyFont="1" applyFill="1" applyBorder="1" applyAlignment="1"/>
    <xf numFmtId="173" fontId="0" fillId="0" borderId="0" xfId="0" applyNumberFormat="1" applyFill="1"/>
    <xf numFmtId="168" fontId="30" fillId="33" borderId="0" xfId="32" applyNumberFormat="1" applyFont="1" applyFill="1" applyBorder="1" applyAlignment="1">
      <alignment horizontal="center"/>
    </xf>
    <xf numFmtId="168" fontId="30" fillId="37" borderId="32" xfId="32" applyNumberFormat="1" applyFont="1" applyFill="1" applyBorder="1"/>
    <xf numFmtId="168" fontId="30" fillId="37" borderId="0" xfId="0" applyNumberFormat="1" applyFont="1" applyFill="1" applyBorder="1"/>
    <xf numFmtId="0" fontId="0" fillId="33" borderId="23" xfId="0" applyNumberFormat="1" applyFill="1" applyBorder="1" applyAlignment="1">
      <alignment horizontal="center"/>
    </xf>
    <xf numFmtId="1" fontId="0" fillId="33" borderId="23" xfId="0" applyNumberFormat="1" applyFill="1" applyBorder="1" applyAlignment="1">
      <alignment horizontal="center"/>
    </xf>
    <xf numFmtId="1" fontId="24" fillId="36" borderId="23" xfId="32" applyNumberFormat="1" applyFont="1" applyFill="1" applyBorder="1" applyAlignment="1">
      <alignment horizontal="center"/>
    </xf>
    <xf numFmtId="1" fontId="24" fillId="36" borderId="23" xfId="0" applyNumberFormat="1" applyFont="1" applyFill="1" applyBorder="1" applyAlignment="1">
      <alignment horizontal="center"/>
    </xf>
    <xf numFmtId="168" fontId="23" fillId="0" borderId="23" xfId="32" applyNumberFormat="1" applyFont="1" applyFill="1" applyBorder="1" applyAlignment="1">
      <alignment horizontal="center"/>
    </xf>
    <xf numFmtId="0" fontId="0" fillId="26" borderId="23" xfId="0" applyNumberFormat="1" applyFont="1" applyFill="1" applyBorder="1"/>
    <xf numFmtId="0" fontId="38" fillId="45" borderId="28" xfId="0" applyFont="1" applyFill="1" applyBorder="1"/>
    <xf numFmtId="0" fontId="38" fillId="45" borderId="29" xfId="0" applyFont="1" applyFill="1" applyBorder="1"/>
    <xf numFmtId="1" fontId="23" fillId="33" borderId="40" xfId="32" applyNumberFormat="1" applyFont="1" applyFill="1" applyBorder="1"/>
    <xf numFmtId="9" fontId="24" fillId="37" borderId="21" xfId="37" applyNumberFormat="1" applyFont="1" applyFill="1" applyBorder="1" applyAlignment="1">
      <alignment horizontal="center"/>
    </xf>
    <xf numFmtId="9" fontId="24" fillId="36" borderId="24" xfId="37" applyNumberFormat="1" applyFont="1" applyFill="1" applyBorder="1" applyAlignment="1">
      <alignment horizontal="center"/>
    </xf>
    <xf numFmtId="9" fontId="24" fillId="36" borderId="21" xfId="37" applyNumberFormat="1" applyFont="1" applyFill="1" applyBorder="1" applyAlignment="1">
      <alignment horizontal="center"/>
    </xf>
    <xf numFmtId="9" fontId="0" fillId="26" borderId="24" xfId="37" applyFont="1" applyFill="1" applyBorder="1" applyAlignment="1">
      <alignment horizontal="center"/>
    </xf>
    <xf numFmtId="9" fontId="0" fillId="26" borderId="21" xfId="37" applyFont="1" applyFill="1" applyBorder="1" applyAlignment="1">
      <alignment horizontal="center"/>
    </xf>
    <xf numFmtId="9" fontId="0" fillId="26" borderId="27" xfId="37" applyFont="1" applyFill="1" applyBorder="1" applyAlignment="1">
      <alignment horizontal="center"/>
    </xf>
    <xf numFmtId="9" fontId="0" fillId="43" borderId="0" xfId="37" applyNumberFormat="1" applyFont="1" applyFill="1" applyBorder="1" applyAlignment="1">
      <alignment horizontal="center"/>
    </xf>
    <xf numFmtId="9" fontId="0" fillId="44" borderId="0" xfId="37" applyNumberFormat="1" applyFont="1" applyFill="1" applyBorder="1" applyAlignment="1">
      <alignment horizontal="center"/>
    </xf>
    <xf numFmtId="1" fontId="30" fillId="37" borderId="23" xfId="32" applyNumberFormat="1" applyFont="1" applyFill="1" applyBorder="1" applyAlignment="1">
      <alignment horizontal="center"/>
    </xf>
    <xf numFmtId="172" fontId="30" fillId="37" borderId="0" xfId="32" applyNumberFormat="1" applyFont="1" applyFill="1" applyBorder="1" applyAlignment="1">
      <alignment horizontal="center"/>
    </xf>
    <xf numFmtId="168" fontId="30" fillId="37" borderId="0" xfId="32" applyNumberFormat="1" applyFont="1" applyFill="1" applyBorder="1"/>
    <xf numFmtId="168" fontId="23" fillId="36" borderId="0" xfId="32" applyNumberFormat="1" applyFont="1" applyFill="1" applyBorder="1"/>
    <xf numFmtId="0" fontId="23" fillId="26" borderId="23" xfId="32" applyNumberFormat="1" applyFont="1" applyFill="1" applyBorder="1"/>
    <xf numFmtId="0" fontId="23" fillId="26" borderId="0" xfId="32" applyNumberFormat="1" applyFont="1" applyFill="1" applyBorder="1"/>
    <xf numFmtId="0" fontId="30" fillId="39" borderId="0" xfId="0" applyNumberFormat="1" applyFont="1" applyFill="1" applyBorder="1" applyAlignment="1">
      <alignment horizontal="center"/>
    </xf>
    <xf numFmtId="168" fontId="24" fillId="41" borderId="12" xfId="0" applyNumberFormat="1" applyFont="1" applyFill="1" applyBorder="1"/>
    <xf numFmtId="168" fontId="24" fillId="29" borderId="12" xfId="0" applyNumberFormat="1" applyFont="1" applyFill="1" applyBorder="1"/>
    <xf numFmtId="168" fontId="0" fillId="43" borderId="19" xfId="0" applyNumberFormat="1" applyFill="1" applyBorder="1"/>
    <xf numFmtId="168" fontId="0" fillId="43" borderId="0" xfId="0" applyNumberFormat="1" applyFill="1" applyBorder="1"/>
    <xf numFmtId="168" fontId="0" fillId="43" borderId="23" xfId="0" applyNumberFormat="1" applyFill="1" applyBorder="1"/>
    <xf numFmtId="1" fontId="24" fillId="44" borderId="0" xfId="32" applyNumberFormat="1" applyFont="1" applyFill="1" applyBorder="1"/>
    <xf numFmtId="168" fontId="24" fillId="44" borderId="0" xfId="32" applyNumberFormat="1" applyFont="1" applyFill="1" applyBorder="1"/>
    <xf numFmtId="0" fontId="29" fillId="0" borderId="0" xfId="0" applyFont="1" applyFill="1" applyBorder="1" applyAlignment="1">
      <alignment horizontal="center"/>
    </xf>
    <xf numFmtId="0" fontId="0" fillId="0" borderId="0" xfId="0" applyNumberFormat="1" applyFill="1"/>
    <xf numFmtId="9" fontId="24" fillId="37" borderId="0" xfId="37" applyNumberFormat="1" applyFont="1" applyFill="1" applyBorder="1" applyAlignment="1">
      <alignment horizontal="center"/>
    </xf>
    <xf numFmtId="9" fontId="24" fillId="36" borderId="0" xfId="37" applyNumberFormat="1" applyFont="1" applyFill="1" applyBorder="1" applyAlignment="1">
      <alignment horizontal="center"/>
    </xf>
    <xf numFmtId="9" fontId="0" fillId="26" borderId="0" xfId="37" applyFont="1" applyFill="1" applyBorder="1" applyAlignment="1">
      <alignment horizontal="center"/>
    </xf>
    <xf numFmtId="9" fontId="24" fillId="39" borderId="0" xfId="37" applyNumberFormat="1" applyFont="1" applyFill="1" applyBorder="1" applyAlignment="1">
      <alignment horizontal="center"/>
    </xf>
    <xf numFmtId="9" fontId="24" fillId="41" borderId="0" xfId="37" applyNumberFormat="1" applyFont="1" applyFill="1" applyBorder="1" applyAlignment="1">
      <alignment horizontal="center"/>
    </xf>
    <xf numFmtId="9" fontId="0" fillId="30" borderId="0" xfId="37" applyFont="1" applyFill="1" applyBorder="1" applyAlignment="1">
      <alignment horizontal="center"/>
    </xf>
    <xf numFmtId="9" fontId="0" fillId="28" borderId="0" xfId="37" applyFont="1" applyFill="1" applyBorder="1" applyAlignment="1">
      <alignment horizontal="center"/>
    </xf>
    <xf numFmtId="9" fontId="24" fillId="29" borderId="0" xfId="37" applyFont="1" applyFill="1" applyBorder="1" applyAlignment="1">
      <alignment horizontal="center"/>
    </xf>
    <xf numFmtId="171" fontId="0" fillId="44" borderId="0" xfId="37" applyNumberFormat="1" applyFont="1" applyFill="1" applyBorder="1"/>
    <xf numFmtId="0" fontId="36" fillId="45" borderId="0" xfId="0" applyFont="1" applyFill="1" applyBorder="1"/>
    <xf numFmtId="1" fontId="23" fillId="26" borderId="40" xfId="32" applyNumberFormat="1" applyFont="1" applyFill="1" applyBorder="1"/>
    <xf numFmtId="168" fontId="24" fillId="37" borderId="10" xfId="37" applyNumberFormat="1" applyFont="1" applyFill="1" applyBorder="1"/>
    <xf numFmtId="9" fontId="24" fillId="37" borderId="23" xfId="37" applyNumberFormat="1" applyFont="1" applyFill="1" applyBorder="1" applyAlignment="1">
      <alignment horizontal="center"/>
    </xf>
    <xf numFmtId="9" fontId="24" fillId="36" borderId="40" xfId="37" applyFont="1" applyFill="1" applyBorder="1"/>
    <xf numFmtId="9" fontId="24" fillId="36" borderId="23" xfId="37" applyNumberFormat="1" applyFont="1" applyFill="1" applyBorder="1" applyAlignment="1">
      <alignment horizontal="center"/>
    </xf>
    <xf numFmtId="9" fontId="24" fillId="36" borderId="32" xfId="37" applyFont="1" applyFill="1" applyBorder="1"/>
    <xf numFmtId="9" fontId="23" fillId="26" borderId="23" xfId="37" applyFont="1" applyFill="1" applyBorder="1"/>
    <xf numFmtId="9" fontId="0" fillId="26" borderId="23" xfId="37" applyFont="1" applyFill="1" applyBorder="1" applyAlignment="1">
      <alignment horizontal="center"/>
    </xf>
    <xf numFmtId="0" fontId="39" fillId="45" borderId="20" xfId="0" applyFont="1" applyFill="1" applyBorder="1" applyAlignment="1">
      <alignment horizontal="center"/>
    </xf>
    <xf numFmtId="0" fontId="36" fillId="45" borderId="21" xfId="0" applyFont="1" applyFill="1" applyBorder="1"/>
    <xf numFmtId="0" fontId="24" fillId="37" borderId="21" xfId="37" applyNumberFormat="1" applyFont="1" applyFill="1" applyBorder="1" applyAlignment="1">
      <alignment horizontal="center"/>
    </xf>
    <xf numFmtId="171" fontId="24" fillId="37" borderId="21" xfId="37" applyNumberFormat="1" applyFont="1" applyFill="1" applyBorder="1" applyAlignment="1">
      <alignment horizontal="center"/>
    </xf>
    <xf numFmtId="171" fontId="24" fillId="37" borderId="24" xfId="37" applyNumberFormat="1" applyFont="1" applyFill="1" applyBorder="1" applyAlignment="1">
      <alignment horizontal="center"/>
    </xf>
    <xf numFmtId="9" fontId="0" fillId="26" borderId="12" xfId="37" applyFont="1" applyFill="1" applyBorder="1" applyAlignment="1">
      <alignment horizontal="center"/>
    </xf>
    <xf numFmtId="9" fontId="24" fillId="39" borderId="23" xfId="37" applyNumberFormat="1" applyFont="1" applyFill="1" applyBorder="1" applyAlignment="1">
      <alignment horizontal="center"/>
    </xf>
    <xf numFmtId="0" fontId="24" fillId="0" borderId="40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6" fillId="0" borderId="11" xfId="0" applyFont="1" applyFill="1" applyBorder="1" applyAlignment="1">
      <alignment horizontal="center"/>
    </xf>
    <xf numFmtId="0" fontId="26" fillId="0" borderId="31" xfId="0" applyFont="1" applyFill="1" applyBorder="1" applyAlignment="1">
      <alignment horizontal="center"/>
    </xf>
    <xf numFmtId="0" fontId="32" fillId="0" borderId="17" xfId="0" applyFont="1" applyBorder="1" applyAlignment="1">
      <alignment horizontal="right"/>
    </xf>
    <xf numFmtId="0" fontId="32" fillId="0" borderId="19" xfId="0" applyFont="1" applyBorder="1" applyAlignment="1">
      <alignment horizontal="right"/>
    </xf>
    <xf numFmtId="0" fontId="32" fillId="0" borderId="11" xfId="0" applyFont="1" applyBorder="1" applyAlignment="1">
      <alignment horizontal="right"/>
    </xf>
    <xf numFmtId="0" fontId="32" fillId="0" borderId="30" xfId="0" applyFont="1" applyBorder="1" applyAlignment="1">
      <alignment horizontal="right"/>
    </xf>
    <xf numFmtId="0" fontId="24" fillId="0" borderId="17" xfId="0" applyFont="1" applyBorder="1" applyAlignment="1">
      <alignment horizontal="center"/>
    </xf>
    <xf numFmtId="0" fontId="24" fillId="0" borderId="19" xfId="0" applyFont="1" applyBorder="1" applyAlignment="1">
      <alignment horizontal="center"/>
    </xf>
    <xf numFmtId="0" fontId="24" fillId="0" borderId="20" xfId="0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24" fillId="0" borderId="12" xfId="0" applyFont="1" applyBorder="1" applyAlignment="1">
      <alignment horizontal="center"/>
    </xf>
    <xf numFmtId="0" fontId="24" fillId="0" borderId="27" xfId="0" applyFont="1" applyBorder="1" applyAlignment="1">
      <alignment horizontal="center"/>
    </xf>
    <xf numFmtId="0" fontId="24" fillId="0" borderId="11" xfId="0" applyFont="1" applyBorder="1" applyAlignment="1">
      <alignment horizontal="center"/>
    </xf>
    <xf numFmtId="0" fontId="24" fillId="0" borderId="30" xfId="0" applyFont="1" applyBorder="1" applyAlignment="1">
      <alignment horizontal="center"/>
    </xf>
    <xf numFmtId="0" fontId="24" fillId="0" borderId="31" xfId="0" applyFont="1" applyBorder="1" applyAlignment="1">
      <alignment horizontal="center"/>
    </xf>
    <xf numFmtId="0" fontId="24" fillId="0" borderId="11" xfId="0" applyFont="1" applyBorder="1" applyAlignment="1">
      <alignment horizontal="center" wrapText="1"/>
    </xf>
    <xf numFmtId="0" fontId="24" fillId="0" borderId="30" xfId="0" applyFont="1" applyBorder="1" applyAlignment="1">
      <alignment horizontal="center" wrapText="1"/>
    </xf>
    <xf numFmtId="0" fontId="24" fillId="0" borderId="31" xfId="0" applyFont="1" applyBorder="1" applyAlignment="1">
      <alignment horizontal="center" wrapText="1"/>
    </xf>
    <xf numFmtId="0" fontId="24" fillId="0" borderId="32" xfId="0" applyFont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26" fillId="0" borderId="11" xfId="0" applyFont="1" applyBorder="1" applyAlignment="1">
      <alignment horizontal="center"/>
    </xf>
    <xf numFmtId="0" fontId="26" fillId="0" borderId="30" xfId="0" applyFont="1" applyBorder="1" applyAlignment="1">
      <alignment horizontal="center"/>
    </xf>
    <xf numFmtId="0" fontId="36" fillId="33" borderId="13" xfId="0" applyFont="1" applyFill="1" applyBorder="1" applyAlignment="1">
      <alignment horizontal="center"/>
    </xf>
    <xf numFmtId="0" fontId="36" fillId="33" borderId="10" xfId="0" applyFont="1" applyFill="1" applyBorder="1" applyAlignment="1">
      <alignment horizontal="center"/>
    </xf>
    <xf numFmtId="0" fontId="24" fillId="25" borderId="33" xfId="0" applyFont="1" applyFill="1" applyBorder="1" applyAlignment="1">
      <alignment horizontal="center"/>
    </xf>
    <xf numFmtId="0" fontId="24" fillId="25" borderId="16" xfId="0" applyFont="1" applyFill="1" applyBorder="1" applyAlignment="1">
      <alignment horizontal="center"/>
    </xf>
    <xf numFmtId="0" fontId="26" fillId="25" borderId="11" xfId="0" applyFont="1" applyFill="1" applyBorder="1" applyAlignment="1">
      <alignment horizontal="center"/>
    </xf>
    <xf numFmtId="0" fontId="26" fillId="25" borderId="31" xfId="0" applyFont="1" applyFill="1" applyBorder="1" applyAlignment="1">
      <alignment horizontal="center"/>
    </xf>
    <xf numFmtId="0" fontId="37" fillId="29" borderId="11" xfId="0" applyFont="1" applyFill="1" applyBorder="1" applyAlignment="1">
      <alignment horizontal="center"/>
    </xf>
    <xf numFmtId="0" fontId="37" fillId="29" borderId="30" xfId="0" applyFont="1" applyFill="1" applyBorder="1" applyAlignment="1">
      <alignment horizontal="center"/>
    </xf>
    <xf numFmtId="0" fontId="37" fillId="29" borderId="31" xfId="0" applyFont="1" applyFill="1" applyBorder="1" applyAlignment="1">
      <alignment horizontal="center"/>
    </xf>
    <xf numFmtId="0" fontId="37" fillId="25" borderId="11" xfId="0" applyFont="1" applyFill="1" applyBorder="1" applyAlignment="1">
      <alignment horizontal="center" wrapText="1"/>
    </xf>
    <xf numFmtId="0" fontId="37" fillId="25" borderId="30" xfId="0" applyFont="1" applyFill="1" applyBorder="1" applyAlignment="1">
      <alignment horizontal="center" wrapText="1"/>
    </xf>
    <xf numFmtId="0" fontId="37" fillId="25" borderId="31" xfId="0" applyFont="1" applyFill="1" applyBorder="1" applyAlignment="1">
      <alignment horizontal="center" wrapText="1"/>
    </xf>
    <xf numFmtId="0" fontId="24" fillId="25" borderId="11" xfId="0" applyFont="1" applyFill="1" applyBorder="1" applyAlignment="1">
      <alignment horizontal="center" wrapText="1"/>
    </xf>
    <xf numFmtId="0" fontId="24" fillId="25" borderId="30" xfId="0" applyFont="1" applyFill="1" applyBorder="1" applyAlignment="1">
      <alignment horizontal="center" wrapText="1"/>
    </xf>
    <xf numFmtId="0" fontId="24" fillId="25" borderId="40" xfId="0" applyFont="1" applyFill="1" applyBorder="1" applyAlignment="1">
      <alignment horizontal="center"/>
    </xf>
    <xf numFmtId="0" fontId="24" fillId="25" borderId="25" xfId="0" applyFont="1" applyFill="1" applyBorder="1" applyAlignment="1">
      <alignment horizontal="center"/>
    </xf>
    <xf numFmtId="0" fontId="24" fillId="25" borderId="32" xfId="0" applyFont="1" applyFill="1" applyBorder="1" applyAlignment="1">
      <alignment horizontal="center"/>
    </xf>
    <xf numFmtId="0" fontId="24" fillId="25" borderId="10" xfId="0" applyFont="1" applyFill="1" applyBorder="1" applyAlignment="1">
      <alignment horizontal="center"/>
    </xf>
    <xf numFmtId="0" fontId="24" fillId="29" borderId="33" xfId="0" applyFont="1" applyFill="1" applyBorder="1" applyAlignment="1">
      <alignment horizontal="center"/>
    </xf>
    <xf numFmtId="0" fontId="24" fillId="29" borderId="36" xfId="0" applyFont="1" applyFill="1" applyBorder="1" applyAlignment="1">
      <alignment horizontal="center"/>
    </xf>
    <xf numFmtId="0" fontId="24" fillId="29" borderId="16" xfId="0" applyFont="1" applyFill="1" applyBorder="1" applyAlignment="1">
      <alignment horizontal="center"/>
    </xf>
    <xf numFmtId="0" fontId="24" fillId="29" borderId="33" xfId="0" applyFont="1" applyFill="1" applyBorder="1" applyAlignment="1">
      <alignment horizontal="center" wrapText="1"/>
    </xf>
    <xf numFmtId="0" fontId="24" fillId="29" borderId="36" xfId="0" applyFont="1" applyFill="1" applyBorder="1" applyAlignment="1">
      <alignment horizontal="center" wrapText="1"/>
    </xf>
    <xf numFmtId="0" fontId="24" fillId="29" borderId="16" xfId="0" applyFont="1" applyFill="1" applyBorder="1" applyAlignment="1">
      <alignment horizontal="center" wrapText="1"/>
    </xf>
    <xf numFmtId="0" fontId="24" fillId="30" borderId="37" xfId="0" applyFont="1" applyFill="1" applyBorder="1" applyAlignment="1">
      <alignment horizontal="center" wrapText="1"/>
    </xf>
    <xf numFmtId="0" fontId="24" fillId="30" borderId="38" xfId="0" applyFont="1" applyFill="1" applyBorder="1" applyAlignment="1">
      <alignment horizontal="center" wrapText="1"/>
    </xf>
    <xf numFmtId="0" fontId="24" fillId="30" borderId="39" xfId="0" applyFont="1" applyFill="1" applyBorder="1" applyAlignment="1">
      <alignment horizontal="center" wrapText="1"/>
    </xf>
    <xf numFmtId="0" fontId="0" fillId="32" borderId="37" xfId="0" applyFill="1" applyBorder="1" applyAlignment="1">
      <alignment horizontal="center" wrapText="1"/>
    </xf>
    <xf numFmtId="0" fontId="0" fillId="32" borderId="39" xfId="0" applyFill="1" applyBorder="1" applyAlignment="1">
      <alignment horizontal="center"/>
    </xf>
    <xf numFmtId="0" fontId="29" fillId="0" borderId="28" xfId="0" applyFont="1" applyFill="1" applyBorder="1" applyAlignment="1">
      <alignment horizontal="center"/>
    </xf>
    <xf numFmtId="0" fontId="29" fillId="0" borderId="29" xfId="0" applyFont="1" applyFill="1" applyBorder="1" applyAlignment="1">
      <alignment horizontal="center"/>
    </xf>
    <xf numFmtId="0" fontId="29" fillId="0" borderId="26" xfId="0" applyFont="1" applyFill="1" applyBorder="1" applyAlignment="1">
      <alignment horizontal="center"/>
    </xf>
    <xf numFmtId="0" fontId="31" fillId="34" borderId="28" xfId="0" applyFont="1" applyFill="1" applyBorder="1" applyAlignment="1">
      <alignment horizontal="center"/>
    </xf>
    <xf numFmtId="0" fontId="31" fillId="34" borderId="29" xfId="0" applyFont="1" applyFill="1" applyBorder="1" applyAlignment="1">
      <alignment horizontal="center"/>
    </xf>
    <xf numFmtId="0" fontId="31" fillId="34" borderId="26" xfId="0" applyFont="1" applyFill="1" applyBorder="1" applyAlignment="1">
      <alignment horizontal="center"/>
    </xf>
    <xf numFmtId="0" fontId="24" fillId="31" borderId="37" xfId="0" applyFont="1" applyFill="1" applyBorder="1" applyAlignment="1">
      <alignment horizontal="center" wrapText="1"/>
    </xf>
    <xf numFmtId="0" fontId="24" fillId="31" borderId="38" xfId="0" applyFont="1" applyFill="1" applyBorder="1" applyAlignment="1">
      <alignment horizontal="center"/>
    </xf>
    <xf numFmtId="168" fontId="23" fillId="25" borderId="12" xfId="32" applyNumberFormat="1" applyFont="1" applyFill="1" applyBorder="1" applyAlignment="1">
      <alignment horizontal="left"/>
    </xf>
    <xf numFmtId="0" fontId="33" fillId="25" borderId="18" xfId="0" applyFont="1" applyFill="1" applyBorder="1" applyAlignment="1">
      <alignment horizontal="center"/>
    </xf>
    <xf numFmtId="0" fontId="33" fillId="25" borderId="12" xfId="0" applyFont="1" applyFill="1" applyBorder="1" applyAlignment="1">
      <alignment horizontal="center"/>
    </xf>
    <xf numFmtId="0" fontId="33" fillId="25" borderId="27" xfId="0" applyFont="1" applyFill="1" applyBorder="1" applyAlignment="1">
      <alignment horizontal="center"/>
    </xf>
    <xf numFmtId="0" fontId="33" fillId="32" borderId="28" xfId="0" applyFont="1" applyFill="1" applyBorder="1" applyAlignment="1">
      <alignment horizontal="center"/>
    </xf>
    <xf numFmtId="0" fontId="33" fillId="32" borderId="29" xfId="0" applyFont="1" applyFill="1" applyBorder="1" applyAlignment="1">
      <alignment horizontal="center"/>
    </xf>
    <xf numFmtId="0" fontId="33" fillId="32" borderId="26" xfId="0" applyFont="1" applyFill="1" applyBorder="1" applyAlignment="1">
      <alignment horizontal="center"/>
    </xf>
    <xf numFmtId="168" fontId="31" fillId="30" borderId="28" xfId="32" applyNumberFormat="1" applyFont="1" applyFill="1" applyBorder="1" applyAlignment="1">
      <alignment horizontal="center"/>
    </xf>
    <xf numFmtId="168" fontId="31" fillId="30" borderId="29" xfId="32" applyNumberFormat="1" applyFont="1" applyFill="1" applyBorder="1" applyAlignment="1">
      <alignment horizontal="center"/>
    </xf>
    <xf numFmtId="168" fontId="31" fillId="30" borderId="26" xfId="32" applyNumberFormat="1" applyFont="1" applyFill="1" applyBorder="1" applyAlignment="1">
      <alignment horizontal="center"/>
    </xf>
    <xf numFmtId="0" fontId="24" fillId="35" borderId="38" xfId="0" applyFont="1" applyFill="1" applyBorder="1" applyAlignment="1">
      <alignment horizontal="center" wrapText="1"/>
    </xf>
    <xf numFmtId="0" fontId="24" fillId="35" borderId="38" xfId="0" applyFont="1" applyFill="1" applyBorder="1" applyAlignment="1">
      <alignment horizontal="center"/>
    </xf>
    <xf numFmtId="0" fontId="24" fillId="35" borderId="35" xfId="0" applyFont="1" applyFill="1" applyBorder="1" applyAlignment="1">
      <alignment horizontal="center"/>
    </xf>
    <xf numFmtId="0" fontId="24" fillId="35" borderId="37" xfId="0" applyFont="1" applyFill="1" applyBorder="1" applyAlignment="1">
      <alignment horizontal="center" wrapText="1"/>
    </xf>
    <xf numFmtId="0" fontId="24" fillId="31" borderId="38" xfId="0" applyFont="1" applyFill="1" applyBorder="1" applyAlignment="1">
      <alignment horizontal="center" wrapText="1"/>
    </xf>
    <xf numFmtId="0" fontId="24" fillId="31" borderId="35" xfId="0" applyFont="1" applyFill="1" applyBorder="1" applyAlignment="1">
      <alignment horizontal="center"/>
    </xf>
    <xf numFmtId="0" fontId="31" fillId="31" borderId="18" xfId="0" applyFont="1" applyFill="1" applyBorder="1" applyAlignment="1">
      <alignment horizontal="center"/>
    </xf>
    <xf numFmtId="0" fontId="31" fillId="31" borderId="12" xfId="0" applyFont="1" applyFill="1" applyBorder="1" applyAlignment="1">
      <alignment horizontal="center"/>
    </xf>
    <xf numFmtId="0" fontId="31" fillId="31" borderId="27" xfId="0" applyFont="1" applyFill="1" applyBorder="1" applyAlignment="1">
      <alignment horizontal="center"/>
    </xf>
    <xf numFmtId="168" fontId="31" fillId="35" borderId="28" xfId="32" applyNumberFormat="1" applyFont="1" applyFill="1" applyBorder="1" applyAlignment="1">
      <alignment horizontal="center"/>
    </xf>
    <xf numFmtId="168" fontId="31" fillId="35" borderId="29" xfId="32" applyNumberFormat="1" applyFont="1" applyFill="1" applyBorder="1" applyAlignment="1">
      <alignment horizontal="center"/>
    </xf>
    <xf numFmtId="168" fontId="31" fillId="35" borderId="26" xfId="32" applyNumberFormat="1" applyFont="1" applyFill="1" applyBorder="1" applyAlignment="1">
      <alignment horizontal="center"/>
    </xf>
    <xf numFmtId="0" fontId="24" fillId="35" borderId="39" xfId="0" applyFont="1" applyFill="1" applyBorder="1" applyAlignment="1">
      <alignment horizontal="center"/>
    </xf>
    <xf numFmtId="0" fontId="24" fillId="31" borderId="14" xfId="0" applyFont="1" applyFill="1" applyBorder="1" applyAlignment="1">
      <alignment horizontal="center" wrapText="1"/>
    </xf>
    <xf numFmtId="0" fontId="24" fillId="31" borderId="15" xfId="0" applyFont="1" applyFill="1" applyBorder="1" applyAlignment="1">
      <alignment horizontal="center" wrapText="1"/>
    </xf>
    <xf numFmtId="168" fontId="23" fillId="44" borderId="12" xfId="32" applyNumberFormat="1" applyFont="1" applyFill="1" applyBorder="1" applyAlignment="1">
      <alignment horizontal="left"/>
    </xf>
    <xf numFmtId="0" fontId="40" fillId="34" borderId="13" xfId="0" applyFont="1" applyFill="1" applyBorder="1" applyAlignment="1">
      <alignment horizontal="center"/>
    </xf>
    <xf numFmtId="0" fontId="40" fillId="34" borderId="0" xfId="0" applyFont="1" applyFill="1" applyBorder="1" applyAlignment="1">
      <alignment horizontal="center"/>
    </xf>
    <xf numFmtId="0" fontId="40" fillId="44" borderId="13" xfId="0" applyFont="1" applyFill="1" applyBorder="1" applyAlignment="1">
      <alignment horizontal="center"/>
    </xf>
    <xf numFmtId="0" fontId="40" fillId="44" borderId="0" xfId="0" applyFont="1" applyFill="1" applyBorder="1" applyAlignment="1">
      <alignment horizontal="center"/>
    </xf>
    <xf numFmtId="0" fontId="24" fillId="29" borderId="37" xfId="0" applyFont="1" applyFill="1" applyBorder="1" applyAlignment="1">
      <alignment horizontal="center" wrapText="1"/>
    </xf>
    <xf numFmtId="0" fontId="24" fillId="29" borderId="38" xfId="0" applyFont="1" applyFill="1" applyBorder="1" applyAlignment="1">
      <alignment horizontal="center" wrapText="1"/>
    </xf>
    <xf numFmtId="0" fontId="24" fillId="29" borderId="39" xfId="0" applyFont="1" applyFill="1" applyBorder="1" applyAlignment="1">
      <alignment horizontal="center" wrapText="1"/>
    </xf>
    <xf numFmtId="0" fontId="39" fillId="45" borderId="28" xfId="0" applyFont="1" applyFill="1" applyBorder="1" applyAlignment="1">
      <alignment horizontal="center"/>
    </xf>
    <xf numFmtId="0" fontId="39" fillId="45" borderId="29" xfId="0" applyFont="1" applyFill="1" applyBorder="1" applyAlignment="1">
      <alignment horizontal="center"/>
    </xf>
    <xf numFmtId="0" fontId="39" fillId="45" borderId="26" xfId="0" applyFont="1" applyFill="1" applyBorder="1" applyAlignment="1">
      <alignment horizontal="center"/>
    </xf>
    <xf numFmtId="0" fontId="24" fillId="37" borderId="34" xfId="0" applyFont="1" applyFill="1" applyBorder="1" applyAlignment="1">
      <alignment horizontal="center" wrapText="1"/>
    </xf>
    <xf numFmtId="0" fontId="24" fillId="37" borderId="38" xfId="0" applyFont="1" applyFill="1" applyBorder="1" applyAlignment="1">
      <alignment horizontal="center"/>
    </xf>
    <xf numFmtId="0" fontId="24" fillId="37" borderId="35" xfId="0" applyFont="1" applyFill="1" applyBorder="1" applyAlignment="1">
      <alignment horizontal="center"/>
    </xf>
    <xf numFmtId="0" fontId="24" fillId="36" borderId="37" xfId="0" applyFont="1" applyFill="1" applyBorder="1" applyAlignment="1">
      <alignment horizontal="center" wrapText="1"/>
    </xf>
    <xf numFmtId="0" fontId="24" fillId="36" borderId="38" xfId="0" applyFont="1" applyFill="1" applyBorder="1" applyAlignment="1">
      <alignment horizontal="center"/>
    </xf>
    <xf numFmtId="0" fontId="24" fillId="26" borderId="37" xfId="0" applyFont="1" applyFill="1" applyBorder="1" applyAlignment="1">
      <alignment horizontal="center" wrapText="1"/>
    </xf>
    <xf numFmtId="0" fontId="24" fillId="26" borderId="38" xfId="0" applyFont="1" applyFill="1" applyBorder="1" applyAlignment="1">
      <alignment horizontal="center" wrapText="1"/>
    </xf>
    <xf numFmtId="0" fontId="24" fillId="26" borderId="39" xfId="0" applyFont="1" applyFill="1" applyBorder="1" applyAlignment="1">
      <alignment horizontal="center"/>
    </xf>
    <xf numFmtId="0" fontId="24" fillId="39" borderId="38" xfId="0" applyFont="1" applyFill="1" applyBorder="1" applyAlignment="1">
      <alignment horizontal="center" wrapText="1"/>
    </xf>
    <xf numFmtId="0" fontId="24" fillId="39" borderId="38" xfId="0" applyFont="1" applyFill="1" applyBorder="1" applyAlignment="1">
      <alignment horizontal="center"/>
    </xf>
    <xf numFmtId="0" fontId="24" fillId="39" borderId="35" xfId="0" applyFont="1" applyFill="1" applyBorder="1" applyAlignment="1">
      <alignment horizontal="center"/>
    </xf>
    <xf numFmtId="0" fontId="24" fillId="41" borderId="37" xfId="0" applyFont="1" applyFill="1" applyBorder="1" applyAlignment="1">
      <alignment horizontal="center" wrapText="1"/>
    </xf>
    <xf numFmtId="0" fontId="24" fillId="41" borderId="38" xfId="0" applyFont="1" applyFill="1" applyBorder="1" applyAlignment="1">
      <alignment horizontal="center"/>
    </xf>
    <xf numFmtId="0" fontId="24" fillId="27" borderId="37" xfId="0" applyFont="1" applyFill="1" applyBorder="1" applyAlignment="1">
      <alignment horizontal="center" wrapText="1"/>
    </xf>
    <xf numFmtId="0" fontId="24" fillId="27" borderId="38" xfId="0" applyFont="1" applyFill="1" applyBorder="1" applyAlignment="1">
      <alignment horizontal="center" wrapText="1"/>
    </xf>
    <xf numFmtId="0" fontId="24" fillId="27" borderId="39" xfId="0" applyFont="1" applyFill="1" applyBorder="1" applyAlignment="1">
      <alignment horizontal="center" wrapText="1"/>
    </xf>
    <xf numFmtId="0" fontId="24" fillId="28" borderId="37" xfId="0" applyFont="1" applyFill="1" applyBorder="1" applyAlignment="1">
      <alignment horizontal="center" wrapText="1"/>
    </xf>
    <xf numFmtId="0" fontId="24" fillId="28" borderId="38" xfId="0" applyFont="1" applyFill="1" applyBorder="1" applyAlignment="1">
      <alignment horizontal="center" wrapText="1"/>
    </xf>
    <xf numFmtId="0" fontId="42" fillId="45" borderId="0" xfId="0" applyFont="1" applyFill="1" applyBorder="1" applyAlignment="1">
      <alignment horizontal="center"/>
    </xf>
    <xf numFmtId="0" fontId="42" fillId="45" borderId="12" xfId="0" applyFont="1" applyFill="1" applyBorder="1" applyAlignment="1">
      <alignment horizontal="center"/>
    </xf>
    <xf numFmtId="0" fontId="0" fillId="43" borderId="37" xfId="0" applyFill="1" applyBorder="1" applyAlignment="1">
      <alignment horizontal="center" wrapText="1"/>
    </xf>
    <xf numFmtId="0" fontId="0" fillId="43" borderId="38" xfId="0" applyFill="1" applyBorder="1" applyAlignment="1">
      <alignment horizontal="center"/>
    </xf>
    <xf numFmtId="0" fontId="42" fillId="45" borderId="21" xfId="0" applyFont="1" applyFill="1" applyBorder="1" applyAlignment="1">
      <alignment horizontal="center"/>
    </xf>
    <xf numFmtId="168" fontId="39" fillId="38" borderId="13" xfId="32" applyNumberFormat="1" applyFont="1" applyFill="1" applyBorder="1" applyAlignment="1">
      <alignment horizontal="center"/>
    </xf>
    <xf numFmtId="168" fontId="39" fillId="38" borderId="0" xfId="32" applyNumberFormat="1" applyFont="1" applyFill="1" applyBorder="1" applyAlignment="1">
      <alignment horizontal="center"/>
    </xf>
    <xf numFmtId="168" fontId="39" fillId="38" borderId="21" xfId="32" applyNumberFormat="1" applyFont="1" applyFill="1" applyBorder="1" applyAlignment="1">
      <alignment horizontal="center"/>
    </xf>
    <xf numFmtId="0" fontId="39" fillId="40" borderId="28" xfId="0" applyFont="1" applyFill="1" applyBorder="1" applyAlignment="1">
      <alignment horizontal="center"/>
    </xf>
    <xf numFmtId="0" fontId="39" fillId="40" borderId="29" xfId="0" applyFont="1" applyFill="1" applyBorder="1" applyAlignment="1">
      <alignment horizontal="center"/>
    </xf>
    <xf numFmtId="0" fontId="39" fillId="40" borderId="26" xfId="0" applyFont="1" applyFill="1" applyBorder="1" applyAlignment="1">
      <alignment horizontal="center"/>
    </xf>
    <xf numFmtId="168" fontId="39" fillId="42" borderId="13" xfId="32" applyNumberFormat="1" applyFont="1" applyFill="1" applyBorder="1" applyAlignment="1">
      <alignment horizontal="center"/>
    </xf>
    <xf numFmtId="168" fontId="39" fillId="42" borderId="0" xfId="32" applyNumberFormat="1" applyFont="1" applyFill="1" applyBorder="1" applyAlignment="1">
      <alignment horizontal="center"/>
    </xf>
    <xf numFmtId="0" fontId="40" fillId="43" borderId="13" xfId="0" applyFont="1" applyFill="1" applyBorder="1" applyAlignment="1">
      <alignment horizontal="center"/>
    </xf>
    <xf numFmtId="0" fontId="40" fillId="43" borderId="0" xfId="0" applyFont="1" applyFill="1" applyBorder="1" applyAlignment="1">
      <alignment horizontal="center"/>
    </xf>
  </cellXfs>
  <cellStyles count="4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Entrée 2" xfId="28"/>
    <cellStyle name="Euro" xfId="29"/>
    <cellStyle name="Insatisfaisant 2" xfId="30"/>
    <cellStyle name="Milliers 2" xfId="31"/>
    <cellStyle name="Monétaire" xfId="32" builtinId="4"/>
    <cellStyle name="Monétaire 2" xfId="33"/>
    <cellStyle name="Neutre 2" xfId="34"/>
    <cellStyle name="Normal" xfId="0" builtinId="0"/>
    <cellStyle name="Normal 2" xfId="35"/>
    <cellStyle name="Normal 3" xfId="36"/>
    <cellStyle name="Pourcentage" xfId="37" builtinId="5"/>
    <cellStyle name="Satisfaisant 2" xfId="38"/>
    <cellStyle name="Sortie 2" xfId="39"/>
    <cellStyle name="Texte explicatif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0"/>
  <tableStyles count="0" defaultTableStyle="TableStyleMedium9" defaultPivotStyle="PivotStyleLight16"/>
  <colors>
    <mruColors>
      <color rgb="FFCCFFFF"/>
      <color rgb="FF66CCFF"/>
      <color rgb="FF3399FF"/>
      <color rgb="FF33CCFF"/>
      <color rgb="FF0099FF"/>
      <color rgb="FFCC00FF"/>
      <color rgb="FFDED4F8"/>
      <color rgb="FFB3C6FD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sz="1800"/>
              <a:t>Suivi Mensuel du C.A (H.T)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 CA 16-17'!$K$2</c:f>
              <c:strCache>
                <c:ptCount val="1"/>
                <c:pt idx="0">
                  <c:v>2015-2016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'SUIV CA 16-17'!$E$3:$E$14</c:f>
              <c:strCache>
                <c:ptCount val="12"/>
                <c:pt idx="0">
                  <c:v>septembre</c:v>
                </c:pt>
                <c:pt idx="1">
                  <c:v>octobre</c:v>
                </c:pt>
                <c:pt idx="2">
                  <c:v>novembre</c:v>
                </c:pt>
                <c:pt idx="3">
                  <c:v>décembre</c:v>
                </c:pt>
                <c:pt idx="4">
                  <c:v>janvier</c:v>
                </c:pt>
                <c:pt idx="5">
                  <c:v>février</c:v>
                </c:pt>
                <c:pt idx="6">
                  <c:v>mars</c:v>
                </c:pt>
                <c:pt idx="7">
                  <c:v>avril</c:v>
                </c:pt>
                <c:pt idx="8">
                  <c:v>mai</c:v>
                </c:pt>
                <c:pt idx="9">
                  <c:v>juin</c:v>
                </c:pt>
                <c:pt idx="10">
                  <c:v>juillet</c:v>
                </c:pt>
                <c:pt idx="11">
                  <c:v>août</c:v>
                </c:pt>
              </c:strCache>
            </c:strRef>
          </c:cat>
          <c:val>
            <c:numRef>
              <c:f>'SUIV CA 16-17'!$K$3:$K$14</c:f>
              <c:numCache>
                <c:formatCode>_-* #\ ##0\ "€"_-;\-* #\ ##0\ "€"_-;_-* "-"??\ "€"_-;_-@_-</c:formatCode>
                <c:ptCount val="12"/>
                <c:pt idx="0">
                  <c:v>424887.44999999978</c:v>
                </c:pt>
                <c:pt idx="1">
                  <c:v>522266.98999999982</c:v>
                </c:pt>
                <c:pt idx="2">
                  <c:v>476269.32999999984</c:v>
                </c:pt>
                <c:pt idx="3">
                  <c:v>399509.2</c:v>
                </c:pt>
                <c:pt idx="4">
                  <c:v>423061.41000000003</c:v>
                </c:pt>
                <c:pt idx="5">
                  <c:v>490642.58999999997</c:v>
                </c:pt>
                <c:pt idx="6">
                  <c:v>630260.7200000002</c:v>
                </c:pt>
                <c:pt idx="7">
                  <c:v>551954.28999999992</c:v>
                </c:pt>
                <c:pt idx="8">
                  <c:v>488534.92999999988</c:v>
                </c:pt>
                <c:pt idx="9">
                  <c:v>535194.65</c:v>
                </c:pt>
                <c:pt idx="10">
                  <c:v>568537.07999999984</c:v>
                </c:pt>
                <c:pt idx="11">
                  <c:v>266276.17999999993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50-4423-A68A-AF3225842C0F}"/>
            </c:ext>
          </c:extLst>
        </c:ser>
        <c:ser>
          <c:idx val="1"/>
          <c:order val="1"/>
          <c:tx>
            <c:strRef>
              <c:f>'SUIV CA 16-17'!$F$2</c:f>
              <c:strCache>
                <c:ptCount val="1"/>
                <c:pt idx="0">
                  <c:v>2016-2017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'SUIV CA 16-17'!$E$3:$E$14</c:f>
              <c:strCache>
                <c:ptCount val="12"/>
                <c:pt idx="0">
                  <c:v>septembre</c:v>
                </c:pt>
                <c:pt idx="1">
                  <c:v>octobre</c:v>
                </c:pt>
                <c:pt idx="2">
                  <c:v>novembre</c:v>
                </c:pt>
                <c:pt idx="3">
                  <c:v>décembre</c:v>
                </c:pt>
                <c:pt idx="4">
                  <c:v>janvier</c:v>
                </c:pt>
                <c:pt idx="5">
                  <c:v>février</c:v>
                </c:pt>
                <c:pt idx="6">
                  <c:v>mars</c:v>
                </c:pt>
                <c:pt idx="7">
                  <c:v>avril</c:v>
                </c:pt>
                <c:pt idx="8">
                  <c:v>mai</c:v>
                </c:pt>
                <c:pt idx="9">
                  <c:v>juin</c:v>
                </c:pt>
                <c:pt idx="10">
                  <c:v>juillet</c:v>
                </c:pt>
                <c:pt idx="11">
                  <c:v>août</c:v>
                </c:pt>
              </c:strCache>
            </c:strRef>
          </c:cat>
          <c:val>
            <c:numRef>
              <c:f>'SUIV CA 16-17'!$F$3:$F$14</c:f>
              <c:numCache>
                <c:formatCode>_-* #\ ##0\ "€"_-;\-* #\ ##0\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50-4423-A68A-AF3225842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7"/>
        <c:overlap val="-43"/>
        <c:axId val="245300824"/>
        <c:axId val="215626880"/>
      </c:barChart>
      <c:catAx>
        <c:axId val="2453008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626880"/>
        <c:crosses val="autoZero"/>
        <c:auto val="1"/>
        <c:lblAlgn val="ctr"/>
        <c:lblOffset val="100"/>
        <c:noMultiLvlLbl val="0"/>
      </c:catAx>
      <c:valAx>
        <c:axId val="215626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30082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l">
              <a:defRPr sz="2000" b="1" i="0" u="sng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800" u="sng" baseline="0">
                <a:solidFill>
                  <a:srgbClr val="CF2917"/>
                </a:solidFill>
                <a:uFill>
                  <a:solidFill>
                    <a:srgbClr val="CC3300"/>
                  </a:solidFill>
                </a:uFill>
                <a:latin typeface="Calibri Light" panose="020F0302020204030204" pitchFamily="34" charset="0"/>
              </a:rPr>
              <a:t>.</a:t>
            </a:r>
            <a:r>
              <a:rPr lang="fr-FR" sz="2800" u="sng" baseline="0">
                <a:uFill>
                  <a:solidFill>
                    <a:srgbClr val="CC3300"/>
                  </a:solidFill>
                </a:uFill>
                <a:latin typeface="Calibri Light" panose="020F0302020204030204" pitchFamily="34" charset="0"/>
              </a:rPr>
              <a:t>REPARTITION CHIFFRES D'AFFAIRES</a:t>
            </a:r>
            <a:endParaRPr lang="fr-FR" sz="1800" u="sng" baseline="0">
              <a:uFill>
                <a:solidFill>
                  <a:srgbClr val="CC3300"/>
                </a:solidFill>
              </a:uFill>
              <a:latin typeface="Calibri Light" panose="020F0302020204030204" pitchFamily="34" charset="0"/>
            </a:endParaRPr>
          </a:p>
        </c:rich>
      </c:tx>
      <c:layout>
        <c:manualLayout>
          <c:xMode val="edge"/>
          <c:yMode val="edge"/>
          <c:x val="3.1081026389009561E-4"/>
          <c:y val="5.1891482855016705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l">
            <a:defRPr sz="2000" b="1" i="0" u="sng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3956383554073918E-2"/>
          <c:y val="0.14864992231253241"/>
          <c:w val="0.81567651960134069"/>
          <c:h val="0.81239480403015585"/>
        </c:manualLayout>
      </c:layout>
      <c:pie3DChart>
        <c:varyColors val="1"/>
        <c:ser>
          <c:idx val="0"/>
          <c:order val="0"/>
          <c:tx>
            <c:v>repartition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52B-461B-9C80-340405F04C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F52B-461B-9C80-340405F04C3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52B-461B-9C80-340405F04C32}"/>
              </c:ext>
            </c:extLst>
          </c:dPt>
          <c:dLbls>
            <c:dLbl>
              <c:idx val="0"/>
              <c:layout>
                <c:manualLayout>
                  <c:x val="-3.6367060241787597E-2"/>
                  <c:y val="3.9967776936979754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4580676609870411E-2"/>
                      <c:h val="7.1553894356197884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F52B-461B-9C80-340405F04C32}"/>
                </c:ext>
              </c:extLst>
            </c:dLbl>
            <c:dLbl>
              <c:idx val="1"/>
              <c:layout>
                <c:manualLayout>
                  <c:x val="6.902601240689539E-2"/>
                  <c:y val="7.3099835924960471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2601852949326079E-2"/>
                      <c:h val="7.86366713848000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F52B-461B-9C80-340405F04C32}"/>
                </c:ext>
              </c:extLst>
            </c:dLbl>
            <c:dLbl>
              <c:idx val="2"/>
              <c:layout>
                <c:manualLayout>
                  <c:x val="-5.2188240059216524E-2"/>
                  <c:y val="-5.5853552709803783E-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0">
                    <a:noAutofit/>
                  </a:bodyPr>
                  <a:lstStyle/>
                  <a:p>
                    <a:pPr algn="ctr">
                      <a:defRPr sz="14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sz="1400"/>
                      <a:t>75%	</a:t>
                    </a:r>
                  </a:p>
                </c:rich>
              </c:tx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0">
                  <a:noAutofit/>
                </a:bodyPr>
                <a:lstStyle/>
                <a:p>
                  <a:pPr algn="ctr">
                    <a:defRPr sz="14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5551398817396653"/>
                      <c:h val="6.4471117327595723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F52B-461B-9C80-340405F04C32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'SUIV CA 16-17'!$E$18:$F$20</c:f>
              <c:strCache>
                <c:ptCount val="3"/>
                <c:pt idx="0">
                  <c:v>Particuliers</c:v>
                </c:pt>
                <c:pt idx="1">
                  <c:v>Artisans</c:v>
                </c:pt>
                <c:pt idx="2">
                  <c:v>Pro Négoce</c:v>
                </c:pt>
              </c:strCache>
            </c:strRef>
          </c:cat>
          <c:val>
            <c:numRef>
              <c:f>'SUIV CA 16-17'!$G$18:$G$20</c:f>
              <c:numCache>
                <c:formatCode>_-* #\ ##0\ "€"_-;\-* #\ ##0\ "€"_-;_-* "-"??\ "€"_-;_-@_-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2B-461B-9C80-340405F04C3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373920401516912"/>
          <c:y val="0.43868629543991905"/>
          <c:w val="0.21070713433548108"/>
          <c:h val="0.3534698915052413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u="sng"/>
              <a:t>Suivi Prod Scierie 1 (M3)</a:t>
            </a:r>
          </a:p>
        </c:rich>
      </c:tx>
      <c:layout>
        <c:manualLayout>
          <c:xMode val="edge"/>
          <c:yMode val="edge"/>
          <c:x val="0.35087647955139728"/>
          <c:y val="0.9193151674424741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Scierie 1 2015-2016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16-17'!$V$4:$V$15</c:f>
              <c:numCache>
                <c:formatCode>0</c:formatCode>
                <c:ptCount val="12"/>
                <c:pt idx="0">
                  <c:v>730.94</c:v>
                </c:pt>
                <c:pt idx="1">
                  <c:v>899.43</c:v>
                </c:pt>
                <c:pt idx="2">
                  <c:v>819.68</c:v>
                </c:pt>
                <c:pt idx="3">
                  <c:v>519.21</c:v>
                </c:pt>
                <c:pt idx="4">
                  <c:v>757.3</c:v>
                </c:pt>
                <c:pt idx="5">
                  <c:v>769.28</c:v>
                </c:pt>
                <c:pt idx="6">
                  <c:v>750.25</c:v>
                </c:pt>
                <c:pt idx="7">
                  <c:v>833.48</c:v>
                </c:pt>
                <c:pt idx="8">
                  <c:v>786.45</c:v>
                </c:pt>
                <c:pt idx="9">
                  <c:v>962.45</c:v>
                </c:pt>
                <c:pt idx="10">
                  <c:v>725.66</c:v>
                </c:pt>
                <c:pt idx="11">
                  <c:v>206.67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E4-43BC-A004-76CACFC526F9}"/>
            </c:ext>
          </c:extLst>
        </c:ser>
        <c:ser>
          <c:idx val="1"/>
          <c:order val="1"/>
          <c:tx>
            <c:v>Scierie 1 2016-2017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16-17'!$AA$4:$AA$15</c:f>
              <c:numCache>
                <c:formatCode>0</c:formatCode>
                <c:ptCount val="12"/>
                <c:pt idx="0">
                  <c:v>769.9</c:v>
                </c:pt>
                <c:pt idx="1">
                  <c:v>630.77</c:v>
                </c:pt>
                <c:pt idx="2">
                  <c:v>711.22</c:v>
                </c:pt>
                <c:pt idx="3">
                  <c:v>467.01</c:v>
                </c:pt>
                <c:pt idx="4">
                  <c:v>548.6</c:v>
                </c:pt>
                <c:pt idx="5">
                  <c:v>804.74</c:v>
                </c:pt>
                <c:pt idx="6">
                  <c:v>793.34</c:v>
                </c:pt>
                <c:pt idx="7">
                  <c:v>676.18</c:v>
                </c:pt>
                <c:pt idx="8">
                  <c:v>722.91</c:v>
                </c:pt>
                <c:pt idx="9">
                  <c:v>504.55</c:v>
                </c:pt>
                <c:pt idx="10">
                  <c:v>779.57</c:v>
                </c:pt>
                <c:pt idx="11">
                  <c:v>186.07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DE4-43BC-A004-76CACFC526F9}"/>
            </c:ext>
          </c:extLst>
        </c:ser>
        <c:ser>
          <c:idx val="2"/>
          <c:order val="2"/>
          <c:tx>
            <c:v>Ecart Prod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16-17'!$AF$4:$AF$15</c:f>
              <c:numCache>
                <c:formatCode>0</c:formatCode>
                <c:ptCount val="12"/>
                <c:pt idx="0">
                  <c:v>38.959999999999923</c:v>
                </c:pt>
                <c:pt idx="1">
                  <c:v>-268.65999999999997</c:v>
                </c:pt>
                <c:pt idx="2">
                  <c:v>-108.45999999999992</c:v>
                </c:pt>
                <c:pt idx="3">
                  <c:v>-52.200000000000045</c:v>
                </c:pt>
                <c:pt idx="4">
                  <c:v>-208.69999999999993</c:v>
                </c:pt>
                <c:pt idx="5">
                  <c:v>35.460000000000036</c:v>
                </c:pt>
                <c:pt idx="6">
                  <c:v>43.090000000000032</c:v>
                </c:pt>
                <c:pt idx="7">
                  <c:v>-157.30000000000007</c:v>
                </c:pt>
                <c:pt idx="8">
                  <c:v>-63.540000000000077</c:v>
                </c:pt>
                <c:pt idx="9">
                  <c:v>-457.90000000000003</c:v>
                </c:pt>
                <c:pt idx="10">
                  <c:v>53.910000000000082</c:v>
                </c:pt>
                <c:pt idx="11">
                  <c:v>-20.599999999999994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DE4-43BC-A004-76CACFC526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7581968"/>
        <c:axId val="318198848"/>
      </c:barChart>
      <c:catAx>
        <c:axId val="317581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8198848"/>
        <c:crosses val="autoZero"/>
        <c:auto val="1"/>
        <c:lblAlgn val="ctr"/>
        <c:lblOffset val="100"/>
        <c:noMultiLvlLbl val="0"/>
      </c:catAx>
      <c:valAx>
        <c:axId val="31819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8196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645273223776785"/>
          <c:y val="0.78524824384466452"/>
          <c:w val="0.5193563804136212"/>
          <c:h val="5.89499877558123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u="sng"/>
              <a:t>Suivi Prod Scierie 2 (M3)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Scierie 2 2015-2016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16-17'!$W$4:$W$15</c:f>
              <c:numCache>
                <c:formatCode>0</c:formatCode>
                <c:ptCount val="12"/>
                <c:pt idx="0">
                  <c:v>1201.3399999999999</c:v>
                </c:pt>
                <c:pt idx="1">
                  <c:v>1171.04</c:v>
                </c:pt>
                <c:pt idx="2">
                  <c:v>1159.83</c:v>
                </c:pt>
                <c:pt idx="3">
                  <c:v>731.68</c:v>
                </c:pt>
                <c:pt idx="4">
                  <c:v>1056.06</c:v>
                </c:pt>
                <c:pt idx="5">
                  <c:v>1174.8599999999999</c:v>
                </c:pt>
                <c:pt idx="6">
                  <c:v>1273.29</c:v>
                </c:pt>
                <c:pt idx="7">
                  <c:v>1158.21</c:v>
                </c:pt>
                <c:pt idx="8">
                  <c:v>1035.76</c:v>
                </c:pt>
                <c:pt idx="9">
                  <c:v>1261.75</c:v>
                </c:pt>
                <c:pt idx="10">
                  <c:v>1045.8800000000001</c:v>
                </c:pt>
                <c:pt idx="11">
                  <c:v>276.69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09-4A81-BDEC-DE1D075DAFD5}"/>
            </c:ext>
          </c:extLst>
        </c:ser>
        <c:ser>
          <c:idx val="1"/>
          <c:order val="1"/>
          <c:tx>
            <c:v>Scierie 2 2016-2017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16-17'!$AB$4:$AB$15</c:f>
              <c:numCache>
                <c:formatCode>0</c:formatCode>
                <c:ptCount val="12"/>
                <c:pt idx="0">
                  <c:v>1202.94</c:v>
                </c:pt>
                <c:pt idx="1">
                  <c:v>1045.8399999999999</c:v>
                </c:pt>
                <c:pt idx="2">
                  <c:v>1051.54</c:v>
                </c:pt>
                <c:pt idx="3">
                  <c:v>808.6</c:v>
                </c:pt>
                <c:pt idx="4">
                  <c:v>1140.48</c:v>
                </c:pt>
                <c:pt idx="5">
                  <c:v>1083.93</c:v>
                </c:pt>
                <c:pt idx="6">
                  <c:v>1291.8900000000001</c:v>
                </c:pt>
                <c:pt idx="7">
                  <c:v>908.85</c:v>
                </c:pt>
                <c:pt idx="8">
                  <c:v>1026.75</c:v>
                </c:pt>
                <c:pt idx="9">
                  <c:v>872.77</c:v>
                </c:pt>
                <c:pt idx="10">
                  <c:v>1166.28</c:v>
                </c:pt>
                <c:pt idx="11">
                  <c:v>448.14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09-4A81-BDEC-DE1D075DAFD5}"/>
            </c:ext>
          </c:extLst>
        </c:ser>
        <c:ser>
          <c:idx val="2"/>
          <c:order val="2"/>
          <c:tx>
            <c:v>Ecart Prod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16-17'!$AG$4:$AG$15</c:f>
              <c:numCache>
                <c:formatCode>0</c:formatCode>
                <c:ptCount val="12"/>
                <c:pt idx="0">
                  <c:v>1.6000000000001364</c:v>
                </c:pt>
                <c:pt idx="1">
                  <c:v>-125.20000000000005</c:v>
                </c:pt>
                <c:pt idx="2">
                  <c:v>-108.28999999999996</c:v>
                </c:pt>
                <c:pt idx="3">
                  <c:v>76.920000000000073</c:v>
                </c:pt>
                <c:pt idx="4">
                  <c:v>84.420000000000073</c:v>
                </c:pt>
                <c:pt idx="5">
                  <c:v>-90.929999999999836</c:v>
                </c:pt>
                <c:pt idx="6">
                  <c:v>18.600000000000136</c:v>
                </c:pt>
                <c:pt idx="7">
                  <c:v>-249.36</c:v>
                </c:pt>
                <c:pt idx="8">
                  <c:v>-9.0099999999999909</c:v>
                </c:pt>
                <c:pt idx="9">
                  <c:v>-388.98</c:v>
                </c:pt>
                <c:pt idx="10">
                  <c:v>120.39999999999986</c:v>
                </c:pt>
                <c:pt idx="11">
                  <c:v>171.45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09-4A81-BDEC-DE1D075DAF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7337408"/>
        <c:axId val="317337792"/>
      </c:barChart>
      <c:catAx>
        <c:axId val="3173374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337792"/>
        <c:crosses val="autoZero"/>
        <c:auto val="1"/>
        <c:lblAlgn val="ctr"/>
        <c:lblOffset val="100"/>
        <c:noMultiLvlLbl val="0"/>
      </c:catAx>
      <c:valAx>
        <c:axId val="317337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33740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277796310669532"/>
          <c:y val="0.75264841521195358"/>
          <c:w val="0.52809709324002263"/>
          <c:h val="6.093472692894738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cap="none" spc="0" normalizeH="0" baseline="0">
                <a:solidFill>
                  <a:schemeClr val="dk1">
                    <a:lumMod val="50000"/>
                    <a:lumOff val="50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u="sng"/>
              <a:t>Suivi Prod Raboterie (M3)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Raboterie 2015-2016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16-17'!$X$4:$X$15</c:f>
              <c:numCache>
                <c:formatCode>0</c:formatCode>
                <c:ptCount val="12"/>
                <c:pt idx="0">
                  <c:v>574.35</c:v>
                </c:pt>
                <c:pt idx="1">
                  <c:v>539.95000000000005</c:v>
                </c:pt>
                <c:pt idx="2">
                  <c:v>641.41</c:v>
                </c:pt>
                <c:pt idx="3">
                  <c:v>429.14</c:v>
                </c:pt>
                <c:pt idx="4">
                  <c:v>504.39</c:v>
                </c:pt>
                <c:pt idx="5">
                  <c:v>771.78</c:v>
                </c:pt>
                <c:pt idx="6">
                  <c:v>850.64</c:v>
                </c:pt>
                <c:pt idx="7">
                  <c:v>651.24</c:v>
                </c:pt>
                <c:pt idx="8">
                  <c:v>523.66</c:v>
                </c:pt>
                <c:pt idx="9">
                  <c:v>728.79</c:v>
                </c:pt>
                <c:pt idx="10">
                  <c:v>716.91</c:v>
                </c:pt>
                <c:pt idx="11">
                  <c:v>164.14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A8-4C7B-BCA1-F82D5E0FCB68}"/>
            </c:ext>
          </c:extLst>
        </c:ser>
        <c:ser>
          <c:idx val="1"/>
          <c:order val="1"/>
          <c:tx>
            <c:v>Raboterie 2016-2017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16-17'!$AC$4:$AC$15</c:f>
              <c:numCache>
                <c:formatCode>0</c:formatCode>
                <c:ptCount val="12"/>
                <c:pt idx="0">
                  <c:v>673.97</c:v>
                </c:pt>
                <c:pt idx="1">
                  <c:v>452.86</c:v>
                </c:pt>
                <c:pt idx="2">
                  <c:v>438.9</c:v>
                </c:pt>
                <c:pt idx="3">
                  <c:v>341.28</c:v>
                </c:pt>
                <c:pt idx="4">
                  <c:v>406.95</c:v>
                </c:pt>
                <c:pt idx="5">
                  <c:v>526.95000000000005</c:v>
                </c:pt>
                <c:pt idx="6">
                  <c:v>758.78</c:v>
                </c:pt>
                <c:pt idx="7">
                  <c:v>504.9</c:v>
                </c:pt>
                <c:pt idx="8">
                  <c:v>639.9</c:v>
                </c:pt>
                <c:pt idx="9">
                  <c:v>743.06</c:v>
                </c:pt>
                <c:pt idx="10">
                  <c:v>641.55999999999995</c:v>
                </c:pt>
                <c:pt idx="11">
                  <c:v>256.62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3A8-4C7B-BCA1-F82D5E0FCB68}"/>
            </c:ext>
          </c:extLst>
        </c:ser>
        <c:ser>
          <c:idx val="2"/>
          <c:order val="2"/>
          <c:tx>
            <c:v>Ecart Prod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'SUIV CA 16-17'!$U$4:$U$15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Déc</c:v>
                </c:pt>
                <c:pt idx="4">
                  <c:v>Janv</c:v>
                </c:pt>
                <c:pt idx="5">
                  <c:v>Févr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Juil</c:v>
                </c:pt>
                <c:pt idx="11">
                  <c:v>Août</c:v>
                </c:pt>
              </c:strCache>
            </c:strRef>
          </c:cat>
          <c:val>
            <c:numRef>
              <c:f>'SUIV CA 16-17'!$AH$4:$AH$15</c:f>
              <c:numCache>
                <c:formatCode>0</c:formatCode>
                <c:ptCount val="12"/>
                <c:pt idx="0">
                  <c:v>99.62</c:v>
                </c:pt>
                <c:pt idx="1">
                  <c:v>-87.090000000000032</c:v>
                </c:pt>
                <c:pt idx="2">
                  <c:v>-202.51</c:v>
                </c:pt>
                <c:pt idx="3">
                  <c:v>-87.860000000000014</c:v>
                </c:pt>
                <c:pt idx="4">
                  <c:v>-97.44</c:v>
                </c:pt>
                <c:pt idx="5">
                  <c:v>-244.82999999999993</c:v>
                </c:pt>
                <c:pt idx="6">
                  <c:v>-91.860000000000014</c:v>
                </c:pt>
                <c:pt idx="7">
                  <c:v>-146.34000000000003</c:v>
                </c:pt>
                <c:pt idx="8">
                  <c:v>116.24000000000001</c:v>
                </c:pt>
                <c:pt idx="9">
                  <c:v>14.269999999999982</c:v>
                </c:pt>
                <c:pt idx="10">
                  <c:v>-75.350000000000023</c:v>
                </c:pt>
                <c:pt idx="11">
                  <c:v>92.480000000000018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3A8-4C7B-BCA1-F82D5E0FCB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5154688"/>
        <c:axId val="215155080"/>
      </c:barChart>
      <c:catAx>
        <c:axId val="2151546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155080"/>
        <c:crosses val="autoZero"/>
        <c:auto val="1"/>
        <c:lblAlgn val="ctr"/>
        <c:lblOffset val="100"/>
        <c:noMultiLvlLbl val="0"/>
      </c:catAx>
      <c:valAx>
        <c:axId val="215155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15468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7166742058430821"/>
          <c:y val="0.7819882609813934"/>
          <c:w val="0.57320693573575288"/>
          <c:h val="6.093472692894738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38</xdr:row>
      <xdr:rowOff>47623</xdr:rowOff>
    </xdr:from>
    <xdr:to>
      <xdr:col>18</xdr:col>
      <xdr:colOff>631032</xdr:colOff>
      <xdr:row>64</xdr:row>
      <xdr:rowOff>130966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0763596-3C0A-4254-8037-75BA4519CF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309561</xdr:colOff>
      <xdr:row>64</xdr:row>
      <xdr:rowOff>176210</xdr:rowOff>
    </xdr:from>
    <xdr:to>
      <xdr:col>18</xdr:col>
      <xdr:colOff>642937</xdr:colOff>
      <xdr:row>98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4336A5F-6C6B-4023-9CA0-D3A4751713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392906</xdr:colOff>
      <xdr:row>38</xdr:row>
      <xdr:rowOff>166687</xdr:rowOff>
    </xdr:from>
    <xdr:to>
      <xdr:col>22</xdr:col>
      <xdr:colOff>642937</xdr:colOff>
      <xdr:row>57</xdr:row>
      <xdr:rowOff>190499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6E29113-48D5-4E67-B799-8D43C8D5B7CC}"/>
            </a:ext>
          </a:extLst>
        </xdr:cNvPr>
        <xdr:cNvSpPr txBox="1"/>
      </xdr:nvSpPr>
      <xdr:spPr>
        <a:xfrm>
          <a:off x="10215562" y="7441406"/>
          <a:ext cx="5631656" cy="36433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/>
            <a:t>L'année</a:t>
          </a:r>
          <a:r>
            <a:rPr lang="fr-FR" sz="1200" b="1" u="sng" baseline="0"/>
            <a:t> 2016-2017 en quelques chiffres : </a:t>
          </a:r>
        </a:p>
        <a:p>
          <a:endParaRPr lang="fr-FR" sz="1100" baseline="0"/>
        </a:p>
        <a:p>
          <a:r>
            <a:rPr lang="fr-FR" sz="1100" baseline="0"/>
            <a:t>-C.A total H.T = 5 758 100 €                   //    5 777 395 €   ( -0,4 %)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-C.A Scierie 1 (Hors Produits Connexes) =      1 256 817 € </a:t>
          </a:r>
        </a:p>
        <a:p>
          <a:endParaRPr lang="fr-FR" sz="1100" baseline="0"/>
        </a:p>
        <a:p>
          <a:r>
            <a:rPr lang="fr-FR" sz="1100" baseline="0"/>
            <a:t>-C.A Scierie 2 (H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ors Produits Connexes) =      1 713 813 €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-C.A Raboterie (Hors Produits Connexes) =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-C.A Connexes =   840 395 € dont               203 226 € (24%)    / 532 980 € (62%) /  35 344 € (4%)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-C.A / Mois Moyen H.T = 475 605 €    //  481 505 € (N-1)</a:t>
          </a:r>
        </a:p>
        <a:p>
          <a:endParaRPr lang="fr-FR" sz="1100" baseline="0"/>
        </a:p>
        <a:p>
          <a:r>
            <a:rPr lang="fr-FR" sz="1100" baseline="0"/>
            <a:t>-C.A / Jours Moyen H.T = 25 600 €   //   (26 670 € N-1)</a:t>
          </a:r>
        </a:p>
        <a:p>
          <a:endParaRPr lang="fr-FR" sz="1100" baseline="0"/>
        </a:p>
        <a:p>
          <a:r>
            <a:rPr lang="fr-FR" sz="1100" baseline="0"/>
            <a:t>-Prix Moyen / M3 = 224 €          //  217 € (N-1)</a:t>
          </a:r>
        </a:p>
        <a:p>
          <a:endParaRPr lang="fr-FR" sz="1100" baseline="0"/>
        </a:p>
        <a:p>
          <a:r>
            <a:rPr lang="fr-FR" sz="1100" baseline="0"/>
            <a:t>-Effectif Moyen / Site</a:t>
          </a:r>
          <a:endParaRPr lang="fr-FR" sz="1100"/>
        </a:p>
      </xdr:txBody>
    </xdr:sp>
    <xdr:clientData/>
  </xdr:twoCellAnchor>
  <xdr:twoCellAnchor>
    <xdr:from>
      <xdr:col>21</xdr:col>
      <xdr:colOff>125015</xdr:colOff>
      <xdr:row>28</xdr:row>
      <xdr:rowOff>188118</xdr:rowOff>
    </xdr:from>
    <xdr:to>
      <xdr:col>31</xdr:col>
      <xdr:colOff>631031</xdr:colOff>
      <xdr:row>49</xdr:row>
      <xdr:rowOff>71438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D503DE6-D3ED-4EED-984C-2E5B2E52FF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30</xdr:col>
      <xdr:colOff>59531</xdr:colOff>
      <xdr:row>17</xdr:row>
      <xdr:rowOff>178594</xdr:rowOff>
    </xdr:from>
    <xdr:to>
      <xdr:col>39</xdr:col>
      <xdr:colOff>732235</xdr:colOff>
      <xdr:row>38</xdr:row>
      <xdr:rowOff>61914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8C0905A0-FF83-4666-BABC-1205EF9CB54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24</xdr:col>
      <xdr:colOff>571500</xdr:colOff>
      <xdr:row>38</xdr:row>
      <xdr:rowOff>178594</xdr:rowOff>
    </xdr:from>
    <xdr:to>
      <xdr:col>35</xdr:col>
      <xdr:colOff>89297</xdr:colOff>
      <xdr:row>59</xdr:row>
      <xdr:rowOff>73820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DAEC7417-3220-4A8A-9FC5-F1AF4CA9C1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AI35"/>
  <sheetViews>
    <sheetView topLeftCell="A70" zoomScale="80" zoomScaleNormal="80" workbookViewId="0">
      <selection activeCell="K100" sqref="K100"/>
    </sheetView>
  </sheetViews>
  <sheetFormatPr baseColWidth="10" defaultRowHeight="15" x14ac:dyDescent="0.25"/>
  <cols>
    <col min="1" max="1" width="8.42578125" customWidth="1"/>
    <col min="2" max="2" width="11.28515625" bestFit="1" customWidth="1"/>
    <col min="3" max="3" width="13.28515625" customWidth="1"/>
    <col min="4" max="4" width="1.85546875" customWidth="1"/>
    <col min="5" max="5" width="11.7109375" bestFit="1" customWidth="1"/>
    <col min="6" max="6" width="12.140625" customWidth="1"/>
    <col min="7" max="7" width="12.42578125" customWidth="1"/>
    <col min="8" max="8" width="9.42578125" bestFit="1" customWidth="1"/>
    <col min="9" max="9" width="7.5703125" customWidth="1"/>
    <col min="10" max="10" width="7.7109375" customWidth="1"/>
    <col min="11" max="11" width="14.5703125" bestFit="1" customWidth="1"/>
    <col min="12" max="12" width="9.85546875" customWidth="1"/>
    <col min="13" max="13" width="9.42578125" bestFit="1" customWidth="1"/>
    <col min="14" max="14" width="9.42578125" customWidth="1"/>
    <col min="15" max="15" width="8.28515625" customWidth="1"/>
    <col min="16" max="16" width="13.140625" customWidth="1"/>
    <col min="17" max="17" width="12" customWidth="1"/>
    <col min="18" max="18" width="9.85546875" customWidth="1"/>
    <col min="26" max="26" width="2.42578125" customWidth="1"/>
    <col min="31" max="31" width="2.85546875" customWidth="1"/>
    <col min="34" max="34" width="14.85546875" bestFit="1" customWidth="1"/>
  </cols>
  <sheetData>
    <row r="1" spans="1:35" x14ac:dyDescent="0.25">
      <c r="A1" s="672" t="s">
        <v>13</v>
      </c>
      <c r="B1" s="673"/>
      <c r="C1" s="674"/>
      <c r="E1" s="678" t="s">
        <v>14</v>
      </c>
      <c r="F1" s="679"/>
      <c r="G1" s="679"/>
      <c r="H1" s="679"/>
      <c r="I1" s="679"/>
      <c r="J1" s="679"/>
      <c r="K1" s="679"/>
      <c r="L1" s="679"/>
      <c r="M1" s="679"/>
      <c r="N1" s="679"/>
      <c r="O1" s="679"/>
      <c r="P1" s="679"/>
      <c r="Q1" s="679"/>
      <c r="R1" s="680"/>
    </row>
    <row r="2" spans="1:35" ht="15.75" thickBot="1" x14ac:dyDescent="0.3">
      <c r="A2" s="675"/>
      <c r="B2" s="676"/>
      <c r="C2" s="677"/>
      <c r="E2" s="43"/>
      <c r="F2" s="45" t="s">
        <v>16</v>
      </c>
      <c r="G2" s="47" t="s">
        <v>83</v>
      </c>
      <c r="H2" s="46" t="s">
        <v>86</v>
      </c>
      <c r="I2" s="47" t="s">
        <v>79</v>
      </c>
      <c r="J2" s="80" t="s">
        <v>81</v>
      </c>
      <c r="K2" s="81" t="s">
        <v>98</v>
      </c>
      <c r="L2" s="48" t="s">
        <v>83</v>
      </c>
      <c r="M2" s="48" t="s">
        <v>78</v>
      </c>
      <c r="N2" s="48" t="s">
        <v>79</v>
      </c>
      <c r="O2" s="82" t="s">
        <v>81</v>
      </c>
      <c r="P2" s="49" t="s">
        <v>85</v>
      </c>
      <c r="Q2" s="49" t="s">
        <v>84</v>
      </c>
      <c r="R2" s="50" t="s">
        <v>80</v>
      </c>
      <c r="U2" s="146"/>
      <c r="V2" s="663" t="s">
        <v>98</v>
      </c>
      <c r="W2" s="664"/>
      <c r="X2" s="664"/>
      <c r="Y2" s="665"/>
      <c r="Z2" s="147"/>
      <c r="AA2" s="663" t="s">
        <v>16</v>
      </c>
      <c r="AB2" s="664"/>
      <c r="AC2" s="664"/>
      <c r="AD2" s="665"/>
      <c r="AE2" s="147"/>
      <c r="AF2" s="663" t="s">
        <v>107</v>
      </c>
      <c r="AG2" s="664"/>
      <c r="AH2" s="664"/>
      <c r="AI2" s="665"/>
    </row>
    <row r="3" spans="1:35" x14ac:dyDescent="0.25">
      <c r="A3" s="4" t="s">
        <v>10</v>
      </c>
      <c r="B3" s="5">
        <v>42522</v>
      </c>
      <c r="C3" s="6" t="e">
        <f>SUMIFS(#REF!,#REF!,"&gt;="&amp;'SUIV CA 16-17'!B3,#REF!,"&lt;="&amp;B4,#REF!,"0")</f>
        <v>#REF!</v>
      </c>
      <c r="E3" s="71" t="s">
        <v>1</v>
      </c>
      <c r="F3" s="51" t="e">
        <f>SUMIFS(#REF!,#REF!,"9",#REF!,"2016")</f>
        <v>#REF!</v>
      </c>
      <c r="G3" s="112">
        <v>22</v>
      </c>
      <c r="H3" s="52" t="e">
        <f>F3/G3</f>
        <v>#REF!</v>
      </c>
      <c r="I3" s="53">
        <v>2646.81</v>
      </c>
      <c r="J3" s="54" t="e">
        <f>F3/I3</f>
        <v>#REF!</v>
      </c>
      <c r="K3" s="118">
        <v>424887.44999999978</v>
      </c>
      <c r="L3" s="56">
        <v>21</v>
      </c>
      <c r="M3" s="57">
        <f>K3/L3</f>
        <v>20232.735714285704</v>
      </c>
      <c r="N3" s="58">
        <v>2506.63</v>
      </c>
      <c r="O3" s="122">
        <f>K3/N3</f>
        <v>169.50545154250918</v>
      </c>
      <c r="P3" s="62" t="e">
        <f t="shared" ref="P3:P11" si="0">F3-K3</f>
        <v>#REF!</v>
      </c>
      <c r="Q3" s="85" t="e">
        <f>H3-M3</f>
        <v>#REF!</v>
      </c>
      <c r="R3" s="83">
        <f>I3-N3</f>
        <v>140.17999999999984</v>
      </c>
      <c r="U3" s="106"/>
      <c r="V3" s="160" t="s">
        <v>108</v>
      </c>
      <c r="W3" s="152" t="s">
        <v>109</v>
      </c>
      <c r="X3" s="152" t="s">
        <v>110</v>
      </c>
      <c r="Y3" s="164" t="s">
        <v>0</v>
      </c>
      <c r="Z3" s="152"/>
      <c r="AA3" s="160" t="s">
        <v>108</v>
      </c>
      <c r="AB3" s="152" t="s">
        <v>109</v>
      </c>
      <c r="AC3" s="152" t="s">
        <v>110</v>
      </c>
      <c r="AD3" s="169" t="s">
        <v>0</v>
      </c>
      <c r="AE3" s="161"/>
      <c r="AF3" s="174" t="s">
        <v>111</v>
      </c>
      <c r="AG3" s="162" t="s">
        <v>112</v>
      </c>
      <c r="AH3" s="162" t="s">
        <v>113</v>
      </c>
      <c r="AI3" s="163" t="s">
        <v>114</v>
      </c>
    </row>
    <row r="4" spans="1:35" x14ac:dyDescent="0.25">
      <c r="A4" s="7"/>
      <c r="B4" s="8">
        <v>42536</v>
      </c>
      <c r="C4" s="9" t="e">
        <f>SUMIFS(#REF!,#REF!,"&gt;="&amp;'SUIV CA 16-17'!B4,#REF!,"&lt;="&amp;B5,#REF!,"0")</f>
        <v>#REF!</v>
      </c>
      <c r="E4" s="71" t="s">
        <v>2</v>
      </c>
      <c r="F4" s="44" t="e">
        <f>SUMIFS(#REF!,#REF!,"10",#REF!,"2016")</f>
        <v>#REF!</v>
      </c>
      <c r="G4" s="113">
        <v>21</v>
      </c>
      <c r="H4" s="38" t="e">
        <f t="shared" ref="H4:H14" si="1">F4/G4</f>
        <v>#REF!</v>
      </c>
      <c r="I4" s="39">
        <v>2129.17</v>
      </c>
      <c r="J4" s="55" t="e">
        <f t="shared" ref="J4:J14" si="2">F4/I4</f>
        <v>#REF!</v>
      </c>
      <c r="K4" s="119">
        <v>522266.98999999982</v>
      </c>
      <c r="L4" s="40">
        <v>22</v>
      </c>
      <c r="M4" s="41">
        <f t="shared" ref="M4:M14" si="3">K4/L4</f>
        <v>23739.408636363627</v>
      </c>
      <c r="N4" s="42">
        <v>2610.4499999999998</v>
      </c>
      <c r="O4" s="123">
        <f t="shared" ref="O4:O13" si="4">K4/N4</f>
        <v>200.06780057078277</v>
      </c>
      <c r="P4" s="63" t="e">
        <f t="shared" si="0"/>
        <v>#REF!</v>
      </c>
      <c r="Q4" s="86" t="e">
        <f t="shared" ref="Q4:R14" si="5">H4-M4</f>
        <v>#REF!</v>
      </c>
      <c r="R4" s="84">
        <f t="shared" si="5"/>
        <v>-481.27999999999975</v>
      </c>
      <c r="U4" s="155" t="s">
        <v>115</v>
      </c>
      <c r="V4" s="165">
        <v>730.94</v>
      </c>
      <c r="W4" s="156">
        <v>1201.3399999999999</v>
      </c>
      <c r="X4" s="156">
        <v>574.35</v>
      </c>
      <c r="Y4" s="159">
        <f>X4+W4+V4</f>
        <v>2506.63</v>
      </c>
      <c r="Z4" s="157"/>
      <c r="AA4" s="170">
        <v>769.9</v>
      </c>
      <c r="AB4" s="158">
        <v>1202.94</v>
      </c>
      <c r="AC4" s="158">
        <v>673.97</v>
      </c>
      <c r="AD4" s="171">
        <f>AA4+AB4+AC4</f>
        <v>2646.8100000000004</v>
      </c>
      <c r="AE4" s="156"/>
      <c r="AF4" s="165">
        <f>AA4-V4</f>
        <v>38.959999999999923</v>
      </c>
      <c r="AG4" s="156">
        <f>AB4-W4</f>
        <v>1.6000000000001364</v>
      </c>
      <c r="AH4" s="156">
        <f>AC4-X4</f>
        <v>99.62</v>
      </c>
      <c r="AI4" s="159">
        <f>AH4+AG4+AF4</f>
        <v>140.18000000000006</v>
      </c>
    </row>
    <row r="5" spans="1:35" x14ac:dyDescent="0.25">
      <c r="A5" s="7" t="s">
        <v>11</v>
      </c>
      <c r="B5" s="8">
        <v>42552</v>
      </c>
      <c r="C5" s="9" t="e">
        <f>SUMIFS(#REF!,#REF!,"&gt;="&amp;'SUIV CA 16-17'!B4,#REF!,"&lt;="&amp;B5,#REF!,"0")</f>
        <v>#REF!</v>
      </c>
      <c r="E5" s="71" t="s">
        <v>3</v>
      </c>
      <c r="F5" s="44" t="e">
        <f>SUMIFS(#REF!,#REF!,"11",#REF!,"2016")</f>
        <v>#REF!</v>
      </c>
      <c r="G5" s="113">
        <v>19</v>
      </c>
      <c r="H5" s="38" t="e">
        <f t="shared" si="1"/>
        <v>#REF!</v>
      </c>
      <c r="I5" s="39">
        <v>2201.66</v>
      </c>
      <c r="J5" s="55" t="e">
        <f t="shared" si="2"/>
        <v>#REF!</v>
      </c>
      <c r="K5" s="119">
        <v>476269.32999999984</v>
      </c>
      <c r="L5" s="40">
        <v>21</v>
      </c>
      <c r="M5" s="41">
        <f t="shared" si="3"/>
        <v>22679.491904761897</v>
      </c>
      <c r="N5" s="42">
        <v>2625.92</v>
      </c>
      <c r="O5" s="123">
        <f t="shared" si="4"/>
        <v>181.37236854131118</v>
      </c>
      <c r="P5" s="63" t="e">
        <f t="shared" si="0"/>
        <v>#REF!</v>
      </c>
      <c r="Q5" s="86" t="e">
        <f t="shared" si="5"/>
        <v>#REF!</v>
      </c>
      <c r="R5" s="84">
        <f t="shared" si="5"/>
        <v>-424.26000000000022</v>
      </c>
      <c r="U5" s="148" t="s">
        <v>116</v>
      </c>
      <c r="V5" s="166">
        <v>899.43</v>
      </c>
      <c r="W5" s="145">
        <v>1171.04</v>
      </c>
      <c r="X5" s="145">
        <v>539.95000000000005</v>
      </c>
      <c r="Y5" s="149">
        <f t="shared" ref="Y5:Y15" si="6">X5+W5+V5</f>
        <v>2610.42</v>
      </c>
      <c r="Z5" s="2"/>
      <c r="AA5" s="103">
        <v>630.77</v>
      </c>
      <c r="AB5" s="24">
        <v>1045.8399999999999</v>
      </c>
      <c r="AC5" s="24">
        <v>452.86</v>
      </c>
      <c r="AD5" s="172">
        <f t="shared" ref="AD5:AD15" si="7">AA5+AB5+AC5</f>
        <v>2129.4699999999998</v>
      </c>
      <c r="AE5" s="145"/>
      <c r="AF5" s="166">
        <f t="shared" ref="AF5:AF15" si="8">AA5-V5</f>
        <v>-268.65999999999997</v>
      </c>
      <c r="AG5" s="145">
        <f t="shared" ref="AG5:AG15" si="9">AB5-W5</f>
        <v>-125.20000000000005</v>
      </c>
      <c r="AH5" s="145">
        <f t="shared" ref="AH5:AH15" si="10">AC5-X5</f>
        <v>-87.090000000000032</v>
      </c>
      <c r="AI5" s="149">
        <f t="shared" ref="AI5:AI15" si="11">AH5+AG5+AF5</f>
        <v>-480.95000000000005</v>
      </c>
    </row>
    <row r="6" spans="1:35" x14ac:dyDescent="0.25">
      <c r="A6" s="7"/>
      <c r="B6" s="8">
        <v>42566</v>
      </c>
      <c r="C6" s="9" t="e">
        <f>SUMIFS(#REF!,#REF!,"&gt;="&amp;'SUIV CA 16-17'!B6,#REF!,"&lt;="&amp;B7,#REF!,"0")</f>
        <v>#REF!</v>
      </c>
      <c r="E6" s="71" t="s">
        <v>4</v>
      </c>
      <c r="F6" s="44" t="e">
        <f>SUMIFS(#REF!,#REF!,"12",#REF!,"2016")</f>
        <v>#REF!</v>
      </c>
      <c r="G6" s="113">
        <v>15.5</v>
      </c>
      <c r="H6" s="38" t="e">
        <f t="shared" si="1"/>
        <v>#REF!</v>
      </c>
      <c r="I6" s="39">
        <v>1616.89</v>
      </c>
      <c r="J6" s="55" t="e">
        <f t="shared" si="2"/>
        <v>#REF!</v>
      </c>
      <c r="K6" s="119">
        <v>399509.2</v>
      </c>
      <c r="L6" s="40">
        <v>13.5</v>
      </c>
      <c r="M6" s="41">
        <f t="shared" si="3"/>
        <v>29593.274074074074</v>
      </c>
      <c r="N6" s="42">
        <v>1680.03</v>
      </c>
      <c r="O6" s="123">
        <f t="shared" si="4"/>
        <v>237.79884883008043</v>
      </c>
      <c r="P6" s="63" t="e">
        <f t="shared" si="0"/>
        <v>#REF!</v>
      </c>
      <c r="Q6" s="86" t="e">
        <f t="shared" si="5"/>
        <v>#REF!</v>
      </c>
      <c r="R6" s="84">
        <f t="shared" si="5"/>
        <v>-63.139999999999873</v>
      </c>
      <c r="U6" s="148" t="s">
        <v>117</v>
      </c>
      <c r="V6" s="166">
        <v>819.68</v>
      </c>
      <c r="W6" s="145">
        <v>1159.83</v>
      </c>
      <c r="X6" s="145">
        <v>641.41</v>
      </c>
      <c r="Y6" s="149">
        <f t="shared" si="6"/>
        <v>2620.9199999999996</v>
      </c>
      <c r="Z6" s="2"/>
      <c r="AA6" s="103">
        <v>711.22</v>
      </c>
      <c r="AB6" s="24">
        <v>1051.54</v>
      </c>
      <c r="AC6" s="24">
        <v>438.9</v>
      </c>
      <c r="AD6" s="172">
        <f t="shared" si="7"/>
        <v>2201.66</v>
      </c>
      <c r="AE6" s="145"/>
      <c r="AF6" s="166">
        <f t="shared" si="8"/>
        <v>-108.45999999999992</v>
      </c>
      <c r="AG6" s="145">
        <f t="shared" si="9"/>
        <v>-108.28999999999996</v>
      </c>
      <c r="AH6" s="145">
        <f t="shared" si="10"/>
        <v>-202.51</v>
      </c>
      <c r="AI6" s="149">
        <f t="shared" si="11"/>
        <v>-419.25999999999988</v>
      </c>
    </row>
    <row r="7" spans="1:35" x14ac:dyDescent="0.25">
      <c r="A7" s="7" t="s">
        <v>12</v>
      </c>
      <c r="B7" s="8">
        <v>42583</v>
      </c>
      <c r="C7" s="9" t="e">
        <f>SUMIFS(#REF!,#REF!,"&gt;="&amp;'SUIV CA 16-17'!B7,#REF!,"&lt;="&amp;B8,#REF!,"0")</f>
        <v>#REF!</v>
      </c>
      <c r="E7" s="71" t="s">
        <v>5</v>
      </c>
      <c r="F7" s="44" t="e">
        <f>SUMIFS(#REF!,#REF!,"1",#REF!,"2017")</f>
        <v>#REF!</v>
      </c>
      <c r="G7" s="113">
        <v>21</v>
      </c>
      <c r="H7" s="38" t="e">
        <f t="shared" si="1"/>
        <v>#REF!</v>
      </c>
      <c r="I7" s="39">
        <v>2096.06</v>
      </c>
      <c r="J7" s="55" t="e">
        <f t="shared" si="2"/>
        <v>#REF!</v>
      </c>
      <c r="K7" s="119">
        <v>423061.41000000003</v>
      </c>
      <c r="L7" s="40">
        <v>20</v>
      </c>
      <c r="M7" s="41">
        <f t="shared" si="3"/>
        <v>21153.070500000002</v>
      </c>
      <c r="N7" s="42">
        <v>2317.75</v>
      </c>
      <c r="O7" s="123">
        <f t="shared" si="4"/>
        <v>182.53107971092655</v>
      </c>
      <c r="P7" s="63" t="e">
        <f t="shared" si="0"/>
        <v>#REF!</v>
      </c>
      <c r="Q7" s="86" t="e">
        <f t="shared" si="5"/>
        <v>#REF!</v>
      </c>
      <c r="R7" s="84">
        <f t="shared" si="5"/>
        <v>-221.69000000000005</v>
      </c>
      <c r="U7" s="148" t="s">
        <v>118</v>
      </c>
      <c r="V7" s="103">
        <v>519.21</v>
      </c>
      <c r="W7" s="24">
        <v>731.68</v>
      </c>
      <c r="X7" s="24">
        <v>429.14</v>
      </c>
      <c r="Y7" s="149">
        <f t="shared" si="6"/>
        <v>1680.03</v>
      </c>
      <c r="Z7" s="2"/>
      <c r="AA7" s="103">
        <v>467.01</v>
      </c>
      <c r="AB7" s="24">
        <v>808.6</v>
      </c>
      <c r="AC7" s="24">
        <v>341.28</v>
      </c>
      <c r="AD7" s="172">
        <f t="shared" si="7"/>
        <v>1616.89</v>
      </c>
      <c r="AE7" s="145"/>
      <c r="AF7" s="166">
        <f t="shared" si="8"/>
        <v>-52.200000000000045</v>
      </c>
      <c r="AG7" s="145">
        <f t="shared" si="9"/>
        <v>76.920000000000073</v>
      </c>
      <c r="AH7" s="145">
        <f t="shared" si="10"/>
        <v>-87.860000000000014</v>
      </c>
      <c r="AI7" s="149">
        <f t="shared" si="11"/>
        <v>-63.139999999999986</v>
      </c>
    </row>
    <row r="8" spans="1:35" x14ac:dyDescent="0.25">
      <c r="A8" s="7"/>
      <c r="B8" s="8">
        <v>42597</v>
      </c>
      <c r="C8" s="9" t="e">
        <f>SUMIFS(#REF!,#REF!,"&gt;="&amp;'SUIV CA 16-17'!B8,#REF!,"&lt;="&amp;B9,#REF!,"0")</f>
        <v>#REF!</v>
      </c>
      <c r="E8" s="71" t="s">
        <v>6</v>
      </c>
      <c r="F8" s="44" t="e">
        <f>SUMIFS(#REF!,#REF!,"2",#REF!,"2017")</f>
        <v>#REF!</v>
      </c>
      <c r="G8" s="113">
        <v>20</v>
      </c>
      <c r="H8" s="38" t="e">
        <f t="shared" si="1"/>
        <v>#REF!</v>
      </c>
      <c r="I8" s="39">
        <v>2415.62</v>
      </c>
      <c r="J8" s="55" t="e">
        <f t="shared" si="2"/>
        <v>#REF!</v>
      </c>
      <c r="K8" s="119">
        <v>490642.58999999997</v>
      </c>
      <c r="L8" s="40">
        <v>21</v>
      </c>
      <c r="M8" s="41">
        <f t="shared" si="3"/>
        <v>23363.932857142856</v>
      </c>
      <c r="N8" s="42">
        <v>2715.92</v>
      </c>
      <c r="O8" s="123">
        <f t="shared" si="4"/>
        <v>180.65428657692419</v>
      </c>
      <c r="P8" s="63" t="e">
        <f t="shared" si="0"/>
        <v>#REF!</v>
      </c>
      <c r="Q8" s="86" t="e">
        <f t="shared" si="5"/>
        <v>#REF!</v>
      </c>
      <c r="R8" s="84">
        <f t="shared" si="5"/>
        <v>-300.30000000000018</v>
      </c>
      <c r="U8" s="148" t="s">
        <v>119</v>
      </c>
      <c r="V8" s="103">
        <v>757.3</v>
      </c>
      <c r="W8" s="24">
        <v>1056.06</v>
      </c>
      <c r="X8" s="24">
        <v>504.39</v>
      </c>
      <c r="Y8" s="149">
        <f t="shared" si="6"/>
        <v>2317.75</v>
      </c>
      <c r="Z8" s="2"/>
      <c r="AA8" s="103">
        <v>548.6</v>
      </c>
      <c r="AB8" s="24">
        <v>1140.48</v>
      </c>
      <c r="AC8" s="24">
        <v>406.95</v>
      </c>
      <c r="AD8" s="172">
        <f t="shared" si="7"/>
        <v>2096.0299999999997</v>
      </c>
      <c r="AE8" s="145"/>
      <c r="AF8" s="166">
        <f t="shared" si="8"/>
        <v>-208.69999999999993</v>
      </c>
      <c r="AG8" s="145">
        <f t="shared" si="9"/>
        <v>84.420000000000073</v>
      </c>
      <c r="AH8" s="145">
        <f t="shared" si="10"/>
        <v>-97.44</v>
      </c>
      <c r="AI8" s="149">
        <f t="shared" si="11"/>
        <v>-221.71999999999986</v>
      </c>
    </row>
    <row r="9" spans="1:35" x14ac:dyDescent="0.25">
      <c r="A9" s="10" t="s">
        <v>1</v>
      </c>
      <c r="B9" s="11">
        <v>42614</v>
      </c>
      <c r="C9" s="12" t="e">
        <f>SUMIFS(#REF!,#REF!,"&gt;="&amp;'SUIV CA 16-17'!B9,#REF!,"&lt;"&amp;B10,#REF!,"0")</f>
        <v>#REF!</v>
      </c>
      <c r="E9" s="71" t="s">
        <v>7</v>
      </c>
      <c r="F9" s="44" t="e">
        <f>SUMIFS(#REF!,#REF!,"3",#REF!,"2017")</f>
        <v>#REF!</v>
      </c>
      <c r="G9" s="113">
        <v>23</v>
      </c>
      <c r="H9" s="38" t="e">
        <f t="shared" si="1"/>
        <v>#REF!</v>
      </c>
      <c r="I9" s="39">
        <v>2844.01</v>
      </c>
      <c r="J9" s="55" t="e">
        <f t="shared" si="2"/>
        <v>#REF!</v>
      </c>
      <c r="K9" s="119">
        <v>630260.7200000002</v>
      </c>
      <c r="L9" s="40">
        <v>22</v>
      </c>
      <c r="M9" s="41">
        <f t="shared" si="3"/>
        <v>28648.214545454553</v>
      </c>
      <c r="N9" s="42">
        <v>2874.18</v>
      </c>
      <c r="O9" s="123">
        <f t="shared" si="4"/>
        <v>219.28366351446334</v>
      </c>
      <c r="P9" s="63" t="e">
        <f t="shared" si="0"/>
        <v>#REF!</v>
      </c>
      <c r="Q9" s="86" t="e">
        <f t="shared" si="5"/>
        <v>#REF!</v>
      </c>
      <c r="R9" s="84">
        <f t="shared" si="5"/>
        <v>-30.169999999999618</v>
      </c>
      <c r="U9" s="148" t="s">
        <v>120</v>
      </c>
      <c r="V9" s="103">
        <v>769.28</v>
      </c>
      <c r="W9" s="24">
        <v>1174.8599999999999</v>
      </c>
      <c r="X9" s="24">
        <v>771.78</v>
      </c>
      <c r="Y9" s="149">
        <f t="shared" si="6"/>
        <v>2715.92</v>
      </c>
      <c r="Z9" s="2"/>
      <c r="AA9" s="166">
        <v>804.74</v>
      </c>
      <c r="AB9" s="145">
        <v>1083.93</v>
      </c>
      <c r="AC9" s="145">
        <v>526.95000000000005</v>
      </c>
      <c r="AD9" s="172">
        <f t="shared" si="7"/>
        <v>2415.62</v>
      </c>
      <c r="AE9" s="145"/>
      <c r="AF9" s="166">
        <f t="shared" si="8"/>
        <v>35.460000000000036</v>
      </c>
      <c r="AG9" s="145">
        <f t="shared" si="9"/>
        <v>-90.929999999999836</v>
      </c>
      <c r="AH9" s="145">
        <f t="shared" si="10"/>
        <v>-244.82999999999993</v>
      </c>
      <c r="AI9" s="149">
        <f t="shared" si="11"/>
        <v>-300.29999999999973</v>
      </c>
    </row>
    <row r="10" spans="1:35" x14ac:dyDescent="0.25">
      <c r="A10" s="13"/>
      <c r="B10" s="14">
        <v>42628</v>
      </c>
      <c r="C10" s="15" t="e">
        <f>SUMIFS(#REF!,#REF!,"&gt;="&amp;'SUIV CA 16-17'!B10,#REF!,"&lt;="&amp;B11,#REF!,"0")</f>
        <v>#REF!</v>
      </c>
      <c r="E10" s="71" t="s">
        <v>8</v>
      </c>
      <c r="F10" s="44" t="e">
        <f>SUMIFS(#REF!,#REF!,"4",#REF!,"2017")</f>
        <v>#REF!</v>
      </c>
      <c r="G10" s="113">
        <v>19</v>
      </c>
      <c r="H10" s="38" t="e">
        <f t="shared" si="1"/>
        <v>#REF!</v>
      </c>
      <c r="I10" s="39">
        <v>2089.9299999999998</v>
      </c>
      <c r="J10" s="55" t="e">
        <f t="shared" si="2"/>
        <v>#REF!</v>
      </c>
      <c r="K10" s="119">
        <v>551954.28999999992</v>
      </c>
      <c r="L10" s="40">
        <v>21</v>
      </c>
      <c r="M10" s="41">
        <f t="shared" si="3"/>
        <v>26283.537619047616</v>
      </c>
      <c r="N10" s="42">
        <v>2642.93</v>
      </c>
      <c r="O10" s="123">
        <f t="shared" si="4"/>
        <v>208.84181192842792</v>
      </c>
      <c r="P10" s="63" t="e">
        <f t="shared" si="0"/>
        <v>#REF!</v>
      </c>
      <c r="Q10" s="86" t="e">
        <f t="shared" si="5"/>
        <v>#REF!</v>
      </c>
      <c r="R10" s="84">
        <f t="shared" si="5"/>
        <v>-553</v>
      </c>
      <c r="U10" s="148" t="s">
        <v>121</v>
      </c>
      <c r="V10" s="103">
        <v>750.25</v>
      </c>
      <c r="W10" s="24">
        <v>1273.29</v>
      </c>
      <c r="X10" s="24">
        <v>850.64</v>
      </c>
      <c r="Y10" s="149">
        <f t="shared" si="6"/>
        <v>2874.18</v>
      </c>
      <c r="Z10" s="2"/>
      <c r="AA10" s="166">
        <v>793.34</v>
      </c>
      <c r="AB10" s="145">
        <v>1291.8900000000001</v>
      </c>
      <c r="AC10" s="145">
        <v>758.78</v>
      </c>
      <c r="AD10" s="172">
        <f t="shared" si="7"/>
        <v>2844.01</v>
      </c>
      <c r="AE10" s="145"/>
      <c r="AF10" s="166">
        <f t="shared" si="8"/>
        <v>43.090000000000032</v>
      </c>
      <c r="AG10" s="145">
        <f t="shared" si="9"/>
        <v>18.600000000000136</v>
      </c>
      <c r="AH10" s="145">
        <f t="shared" si="10"/>
        <v>-91.860000000000014</v>
      </c>
      <c r="AI10" s="149">
        <f t="shared" si="11"/>
        <v>-30.169999999999845</v>
      </c>
    </row>
    <row r="11" spans="1:35" x14ac:dyDescent="0.25">
      <c r="A11" s="13" t="s">
        <v>2</v>
      </c>
      <c r="B11" s="14">
        <v>42644</v>
      </c>
      <c r="C11" s="15" t="e">
        <f>SUMIFS(#REF!,#REF!,"&gt;="&amp;'SUIV CA 16-17'!B11,#REF!,"&lt;"&amp;B12,#REF!,"0")</f>
        <v>#REF!</v>
      </c>
      <c r="E11" s="71" t="s">
        <v>9</v>
      </c>
      <c r="F11" s="44" t="e">
        <f>SUMIFS(#REF!,#REF!,"5",#REF!,"2017")</f>
        <v>#REF!</v>
      </c>
      <c r="G11" s="113">
        <v>19</v>
      </c>
      <c r="H11" s="38" t="e">
        <f t="shared" si="1"/>
        <v>#REF!</v>
      </c>
      <c r="I11" s="39">
        <v>2389.56</v>
      </c>
      <c r="J11" s="55" t="e">
        <f t="shared" si="2"/>
        <v>#REF!</v>
      </c>
      <c r="K11" s="119">
        <v>488534.92999999988</v>
      </c>
      <c r="L11" s="40">
        <v>19</v>
      </c>
      <c r="M11" s="41">
        <f t="shared" si="3"/>
        <v>25712.364736842097</v>
      </c>
      <c r="N11" s="42">
        <v>2345.87</v>
      </c>
      <c r="O11" s="123">
        <f t="shared" si="4"/>
        <v>208.2531981738118</v>
      </c>
      <c r="P11" s="63" t="e">
        <f t="shared" si="0"/>
        <v>#REF!</v>
      </c>
      <c r="Q11" s="86" t="e">
        <f t="shared" si="5"/>
        <v>#REF!</v>
      </c>
      <c r="R11" s="84">
        <f t="shared" si="5"/>
        <v>43.690000000000055</v>
      </c>
      <c r="U11" s="148" t="s">
        <v>122</v>
      </c>
      <c r="V11" s="103">
        <v>833.48</v>
      </c>
      <c r="W11" s="24">
        <v>1158.21</v>
      </c>
      <c r="X11" s="24">
        <v>651.24</v>
      </c>
      <c r="Y11" s="149">
        <f t="shared" si="6"/>
        <v>2642.9300000000003</v>
      </c>
      <c r="Z11" s="2"/>
      <c r="AA11" s="166">
        <v>676.18</v>
      </c>
      <c r="AB11" s="145">
        <v>908.85</v>
      </c>
      <c r="AC11" s="145">
        <v>504.9</v>
      </c>
      <c r="AD11" s="172">
        <f t="shared" si="7"/>
        <v>2089.9299999999998</v>
      </c>
      <c r="AE11" s="145"/>
      <c r="AF11" s="166">
        <f t="shared" si="8"/>
        <v>-157.30000000000007</v>
      </c>
      <c r="AG11" s="145">
        <f t="shared" si="9"/>
        <v>-249.36</v>
      </c>
      <c r="AH11" s="145">
        <f t="shared" si="10"/>
        <v>-146.34000000000003</v>
      </c>
      <c r="AI11" s="149">
        <f t="shared" si="11"/>
        <v>-553.00000000000011</v>
      </c>
    </row>
    <row r="12" spans="1:35" x14ac:dyDescent="0.25">
      <c r="A12" s="13"/>
      <c r="B12" s="14">
        <v>42658</v>
      </c>
      <c r="C12" s="15" t="e">
        <f>SUMIFS(#REF!,#REF!,"&gt;="&amp;'SUIV CA 16-17'!B12,#REF!,"&lt;="&amp;B13,#REF!,"0")</f>
        <v>#REF!</v>
      </c>
      <c r="E12" s="71" t="s">
        <v>10</v>
      </c>
      <c r="F12" s="44" t="e">
        <f>SUMIFS(#REF!,#REF!,"6",#REF!,"2017")</f>
        <v>#REF!</v>
      </c>
      <c r="G12" s="113">
        <v>21</v>
      </c>
      <c r="H12" s="38" t="e">
        <f>F12/G12</f>
        <v>#REF!</v>
      </c>
      <c r="I12" s="39">
        <v>2425.27</v>
      </c>
      <c r="J12" s="55" t="e">
        <f t="shared" si="2"/>
        <v>#REF!</v>
      </c>
      <c r="K12" s="119">
        <v>535194.65</v>
      </c>
      <c r="L12" s="40">
        <v>22</v>
      </c>
      <c r="M12" s="41">
        <f t="shared" si="3"/>
        <v>24327.029545454545</v>
      </c>
      <c r="N12" s="42">
        <v>2952.99</v>
      </c>
      <c r="O12" s="123">
        <f t="shared" si="4"/>
        <v>181.23821956728605</v>
      </c>
      <c r="P12" s="63" t="e">
        <f>F12-K12</f>
        <v>#REF!</v>
      </c>
      <c r="Q12" s="86" t="e">
        <f>H12-M12</f>
        <v>#REF!</v>
      </c>
      <c r="R12" s="84">
        <f t="shared" si="5"/>
        <v>-527.7199999999998</v>
      </c>
      <c r="U12" s="148" t="s">
        <v>123</v>
      </c>
      <c r="V12" s="103">
        <v>786.45</v>
      </c>
      <c r="W12" s="24">
        <v>1035.76</v>
      </c>
      <c r="X12" s="24">
        <v>523.66</v>
      </c>
      <c r="Y12" s="149">
        <f t="shared" si="6"/>
        <v>2345.87</v>
      </c>
      <c r="Z12" s="2"/>
      <c r="AA12" s="166">
        <v>722.91</v>
      </c>
      <c r="AB12" s="145">
        <v>1026.75</v>
      </c>
      <c r="AC12" s="145">
        <v>639.9</v>
      </c>
      <c r="AD12" s="172">
        <f t="shared" si="7"/>
        <v>2389.56</v>
      </c>
      <c r="AE12" s="145"/>
      <c r="AF12" s="166">
        <f t="shared" si="8"/>
        <v>-63.540000000000077</v>
      </c>
      <c r="AG12" s="145">
        <f t="shared" si="9"/>
        <v>-9.0099999999999909</v>
      </c>
      <c r="AH12" s="145">
        <f t="shared" si="10"/>
        <v>116.24000000000001</v>
      </c>
      <c r="AI12" s="149">
        <f t="shared" si="11"/>
        <v>43.689999999999941</v>
      </c>
    </row>
    <row r="13" spans="1:35" x14ac:dyDescent="0.25">
      <c r="A13" s="13" t="s">
        <v>3</v>
      </c>
      <c r="B13" s="14">
        <v>42675</v>
      </c>
      <c r="C13" s="15" t="e">
        <f>SUMIFS(#REF!,#REF!,"&gt;="&amp;'SUIV CA 16-17'!B13,#REF!,"&lt;"&amp;B14,#REF!,"0")</f>
        <v>#REF!</v>
      </c>
      <c r="E13" s="71" t="s">
        <v>11</v>
      </c>
      <c r="F13" s="44" t="e">
        <f>SUMIFS(#REF!,#REF!,"7",#REF!,"2017")</f>
        <v>#REF!</v>
      </c>
      <c r="G13" s="113">
        <v>20</v>
      </c>
      <c r="H13" s="38" t="e">
        <f t="shared" si="1"/>
        <v>#REF!</v>
      </c>
      <c r="I13" s="39">
        <v>2587.41</v>
      </c>
      <c r="J13" s="55" t="e">
        <f t="shared" si="2"/>
        <v>#REF!</v>
      </c>
      <c r="K13" s="119">
        <v>568537.07999999984</v>
      </c>
      <c r="L13" s="40">
        <v>19</v>
      </c>
      <c r="M13" s="41">
        <f t="shared" si="3"/>
        <v>29923.004210526309</v>
      </c>
      <c r="N13" s="42">
        <v>2488.4499999999998</v>
      </c>
      <c r="O13" s="123">
        <f t="shared" si="4"/>
        <v>228.4703650867005</v>
      </c>
      <c r="P13" s="63" t="e">
        <f>F13-K13</f>
        <v>#REF!</v>
      </c>
      <c r="Q13" s="86" t="e">
        <f t="shared" ref="Q13:Q14" si="12">H13-M13</f>
        <v>#REF!</v>
      </c>
      <c r="R13" s="84">
        <f t="shared" si="5"/>
        <v>98.960000000000036</v>
      </c>
      <c r="U13" s="148" t="s">
        <v>124</v>
      </c>
      <c r="V13" s="103">
        <v>962.45</v>
      </c>
      <c r="W13" s="24">
        <v>1261.75</v>
      </c>
      <c r="X13" s="24">
        <v>728.79</v>
      </c>
      <c r="Y13" s="149">
        <f t="shared" si="6"/>
        <v>2952.99</v>
      </c>
      <c r="Z13" s="2"/>
      <c r="AA13" s="166">
        <v>504.55</v>
      </c>
      <c r="AB13" s="145">
        <v>872.77</v>
      </c>
      <c r="AC13" s="145">
        <v>743.06</v>
      </c>
      <c r="AD13" s="172">
        <f t="shared" si="7"/>
        <v>2120.38</v>
      </c>
      <c r="AE13" s="145"/>
      <c r="AF13" s="166">
        <f t="shared" si="8"/>
        <v>-457.90000000000003</v>
      </c>
      <c r="AG13" s="145">
        <f t="shared" si="9"/>
        <v>-388.98</v>
      </c>
      <c r="AH13" s="145">
        <f t="shared" si="10"/>
        <v>14.269999999999982</v>
      </c>
      <c r="AI13" s="149">
        <f t="shared" si="11"/>
        <v>-832.61000000000013</v>
      </c>
    </row>
    <row r="14" spans="1:35" x14ac:dyDescent="0.25">
      <c r="A14" s="13"/>
      <c r="B14" s="14">
        <v>42689</v>
      </c>
      <c r="C14" s="15" t="e">
        <f>SUMIFS(#REF!,#REF!,"&gt;="&amp;'SUIV CA 16-17'!B14,#REF!,"&lt;="&amp;B15,#REF!,"0")</f>
        <v>#REF!</v>
      </c>
      <c r="E14" s="72" t="s">
        <v>15</v>
      </c>
      <c r="F14" s="44" t="e">
        <f>SUMIFS(#REF!,#REF!,"8",#REF!,"2017")</f>
        <v>#REF!</v>
      </c>
      <c r="G14" s="113">
        <v>9</v>
      </c>
      <c r="H14" s="38" t="e">
        <f t="shared" si="1"/>
        <v>#REF!</v>
      </c>
      <c r="I14" s="39">
        <v>1015.27</v>
      </c>
      <c r="J14" s="55" t="e">
        <f t="shared" si="2"/>
        <v>#REF!</v>
      </c>
      <c r="K14" s="120">
        <v>266276.17999999993</v>
      </c>
      <c r="L14" s="59">
        <v>6</v>
      </c>
      <c r="M14" s="60">
        <f t="shared" si="3"/>
        <v>44379.36333333332</v>
      </c>
      <c r="N14" s="61">
        <v>650.5</v>
      </c>
      <c r="O14" s="123">
        <f>K14/N14</f>
        <v>409.34078401229812</v>
      </c>
      <c r="P14" s="63" t="e">
        <f>F14-K14</f>
        <v>#REF!</v>
      </c>
      <c r="Q14" s="86" t="e">
        <f t="shared" si="12"/>
        <v>#REF!</v>
      </c>
      <c r="R14" s="84">
        <f t="shared" si="5"/>
        <v>364.77</v>
      </c>
      <c r="U14" s="148" t="s">
        <v>125</v>
      </c>
      <c r="V14" s="103">
        <v>725.66</v>
      </c>
      <c r="W14" s="24">
        <v>1045.8800000000001</v>
      </c>
      <c r="X14" s="24">
        <v>716.91</v>
      </c>
      <c r="Y14" s="149">
        <f t="shared" si="6"/>
        <v>2488.4499999999998</v>
      </c>
      <c r="Z14" s="2"/>
      <c r="AA14" s="166">
        <v>779.57</v>
      </c>
      <c r="AB14" s="145">
        <v>1166.28</v>
      </c>
      <c r="AC14" s="145">
        <v>641.55999999999995</v>
      </c>
      <c r="AD14" s="172">
        <f t="shared" si="7"/>
        <v>2587.41</v>
      </c>
      <c r="AE14" s="145"/>
      <c r="AF14" s="166">
        <f t="shared" si="8"/>
        <v>53.910000000000082</v>
      </c>
      <c r="AG14" s="145">
        <f t="shared" si="9"/>
        <v>120.39999999999986</v>
      </c>
      <c r="AH14" s="145">
        <f t="shared" si="10"/>
        <v>-75.350000000000023</v>
      </c>
      <c r="AI14" s="149">
        <f t="shared" si="11"/>
        <v>98.959999999999923</v>
      </c>
    </row>
    <row r="15" spans="1:35" x14ac:dyDescent="0.25">
      <c r="A15" s="13" t="s">
        <v>4</v>
      </c>
      <c r="B15" s="14">
        <v>42705</v>
      </c>
      <c r="C15" s="15" t="e">
        <f>SUMIFS(#REF!,#REF!,"&gt;="&amp;'SUIV CA 16-17'!B15,#REF!,"&lt;"&amp;B16,#REF!,"0")</f>
        <v>#REF!</v>
      </c>
      <c r="E15" s="66" t="s">
        <v>0</v>
      </c>
      <c r="F15" s="67" t="e">
        <f>SUM(F3:F14)</f>
        <v>#REF!</v>
      </c>
      <c r="G15" s="116">
        <f>SUM(G3:G14)</f>
        <v>229.5</v>
      </c>
      <c r="H15" s="68" t="e">
        <f>AVERAGE(H3:H14)</f>
        <v>#REF!</v>
      </c>
      <c r="I15" s="69">
        <f>SUM(I3:I14)</f>
        <v>26457.66</v>
      </c>
      <c r="J15" s="70" t="e">
        <f>AVERAGE(J3:J14)</f>
        <v>#REF!</v>
      </c>
      <c r="K15" s="121">
        <f>SUM(K3:K14)</f>
        <v>5777394.8199999994</v>
      </c>
      <c r="L15" s="117">
        <f>SUM(L3:L14)</f>
        <v>227.5</v>
      </c>
      <c r="M15" s="64">
        <f>AVERAGE(M3:M14)</f>
        <v>26669.618973107219</v>
      </c>
      <c r="N15" s="65">
        <f>SUM(N3:N14)</f>
        <v>28411.62</v>
      </c>
      <c r="O15" s="124">
        <f>AVERAGE(O3:O14)</f>
        <v>217.27982317129351</v>
      </c>
      <c r="P15" s="94" t="e">
        <f>SUM(P3:P14)</f>
        <v>#REF!</v>
      </c>
      <c r="Q15" s="114" t="e">
        <f>AVERAGE(Q3:Q14)</f>
        <v>#REF!</v>
      </c>
      <c r="R15" s="115">
        <f>AVERAGE(R3:R14)</f>
        <v>-162.82999999999996</v>
      </c>
      <c r="U15" s="148" t="s">
        <v>126</v>
      </c>
      <c r="V15" s="103">
        <v>206.67</v>
      </c>
      <c r="W15" s="24">
        <v>276.69</v>
      </c>
      <c r="X15" s="24">
        <v>164.14</v>
      </c>
      <c r="Y15" s="149">
        <f t="shared" si="6"/>
        <v>647.5</v>
      </c>
      <c r="Z15" s="2"/>
      <c r="AA15" s="166">
        <v>186.07</v>
      </c>
      <c r="AB15" s="145">
        <v>448.14</v>
      </c>
      <c r="AC15" s="145">
        <v>256.62</v>
      </c>
      <c r="AD15" s="172">
        <f t="shared" si="7"/>
        <v>890.83</v>
      </c>
      <c r="AE15" s="145"/>
      <c r="AF15" s="166">
        <f t="shared" si="8"/>
        <v>-20.599999999999994</v>
      </c>
      <c r="AG15" s="145">
        <f t="shared" si="9"/>
        <v>171.45</v>
      </c>
      <c r="AH15" s="145">
        <f t="shared" si="10"/>
        <v>92.480000000000018</v>
      </c>
      <c r="AI15" s="149">
        <f t="shared" si="11"/>
        <v>243.33</v>
      </c>
    </row>
    <row r="16" spans="1:35" ht="15.75" x14ac:dyDescent="0.25">
      <c r="A16" s="13"/>
      <c r="B16" s="14">
        <v>42719</v>
      </c>
      <c r="C16" s="15" t="e">
        <f>SUMIFS(#REF!,#REF!,"&gt;="&amp;'SUIV CA 16-17'!B16,#REF!,"&lt;="&amp;B17,#REF!,"0")</f>
        <v>#REF!</v>
      </c>
      <c r="E16" s="73" t="s">
        <v>22</v>
      </c>
      <c r="F16" s="74" t="e">
        <f>AVERAGE(F3:F11)</f>
        <v>#REF!</v>
      </c>
      <c r="G16" s="3"/>
      <c r="H16" s="18"/>
      <c r="I16" s="18"/>
      <c r="J16" s="18"/>
      <c r="K16" s="18"/>
      <c r="L16" s="18"/>
      <c r="M16" s="18"/>
      <c r="N16" s="18"/>
      <c r="O16" s="18"/>
      <c r="P16" s="2"/>
      <c r="U16" s="150" t="s">
        <v>0</v>
      </c>
      <c r="V16" s="167">
        <f t="shared" ref="V16:X16" si="13">SUM(V4:V15)</f>
        <v>8760.7999999999993</v>
      </c>
      <c r="W16" s="151">
        <f t="shared" si="13"/>
        <v>12546.390000000001</v>
      </c>
      <c r="X16" s="151">
        <f t="shared" si="13"/>
        <v>7096.4</v>
      </c>
      <c r="Y16" s="168">
        <f>SUM(Y4:Y15)</f>
        <v>28403.59</v>
      </c>
      <c r="Z16" s="152"/>
      <c r="AA16" s="173">
        <f>SUM(AA4:AA15)</f>
        <v>7594.8600000000006</v>
      </c>
      <c r="AB16" s="153">
        <f t="shared" ref="AB16:AG16" si="14">SUM(AB4:AB15)</f>
        <v>12048.01</v>
      </c>
      <c r="AC16" s="153">
        <f t="shared" si="14"/>
        <v>6385.7299999999987</v>
      </c>
      <c r="AD16" s="154">
        <f t="shared" si="14"/>
        <v>26028.600000000002</v>
      </c>
      <c r="AE16" s="153"/>
      <c r="AF16" s="173">
        <f t="shared" si="14"/>
        <v>-1165.9399999999998</v>
      </c>
      <c r="AG16" s="153">
        <f t="shared" si="14"/>
        <v>-498.3799999999996</v>
      </c>
      <c r="AH16" s="153">
        <f>SUM(AH4:AH15)</f>
        <v>-710.67</v>
      </c>
      <c r="AI16" s="154">
        <f>SUM(AI4:AI15)</f>
        <v>-2374.9899999999993</v>
      </c>
    </row>
    <row r="17" spans="1:8" ht="15" customHeight="1" x14ac:dyDescent="0.25">
      <c r="A17" s="13" t="s">
        <v>5</v>
      </c>
      <c r="B17" s="14">
        <v>42736</v>
      </c>
      <c r="C17" s="15" t="e">
        <f>SUMIFS(#REF!,#REF!,"&gt;="&amp;'SUIV CA 16-17'!B17,#REF!,"&lt;"&amp;B18,#REF!,"0")</f>
        <v>#REF!</v>
      </c>
      <c r="E17" s="681" t="s">
        <v>19</v>
      </c>
      <c r="F17" s="682"/>
      <c r="G17" s="683"/>
    </row>
    <row r="18" spans="1:8" x14ac:dyDescent="0.25">
      <c r="A18" s="13"/>
      <c r="B18" s="14">
        <v>42750</v>
      </c>
      <c r="C18" s="15" t="e">
        <f>SUMIFS(#REF!,#REF!,"&gt;="&amp;'SUIV CA 16-17'!B18,#REF!,"&lt;="&amp;B19,#REF!,"0")</f>
        <v>#REF!</v>
      </c>
      <c r="E18" s="663" t="s">
        <v>21</v>
      </c>
      <c r="F18" s="665"/>
      <c r="G18" s="75" t="e">
        <f>SUMIF(#REF!,"*part*",#REF!)</f>
        <v>#REF!</v>
      </c>
      <c r="H18" s="92" t="e">
        <f>G18/G21</f>
        <v>#REF!</v>
      </c>
    </row>
    <row r="19" spans="1:8" x14ac:dyDescent="0.25">
      <c r="A19" s="13" t="s">
        <v>6</v>
      </c>
      <c r="B19" s="14">
        <v>42767</v>
      </c>
      <c r="C19" s="15" t="e">
        <f>SUMIFS(#REF!,#REF!,"&gt;="&amp;'SUIV CA 16-17'!B19,#REF!,"&lt;="&amp;B20,#REF!,"0")</f>
        <v>#REF!</v>
      </c>
      <c r="E19" s="684" t="s">
        <v>127</v>
      </c>
      <c r="F19" s="685"/>
      <c r="G19" s="76" t="e">
        <f>SUMIFS(#REF!,#REF!,"*pro*",#REF!,"*oui*")</f>
        <v>#REF!</v>
      </c>
      <c r="H19" s="144" t="e">
        <f>G19/G21</f>
        <v>#REF!</v>
      </c>
    </row>
    <row r="20" spans="1:8" x14ac:dyDescent="0.25">
      <c r="A20" s="13"/>
      <c r="B20" s="14">
        <v>42781</v>
      </c>
      <c r="C20" s="15" t="e">
        <f>SUMIFS(#REF!,#REF!,"&gt;="&amp;'SUIV CA 16-17'!B20,#REF!,"&lt;="&amp;B21,#REF!,"0")</f>
        <v>#REF!</v>
      </c>
      <c r="E20" s="684" t="s">
        <v>138</v>
      </c>
      <c r="F20" s="685"/>
      <c r="G20" s="76" t="e">
        <f>SUM(F3:F14)-G19-G18</f>
        <v>#REF!</v>
      </c>
      <c r="H20" s="144" t="e">
        <f>G20/G21</f>
        <v>#REF!</v>
      </c>
    </row>
    <row r="21" spans="1:8" x14ac:dyDescent="0.25">
      <c r="A21" s="13" t="s">
        <v>7</v>
      </c>
      <c r="B21" s="14">
        <v>42795</v>
      </c>
      <c r="C21" s="15" t="e">
        <f>SUMIFS(#REF!,#REF!,"&gt;="&amp;'SUIV CA 16-17'!B21,#REF!,"&lt;="&amp;B22,#REF!,"0")</f>
        <v>#REF!</v>
      </c>
      <c r="E21" s="666" t="s">
        <v>20</v>
      </c>
      <c r="F21" s="667"/>
      <c r="G21" s="77" t="e">
        <f>SUM(G18:G20)</f>
        <v>#REF!</v>
      </c>
    </row>
    <row r="22" spans="1:8" x14ac:dyDescent="0.25">
      <c r="A22" s="13"/>
      <c r="B22" s="14">
        <v>42809</v>
      </c>
      <c r="C22" s="15" t="e">
        <f>SUMIFS(#REF!,#REF!,"&gt;="&amp;'SUIV CA 16-17'!B22,#REF!,"&lt;="&amp;B23,#REF!,"0")</f>
        <v>#REF!</v>
      </c>
      <c r="E22" s="2"/>
      <c r="F22" s="2"/>
      <c r="G22" s="2"/>
    </row>
    <row r="23" spans="1:8" x14ac:dyDescent="0.25">
      <c r="A23" s="13" t="s">
        <v>8</v>
      </c>
      <c r="B23" s="14">
        <v>42826</v>
      </c>
      <c r="C23" s="15" t="e">
        <f>SUMIFS(#REF!,#REF!,"&gt;="&amp;'SUIV CA 16-17'!B23,#REF!,"&lt;="&amp;B24,#REF!,"0")</f>
        <v>#REF!</v>
      </c>
      <c r="E23" s="2"/>
      <c r="F23" s="2"/>
      <c r="G23" s="2"/>
    </row>
    <row r="24" spans="1:8" x14ac:dyDescent="0.25">
      <c r="A24" s="13"/>
      <c r="B24" s="14">
        <v>42840</v>
      </c>
      <c r="C24" s="15" t="e">
        <f>SUMIFS(#REF!,#REF!,"&gt;="&amp;'SUIV CA 16-17'!B24,#REF!,"&lt;="&amp;B25,#REF!,"0")</f>
        <v>#REF!</v>
      </c>
      <c r="E24" s="2"/>
      <c r="F24" s="2"/>
      <c r="G24" s="2"/>
    </row>
    <row r="25" spans="1:8" x14ac:dyDescent="0.25">
      <c r="A25" s="13" t="s">
        <v>9</v>
      </c>
      <c r="B25" s="14">
        <v>42856</v>
      </c>
      <c r="C25" s="15" t="e">
        <f>SUMIFS(#REF!,#REF!,"&gt;="&amp;'SUIV CA 16-17'!B25,#REF!,"&lt;="&amp;B26,#REF!,"0")</f>
        <v>#REF!</v>
      </c>
      <c r="E25" s="2"/>
      <c r="F25" s="2"/>
      <c r="G25" s="2"/>
    </row>
    <row r="26" spans="1:8" x14ac:dyDescent="0.25">
      <c r="A26" s="13"/>
      <c r="B26" s="14">
        <v>42870</v>
      </c>
      <c r="C26" s="15" t="e">
        <f>SUMIFS(#REF!,#REF!,"&gt;="&amp;'SUIV CA 16-17'!B26,#REF!,"&lt;="&amp;B27,#REF!,"0")</f>
        <v>#REF!</v>
      </c>
      <c r="E26" s="2"/>
      <c r="F26" s="2"/>
      <c r="G26" s="2"/>
    </row>
    <row r="27" spans="1:8" x14ac:dyDescent="0.25">
      <c r="A27" s="13" t="s">
        <v>10</v>
      </c>
      <c r="B27" s="14">
        <v>42887</v>
      </c>
      <c r="C27" s="15" t="e">
        <f>SUMIFS(#REF!,#REF!,"&gt;="&amp;'SUIV CA 16-17'!B27,#REF!,"&lt;="&amp;B28,#REF!,"0")</f>
        <v>#REF!</v>
      </c>
      <c r="E27" s="2"/>
      <c r="F27" s="2"/>
      <c r="G27" s="2"/>
    </row>
    <row r="28" spans="1:8" x14ac:dyDescent="0.25">
      <c r="A28" s="13"/>
      <c r="B28" s="14">
        <v>42901</v>
      </c>
      <c r="C28" s="15" t="e">
        <f>SUMIFS(#REF!,#REF!,"&gt;="&amp;'SUIV CA 16-17'!B28,#REF!,"&lt;="&amp;B29,#REF!,"0")</f>
        <v>#REF!</v>
      </c>
      <c r="E28" s="2"/>
      <c r="F28" s="2"/>
      <c r="G28" s="2"/>
    </row>
    <row r="29" spans="1:8" x14ac:dyDescent="0.25">
      <c r="A29" s="13" t="s">
        <v>11</v>
      </c>
      <c r="B29" s="14">
        <v>42917</v>
      </c>
      <c r="C29" s="15" t="e">
        <f>SUMIFS(#REF!,#REF!,"&gt;="&amp;'SUIV CA 16-17'!B29,#REF!,"&lt;="&amp;B30,#REF!,"0")</f>
        <v>#REF!</v>
      </c>
    </row>
    <row r="30" spans="1:8" x14ac:dyDescent="0.25">
      <c r="A30" s="13"/>
      <c r="B30" s="14">
        <v>42931</v>
      </c>
      <c r="C30" s="15" t="e">
        <f>SUMIFS(#REF!,#REF!,"&gt;="&amp;'SUIV CA 16-17'!B30,#REF!,"&lt;="&amp;B31,#REF!,"0")</f>
        <v>#REF!</v>
      </c>
    </row>
    <row r="31" spans="1:8" x14ac:dyDescent="0.25">
      <c r="A31" s="13" t="s">
        <v>12</v>
      </c>
      <c r="B31" s="14">
        <v>42948</v>
      </c>
      <c r="C31" s="15" t="e">
        <f>SUMIFS(#REF!,#REF!,"&gt;="&amp;'SUIV CA 16-17'!B31,#REF!,"&lt;="&amp;B32,#REF!,"0")</f>
        <v>#REF!</v>
      </c>
    </row>
    <row r="32" spans="1:8" x14ac:dyDescent="0.25">
      <c r="A32" s="13"/>
      <c r="B32" s="14">
        <v>42962</v>
      </c>
      <c r="C32" s="15" t="e">
        <f>SUMIFS(#REF!,#REF!,"&gt;="&amp;'SUIV CA 16-17'!B32,#REF!,"&lt;="&amp;B33,#REF!,"0")</f>
        <v>#REF!</v>
      </c>
    </row>
    <row r="33" spans="1:3" ht="15.75" thickBot="1" x14ac:dyDescent="0.3">
      <c r="A33" s="16"/>
      <c r="B33" s="17">
        <v>42979</v>
      </c>
      <c r="C33" s="15" t="e">
        <f>SUMIFS(#REF!,#REF!,"&gt;="&amp;'SUIV CA 16-17'!B33,#REF!,"&lt;="&amp;B34,#REF!,"0")</f>
        <v>#REF!</v>
      </c>
    </row>
    <row r="34" spans="1:3" x14ac:dyDescent="0.25">
      <c r="A34" s="668" t="s">
        <v>0</v>
      </c>
      <c r="B34" s="669"/>
      <c r="C34" s="78" t="e">
        <f>SUM(C3:C33)</f>
        <v>#REF!</v>
      </c>
    </row>
    <row r="35" spans="1:3" x14ac:dyDescent="0.25">
      <c r="A35" s="670" t="s">
        <v>82</v>
      </c>
      <c r="B35" s="671"/>
      <c r="C35" s="79" t="e">
        <f>(C34/F15)*360</f>
        <v>#REF!</v>
      </c>
    </row>
  </sheetData>
  <mergeCells count="12">
    <mergeCell ref="A35:B35"/>
    <mergeCell ref="A1:C2"/>
    <mergeCell ref="E1:R1"/>
    <mergeCell ref="E17:G17"/>
    <mergeCell ref="E18:F18"/>
    <mergeCell ref="E19:F19"/>
    <mergeCell ref="E20:F20"/>
    <mergeCell ref="V2:Y2"/>
    <mergeCell ref="AA2:AD2"/>
    <mergeCell ref="AF2:AI2"/>
    <mergeCell ref="E21:F21"/>
    <mergeCell ref="A34:B34"/>
  </mergeCells>
  <pageMargins left="0" right="0" top="0" bottom="0" header="0" footer="0"/>
  <pageSetup paperSize="9" scale="7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A1:X35"/>
  <sheetViews>
    <sheetView showGridLines="0" topLeftCell="D1" zoomScale="80" zoomScaleNormal="80" workbookViewId="0">
      <selection activeCell="K7" sqref="K7"/>
    </sheetView>
  </sheetViews>
  <sheetFormatPr baseColWidth="10" defaultRowHeight="15" x14ac:dyDescent="0.25"/>
  <cols>
    <col min="1" max="1" width="8.42578125" customWidth="1"/>
    <col min="2" max="2" width="11.28515625" bestFit="1" customWidth="1"/>
    <col min="3" max="3" width="13.28515625" customWidth="1"/>
    <col min="4" max="4" width="1" style="138" customWidth="1"/>
    <col min="5" max="5" width="1.42578125" style="138" customWidth="1"/>
    <col min="6" max="6" width="15.28515625" customWidth="1"/>
    <col min="7" max="7" width="13.85546875" bestFit="1" customWidth="1"/>
    <col min="8" max="8" width="12.85546875" bestFit="1" customWidth="1"/>
    <col min="9" max="9" width="14.42578125" customWidth="1"/>
    <col min="10" max="10" width="13.5703125" customWidth="1"/>
    <col min="11" max="11" width="14.7109375" customWidth="1"/>
    <col min="12" max="12" width="14.5703125" customWidth="1"/>
    <col min="13" max="13" width="16" bestFit="1" customWidth="1"/>
    <col min="14" max="14" width="11.42578125" bestFit="1" customWidth="1"/>
    <col min="15" max="15" width="7.7109375" customWidth="1"/>
    <col min="16" max="16" width="17.28515625" bestFit="1" customWidth="1"/>
    <col min="17" max="17" width="7.42578125" customWidth="1"/>
    <col min="18" max="18" width="10.7109375" bestFit="1" customWidth="1"/>
    <col min="19" max="19" width="14.5703125" customWidth="1"/>
    <col min="20" max="20" width="16" bestFit="1" customWidth="1"/>
    <col min="21" max="22" width="14.5703125" customWidth="1"/>
    <col min="23" max="23" width="12.28515625" bestFit="1" customWidth="1"/>
    <col min="24" max="24" width="8.28515625" customWidth="1"/>
  </cols>
  <sheetData>
    <row r="1" spans="1:24" x14ac:dyDescent="0.25">
      <c r="A1" s="672" t="s">
        <v>13</v>
      </c>
      <c r="B1" s="673"/>
      <c r="C1" s="674"/>
      <c r="F1" s="686" t="s">
        <v>14</v>
      </c>
      <c r="G1" s="687"/>
      <c r="H1" s="687"/>
      <c r="I1" s="687"/>
      <c r="J1" s="687"/>
      <c r="K1" s="687"/>
      <c r="L1" s="687"/>
      <c r="M1" s="687"/>
      <c r="N1" s="687"/>
      <c r="O1" s="687"/>
      <c r="P1" s="687"/>
      <c r="Q1" s="687"/>
      <c r="R1" s="687"/>
      <c r="S1" s="687"/>
      <c r="T1" s="687"/>
      <c r="U1" s="687"/>
      <c r="V1" s="687"/>
      <c r="W1" s="687"/>
      <c r="X1" s="687"/>
    </row>
    <row r="2" spans="1:24" ht="15.75" thickBot="1" x14ac:dyDescent="0.3">
      <c r="A2" s="675"/>
      <c r="B2" s="676"/>
      <c r="C2" s="677"/>
      <c r="D2" s="688" t="s">
        <v>105</v>
      </c>
      <c r="E2" s="689"/>
      <c r="F2" s="43"/>
      <c r="G2" s="45" t="s">
        <v>94</v>
      </c>
      <c r="H2" s="47" t="s">
        <v>83</v>
      </c>
      <c r="I2" s="46" t="s">
        <v>86</v>
      </c>
      <c r="J2" s="46" t="s">
        <v>104</v>
      </c>
      <c r="K2" s="47" t="s">
        <v>130</v>
      </c>
      <c r="L2" s="47" t="s">
        <v>129</v>
      </c>
      <c r="M2" s="47" t="s">
        <v>131</v>
      </c>
      <c r="N2" s="47" t="s">
        <v>128</v>
      </c>
      <c r="O2" s="80" t="s">
        <v>81</v>
      </c>
      <c r="P2" s="81" t="s">
        <v>16</v>
      </c>
      <c r="Q2" s="48" t="s">
        <v>83</v>
      </c>
      <c r="R2" s="48" t="s">
        <v>78</v>
      </c>
      <c r="S2" s="48" t="s">
        <v>104</v>
      </c>
      <c r="T2" s="136" t="s">
        <v>130</v>
      </c>
      <c r="U2" s="136" t="s">
        <v>129</v>
      </c>
      <c r="V2" s="136" t="s">
        <v>131</v>
      </c>
      <c r="W2" s="48" t="s">
        <v>128</v>
      </c>
      <c r="X2" s="82" t="s">
        <v>81</v>
      </c>
    </row>
    <row r="3" spans="1:24" x14ac:dyDescent="0.25">
      <c r="A3" s="4" t="s">
        <v>10</v>
      </c>
      <c r="B3" s="5">
        <v>42887</v>
      </c>
      <c r="C3" s="6" t="e">
        <f>SUMIFS(#REF!,#REF!,"&gt;="&amp;'SUIV CA 17-18'!B3,#REF!,"&lt;="&amp;B4,#REF!,"0")</f>
        <v>#REF!</v>
      </c>
      <c r="D3" s="139">
        <f ca="1">TODAY()</f>
        <v>43157</v>
      </c>
      <c r="E3" s="139">
        <v>43008</v>
      </c>
      <c r="F3" s="71" t="s">
        <v>1</v>
      </c>
      <c r="G3" s="51" t="e">
        <f>SUMIFS(#REF!,#REF!,"9",#REF!,"2017")</f>
        <v>#REF!</v>
      </c>
      <c r="H3" s="112">
        <v>21</v>
      </c>
      <c r="I3" s="52" t="e">
        <f>G3/H3</f>
        <v>#REF!</v>
      </c>
      <c r="J3" s="142" t="e">
        <f>G3/4.34</f>
        <v>#REF!</v>
      </c>
      <c r="K3" s="178">
        <v>595</v>
      </c>
      <c r="L3" s="112">
        <v>1133</v>
      </c>
      <c r="M3" s="112">
        <v>546</v>
      </c>
      <c r="N3" s="53">
        <f>881+252+595+545.94</f>
        <v>2273.94</v>
      </c>
      <c r="O3" s="54" t="e">
        <f>G3/N3</f>
        <v>#REF!</v>
      </c>
      <c r="P3" s="96">
        <v>438721.16</v>
      </c>
      <c r="Q3" s="56">
        <v>22</v>
      </c>
      <c r="R3" s="57">
        <v>19941.870909090914</v>
      </c>
      <c r="S3" s="136">
        <f>P3/4.34</f>
        <v>101087.82488479263</v>
      </c>
      <c r="T3" s="183">
        <v>770</v>
      </c>
      <c r="U3" s="184">
        <v>1203</v>
      </c>
      <c r="V3" s="56">
        <v>674</v>
      </c>
      <c r="W3" s="58">
        <v>2646.81</v>
      </c>
      <c r="X3" s="122">
        <v>165.75468582935687</v>
      </c>
    </row>
    <row r="4" spans="1:24" x14ac:dyDescent="0.25">
      <c r="A4" s="7"/>
      <c r="B4" s="8">
        <v>42901</v>
      </c>
      <c r="C4" s="9" t="e">
        <f>SUMIFS(#REF!,#REF!,"&gt;="&amp;'SUIV CA 17-18'!B4,#REF!,"&lt;="&amp;B5,#REF!,"0")</f>
        <v>#REF!</v>
      </c>
      <c r="D4" s="139">
        <f t="shared" ref="D4:D14" ca="1" si="0">TODAY()</f>
        <v>43157</v>
      </c>
      <c r="E4" s="139">
        <v>43039</v>
      </c>
      <c r="F4" s="71" t="s">
        <v>2</v>
      </c>
      <c r="G4" s="44" t="e">
        <f>SUMIFS(#REF!,#REF!,"10",#REF!,"2017")</f>
        <v>#REF!</v>
      </c>
      <c r="H4" s="113">
        <v>22</v>
      </c>
      <c r="I4" s="38" t="e">
        <f t="shared" ref="I4:I14" si="1">G4/H4</f>
        <v>#REF!</v>
      </c>
      <c r="J4" s="143" t="e">
        <f>G4/4.34</f>
        <v>#REF!</v>
      </c>
      <c r="K4" s="179">
        <v>735</v>
      </c>
      <c r="L4" s="113">
        <v>1171</v>
      </c>
      <c r="M4" s="113">
        <v>756</v>
      </c>
      <c r="N4" s="39">
        <f>M4+L4+K4</f>
        <v>2662</v>
      </c>
      <c r="O4" s="55" t="e">
        <f>G4/N4</f>
        <v>#REF!</v>
      </c>
      <c r="P4" s="97">
        <v>494102.00999999983</v>
      </c>
      <c r="Q4" s="40">
        <v>21</v>
      </c>
      <c r="R4" s="41">
        <v>23528.667142857135</v>
      </c>
      <c r="S4" s="137">
        <f>P4/4.34</f>
        <v>113848.38940092163</v>
      </c>
      <c r="T4" s="185">
        <v>662</v>
      </c>
      <c r="U4" s="186">
        <v>1047</v>
      </c>
      <c r="V4" s="40">
        <v>453</v>
      </c>
      <c r="W4" s="42">
        <v>2129.17</v>
      </c>
      <c r="X4" s="123">
        <v>232.06320303216737</v>
      </c>
    </row>
    <row r="5" spans="1:24" x14ac:dyDescent="0.25">
      <c r="A5" s="7" t="s">
        <v>11</v>
      </c>
      <c r="B5" s="8">
        <v>42917</v>
      </c>
      <c r="C5" s="9" t="e">
        <f>SUMIFS(#REF!,#REF!,"&gt;="&amp;'SUIV CA 17-18'!B4,#REF!,"&lt;="&amp;B5,#REF!,"0")</f>
        <v>#REF!</v>
      </c>
      <c r="D5" s="139">
        <f t="shared" ca="1" si="0"/>
        <v>43157</v>
      </c>
      <c r="E5" s="139">
        <v>43069</v>
      </c>
      <c r="F5" s="71" t="s">
        <v>3</v>
      </c>
      <c r="G5" s="44" t="e">
        <f>SUMIFS(#REF!,#REF!,"11",#REF!,"2017")</f>
        <v>#REF!</v>
      </c>
      <c r="H5" s="113">
        <v>21</v>
      </c>
      <c r="I5" s="38" t="e">
        <f>G5/H5</f>
        <v>#REF!</v>
      </c>
      <c r="J5" s="143" t="e">
        <f>G5/4.34</f>
        <v>#REF!</v>
      </c>
      <c r="K5" s="179">
        <v>841</v>
      </c>
      <c r="L5" s="113">
        <v>1256</v>
      </c>
      <c r="M5" s="113">
        <v>704.76</v>
      </c>
      <c r="N5" s="39">
        <f>M5+L5+K5</f>
        <v>2801.76</v>
      </c>
      <c r="O5" s="55" t="e">
        <f>G5/N5</f>
        <v>#REF!</v>
      </c>
      <c r="P5" s="97">
        <v>478088.85000000015</v>
      </c>
      <c r="Q5" s="40">
        <v>19</v>
      </c>
      <c r="R5" s="41">
        <v>25162.571052631585</v>
      </c>
      <c r="S5" s="137">
        <v>79084</v>
      </c>
      <c r="T5" s="185">
        <v>640</v>
      </c>
      <c r="U5" s="186">
        <v>1079</v>
      </c>
      <c r="V5" s="40">
        <v>439</v>
      </c>
      <c r="W5" s="42">
        <v>2201.66</v>
      </c>
      <c r="X5" s="123">
        <v>217.14926464576737</v>
      </c>
    </row>
    <row r="6" spans="1:24" x14ac:dyDescent="0.25">
      <c r="A6" s="7"/>
      <c r="B6" s="8">
        <v>42931</v>
      </c>
      <c r="C6" s="9" t="e">
        <f>SUMIFS(#REF!,#REF!,"&gt;="&amp;'SUIV CA 17-18'!B6,#REF!,"&lt;="&amp;B7,#REF!,"0")</f>
        <v>#REF!</v>
      </c>
      <c r="D6" s="139">
        <f t="shared" ca="1" si="0"/>
        <v>43157</v>
      </c>
      <c r="E6" s="139">
        <v>43100</v>
      </c>
      <c r="F6" s="71" t="s">
        <v>4</v>
      </c>
      <c r="G6" s="44" t="e">
        <f>SUMIFS(#REF!,#REF!,"12",#REF!,"2017")</f>
        <v>#REF!</v>
      </c>
      <c r="H6" s="113">
        <v>15.5</v>
      </c>
      <c r="I6" s="38" t="e">
        <f t="shared" si="1"/>
        <v>#REF!</v>
      </c>
      <c r="J6" s="143" t="e">
        <f>G6/4.34</f>
        <v>#REF!</v>
      </c>
      <c r="K6" s="179">
        <v>564</v>
      </c>
      <c r="L6" s="113">
        <v>817</v>
      </c>
      <c r="M6" s="113">
        <v>301</v>
      </c>
      <c r="N6" s="39">
        <f t="shared" ref="N6:N14" si="2">M6+L6+K6</f>
        <v>1682</v>
      </c>
      <c r="O6" s="55" t="e">
        <f>G6/N6</f>
        <v>#REF!</v>
      </c>
      <c r="P6" s="97">
        <v>414633.96</v>
      </c>
      <c r="Q6" s="40">
        <v>15.5</v>
      </c>
      <c r="R6" s="41">
        <v>26750.578064516132</v>
      </c>
      <c r="S6" s="137">
        <v>79084</v>
      </c>
      <c r="T6" s="185">
        <v>467</v>
      </c>
      <c r="U6" s="186">
        <v>809</v>
      </c>
      <c r="V6" s="40">
        <v>341</v>
      </c>
      <c r="W6" s="42">
        <v>1616.89</v>
      </c>
      <c r="X6" s="123">
        <v>256.43918881309179</v>
      </c>
    </row>
    <row r="7" spans="1:24" x14ac:dyDescent="0.25">
      <c r="A7" s="7" t="s">
        <v>12</v>
      </c>
      <c r="B7" s="8">
        <v>42948</v>
      </c>
      <c r="C7" s="9" t="e">
        <f>SUMIFS(#REF!,#REF!,"&gt;="&amp;'SUIV CA 17-18'!B7,#REF!,"&lt;="&amp;B8,#REF!,"0")</f>
        <v>#REF!</v>
      </c>
      <c r="D7" s="139">
        <f t="shared" ca="1" si="0"/>
        <v>43157</v>
      </c>
      <c r="E7" s="139">
        <v>43131</v>
      </c>
      <c r="F7" s="71" t="s">
        <v>5</v>
      </c>
      <c r="G7" s="44" t="e">
        <f>SUMIFS(#REF!,#REF!,"1",#REF!,"2018")</f>
        <v>#REF!</v>
      </c>
      <c r="H7" s="113">
        <v>22</v>
      </c>
      <c r="I7" s="38" t="e">
        <f t="shared" si="1"/>
        <v>#REF!</v>
      </c>
      <c r="J7" s="143" t="e">
        <f t="shared" ref="J7:J8" si="3">G7/4.34</f>
        <v>#REF!</v>
      </c>
      <c r="K7" s="179">
        <v>924</v>
      </c>
      <c r="L7" s="113">
        <v>1302</v>
      </c>
      <c r="M7" s="113">
        <v>569</v>
      </c>
      <c r="N7" s="39">
        <f>M7+L7+K7</f>
        <v>2795</v>
      </c>
      <c r="O7" s="55" t="e">
        <f>G7/N7</f>
        <v>#REF!</v>
      </c>
      <c r="P7" s="97">
        <v>395896.63</v>
      </c>
      <c r="Q7" s="40">
        <v>21</v>
      </c>
      <c r="R7" s="41">
        <v>18852.220476190472</v>
      </c>
      <c r="S7" s="137">
        <v>79084</v>
      </c>
      <c r="T7" s="185">
        <v>547</v>
      </c>
      <c r="U7" s="186">
        <v>1140</v>
      </c>
      <c r="V7" s="40">
        <v>407</v>
      </c>
      <c r="W7" s="42">
        <v>2096.06</v>
      </c>
      <c r="X7" s="123">
        <v>188.87657318969875</v>
      </c>
    </row>
    <row r="8" spans="1:24" x14ac:dyDescent="0.25">
      <c r="A8" s="7"/>
      <c r="B8" s="8">
        <v>42962</v>
      </c>
      <c r="C8" s="9" t="e">
        <f>SUMIFS(#REF!,#REF!,"&gt;="&amp;'SUIV CA 17-18'!B8,#REF!,"&lt;="&amp;B9,#REF!,"0")</f>
        <v>#REF!</v>
      </c>
      <c r="D8" s="139">
        <f t="shared" ca="1" si="0"/>
        <v>43157</v>
      </c>
      <c r="E8" s="139">
        <v>43159</v>
      </c>
      <c r="F8" s="71" t="s">
        <v>6</v>
      </c>
      <c r="G8" s="44" t="e">
        <f>SUMIFS(#REF!,#REF!,"2",#REF!,"2018")</f>
        <v>#REF!</v>
      </c>
      <c r="H8" s="113">
        <v>20</v>
      </c>
      <c r="I8" s="38" t="e">
        <f t="shared" si="1"/>
        <v>#REF!</v>
      </c>
      <c r="J8" s="143" t="e">
        <f t="shared" si="3"/>
        <v>#REF!</v>
      </c>
      <c r="K8" s="179"/>
      <c r="L8" s="113"/>
      <c r="M8" s="113"/>
      <c r="N8" s="39">
        <f t="shared" si="2"/>
        <v>0</v>
      </c>
      <c r="O8" s="55"/>
      <c r="P8" s="97">
        <v>497077.48999999987</v>
      </c>
      <c r="Q8" s="40">
        <v>20</v>
      </c>
      <c r="R8" s="41">
        <v>24853.874499999994</v>
      </c>
      <c r="S8" s="137">
        <v>79084</v>
      </c>
      <c r="T8" s="185">
        <v>717</v>
      </c>
      <c r="U8" s="186">
        <v>1084</v>
      </c>
      <c r="V8" s="40">
        <v>527</v>
      </c>
      <c r="W8" s="42">
        <v>2415.62</v>
      </c>
      <c r="X8" s="123">
        <v>205.77635969233566</v>
      </c>
    </row>
    <row r="9" spans="1:24" x14ac:dyDescent="0.25">
      <c r="A9" s="10" t="s">
        <v>1</v>
      </c>
      <c r="B9" s="11">
        <v>42979</v>
      </c>
      <c r="C9" s="12" t="e">
        <f>SUMIFS(#REF!,#REF!,"&gt;="&amp;'SUIV CA 17-18'!B9,#REF!,"&lt;"&amp;B10,#REF!,"0")</f>
        <v>#REF!</v>
      </c>
      <c r="D9" s="139">
        <f t="shared" ca="1" si="0"/>
        <v>43157</v>
      </c>
      <c r="E9" s="139">
        <v>43190</v>
      </c>
      <c r="F9" s="71" t="s">
        <v>7</v>
      </c>
      <c r="G9" s="44" t="e">
        <f>SUMIFS(#REF!,#REF!,"3",#REF!,"2018")</f>
        <v>#REF!</v>
      </c>
      <c r="H9" s="113">
        <v>22</v>
      </c>
      <c r="I9" s="38" t="e">
        <f t="shared" si="1"/>
        <v>#REF!</v>
      </c>
      <c r="J9" s="143"/>
      <c r="K9" s="179"/>
      <c r="L9" s="113"/>
      <c r="M9" s="113"/>
      <c r="N9" s="39">
        <f t="shared" si="2"/>
        <v>0</v>
      </c>
      <c r="O9" s="55"/>
      <c r="P9" s="97">
        <v>594254.84</v>
      </c>
      <c r="Q9" s="40">
        <v>23</v>
      </c>
      <c r="R9" s="41">
        <v>25837.166956521738</v>
      </c>
      <c r="S9" s="137">
        <v>79084</v>
      </c>
      <c r="T9" s="185">
        <v>833</v>
      </c>
      <c r="U9" s="186">
        <v>1297</v>
      </c>
      <c r="V9" s="40">
        <v>759</v>
      </c>
      <c r="W9" s="42">
        <v>2844.01</v>
      </c>
      <c r="X9" s="123">
        <v>208.949630978794</v>
      </c>
    </row>
    <row r="10" spans="1:24" x14ac:dyDescent="0.25">
      <c r="A10" s="13"/>
      <c r="B10" s="14">
        <v>42993</v>
      </c>
      <c r="C10" s="15" t="e">
        <f>SUMIFS(#REF!,#REF!,"&gt;="&amp;'SUIV CA 17-18'!B10,#REF!,"&lt;="&amp;B11,#REF!,"0")</f>
        <v>#REF!</v>
      </c>
      <c r="D10" s="139">
        <f t="shared" ca="1" si="0"/>
        <v>43157</v>
      </c>
      <c r="E10" s="139">
        <v>43220</v>
      </c>
      <c r="F10" s="71" t="s">
        <v>8</v>
      </c>
      <c r="G10" s="44" t="e">
        <f>SUMIFS(#REF!,#REF!,"4",#REF!,"2018")</f>
        <v>#REF!</v>
      </c>
      <c r="H10" s="113">
        <v>20</v>
      </c>
      <c r="I10" s="38" t="e">
        <f t="shared" si="1"/>
        <v>#REF!</v>
      </c>
      <c r="J10" s="143"/>
      <c r="K10" s="179"/>
      <c r="L10" s="113"/>
      <c r="M10" s="113"/>
      <c r="N10" s="39">
        <f t="shared" si="2"/>
        <v>0</v>
      </c>
      <c r="O10" s="55"/>
      <c r="P10" s="97">
        <v>469320.98999999993</v>
      </c>
      <c r="Q10" s="40">
        <v>19</v>
      </c>
      <c r="R10" s="41">
        <v>24701.104736842102</v>
      </c>
      <c r="S10" s="137">
        <v>79084</v>
      </c>
      <c r="T10" s="185">
        <v>676</v>
      </c>
      <c r="U10" s="186">
        <v>974</v>
      </c>
      <c r="V10" s="40">
        <v>505</v>
      </c>
      <c r="W10" s="42">
        <v>2089.9299999999998</v>
      </c>
      <c r="X10" s="123">
        <v>224.5630188570909</v>
      </c>
    </row>
    <row r="11" spans="1:24" x14ac:dyDescent="0.25">
      <c r="A11" s="13" t="s">
        <v>2</v>
      </c>
      <c r="B11" s="14">
        <v>43009</v>
      </c>
      <c r="C11" s="15" t="e">
        <f>SUMIFS(#REF!,#REF!,"&gt;="&amp;'SUIV CA 17-18'!B11,#REF!,"&lt;"&amp;B12,#REF!,"0")</f>
        <v>#REF!</v>
      </c>
      <c r="D11" s="139">
        <f t="shared" ca="1" si="0"/>
        <v>43157</v>
      </c>
      <c r="E11" s="139">
        <v>43251</v>
      </c>
      <c r="F11" s="71" t="s">
        <v>9</v>
      </c>
      <c r="G11" s="44" t="e">
        <f>SUMIFS(#REF!,#REF!,"5",#REF!,"2018")</f>
        <v>#REF!</v>
      </c>
      <c r="H11" s="113">
        <v>16</v>
      </c>
      <c r="I11" s="38" t="e">
        <f t="shared" si="1"/>
        <v>#REF!</v>
      </c>
      <c r="J11" s="143"/>
      <c r="K11" s="179"/>
      <c r="L11" s="113"/>
      <c r="M11" s="113"/>
      <c r="N11" s="39">
        <f t="shared" si="2"/>
        <v>0</v>
      </c>
      <c r="O11" s="55"/>
      <c r="P11" s="97">
        <v>498345.07000000018</v>
      </c>
      <c r="Q11" s="40">
        <v>19</v>
      </c>
      <c r="R11" s="41">
        <v>26228.687894736853</v>
      </c>
      <c r="S11" s="137">
        <v>79084</v>
      </c>
      <c r="T11" s="185">
        <v>726</v>
      </c>
      <c r="U11" s="186">
        <v>1027</v>
      </c>
      <c r="V11" s="40">
        <v>640</v>
      </c>
      <c r="W11" s="42">
        <v>2389.56</v>
      </c>
      <c r="X11" s="123">
        <v>208.55097591188343</v>
      </c>
    </row>
    <row r="12" spans="1:24" x14ac:dyDescent="0.25">
      <c r="A12" s="13"/>
      <c r="B12" s="14">
        <v>43023</v>
      </c>
      <c r="C12" s="15" t="e">
        <f>SUMIFS(#REF!,#REF!,"&gt;="&amp;'SUIV CA 17-18'!B12,#REF!,"&lt;="&amp;B13,#REF!,"0")</f>
        <v>#REF!</v>
      </c>
      <c r="D12" s="139">
        <f t="shared" ca="1" si="0"/>
        <v>43157</v>
      </c>
      <c r="E12" s="139">
        <v>43281</v>
      </c>
      <c r="F12" s="71" t="s">
        <v>10</v>
      </c>
      <c r="G12" s="44" t="e">
        <f>SUMIFS(#REF!,#REF!,"6",#REF!,"2018")</f>
        <v>#REF!</v>
      </c>
      <c r="H12" s="113">
        <v>21</v>
      </c>
      <c r="I12" s="38" t="e">
        <f>G12/H12</f>
        <v>#REF!</v>
      </c>
      <c r="J12" s="143"/>
      <c r="K12" s="179"/>
      <c r="L12" s="113"/>
      <c r="M12" s="113"/>
      <c r="N12" s="39">
        <f t="shared" si="2"/>
        <v>0</v>
      </c>
      <c r="O12" s="55"/>
      <c r="P12" s="97">
        <v>577415.59</v>
      </c>
      <c r="Q12" s="40">
        <v>21</v>
      </c>
      <c r="R12" s="41">
        <v>27495.980476190474</v>
      </c>
      <c r="S12" s="137">
        <v>79084</v>
      </c>
      <c r="T12" s="185">
        <v>809</v>
      </c>
      <c r="U12" s="186">
        <v>1180</v>
      </c>
      <c r="V12" s="40">
        <v>743</v>
      </c>
      <c r="W12" s="42">
        <v>2425.27</v>
      </c>
      <c r="X12" s="123">
        <v>238.08301343767909</v>
      </c>
    </row>
    <row r="13" spans="1:24" x14ac:dyDescent="0.25">
      <c r="A13" s="13" t="s">
        <v>3</v>
      </c>
      <c r="B13" s="14">
        <v>43040</v>
      </c>
      <c r="C13" s="15" t="e">
        <f>SUMIFS(#REF!,#REF!,"&gt;="&amp;'SUIV CA 17-18'!B13,#REF!,"&lt;"&amp;B14,#REF!,"0")</f>
        <v>#REF!</v>
      </c>
      <c r="D13" s="139">
        <f t="shared" ca="1" si="0"/>
        <v>43157</v>
      </c>
      <c r="E13" s="139">
        <v>43312</v>
      </c>
      <c r="F13" s="71" t="s">
        <v>11</v>
      </c>
      <c r="G13" s="44" t="e">
        <f>SUMIFS(#REF!,#REF!,"7",#REF!,"2018")</f>
        <v>#REF!</v>
      </c>
      <c r="H13" s="113">
        <v>22</v>
      </c>
      <c r="I13" s="38" t="e">
        <f t="shared" si="1"/>
        <v>#REF!</v>
      </c>
      <c r="J13" s="143"/>
      <c r="K13" s="179"/>
      <c r="L13" s="113"/>
      <c r="M13" s="113"/>
      <c r="N13" s="39">
        <f t="shared" si="2"/>
        <v>0</v>
      </c>
      <c r="O13" s="55"/>
      <c r="P13" s="97">
        <v>576036.93000000005</v>
      </c>
      <c r="Q13" s="40">
        <v>20</v>
      </c>
      <c r="R13" s="41">
        <v>28801.846500000003</v>
      </c>
      <c r="S13" s="137">
        <v>79084</v>
      </c>
      <c r="T13" s="185">
        <v>766</v>
      </c>
      <c r="U13" s="186">
        <v>1158</v>
      </c>
      <c r="V13" s="40">
        <v>642</v>
      </c>
      <c r="W13" s="42">
        <v>2587.41</v>
      </c>
      <c r="X13" s="123">
        <v>222.630711792874</v>
      </c>
    </row>
    <row r="14" spans="1:24" x14ac:dyDescent="0.25">
      <c r="A14" s="13"/>
      <c r="B14" s="14">
        <v>43054</v>
      </c>
      <c r="C14" s="15" t="e">
        <f>SUMIFS(#REF!,#REF!,"&gt;="&amp;'SUIV CA 17-18'!B14,#REF!,"&lt;="&amp;B15,#REF!,"0")</f>
        <v>#REF!</v>
      </c>
      <c r="D14" s="139">
        <f t="shared" ca="1" si="0"/>
        <v>43157</v>
      </c>
      <c r="E14" s="139">
        <v>42978</v>
      </c>
      <c r="F14" s="72" t="s">
        <v>15</v>
      </c>
      <c r="G14" s="44" t="e">
        <f>SUMIFS(#REF!,#REF!,"8",#REF!,"2018")</f>
        <v>#REF!</v>
      </c>
      <c r="H14" s="113">
        <v>8</v>
      </c>
      <c r="I14" s="38" t="e">
        <f t="shared" si="1"/>
        <v>#REF!</v>
      </c>
      <c r="J14" s="143"/>
      <c r="K14" s="180"/>
      <c r="L14" s="181"/>
      <c r="M14" s="181"/>
      <c r="N14" s="39">
        <f t="shared" si="2"/>
        <v>0</v>
      </c>
      <c r="O14" s="182"/>
      <c r="P14" s="98">
        <v>324206.53333333338</v>
      </c>
      <c r="Q14" s="59">
        <v>9</v>
      </c>
      <c r="R14" s="60">
        <v>36022.948148148156</v>
      </c>
      <c r="S14" s="137">
        <v>79084</v>
      </c>
      <c r="T14" s="187">
        <v>311</v>
      </c>
      <c r="U14" s="188">
        <v>448</v>
      </c>
      <c r="V14" s="59">
        <v>257</v>
      </c>
      <c r="W14" s="61">
        <v>1015.27</v>
      </c>
      <c r="X14" s="140">
        <v>319.33035875514236</v>
      </c>
    </row>
    <row r="15" spans="1:24" x14ac:dyDescent="0.25">
      <c r="A15" s="13" t="s">
        <v>4</v>
      </c>
      <c r="B15" s="14">
        <v>43070</v>
      </c>
      <c r="C15" s="15" t="e">
        <f>SUMIFS(#REF!,#REF!,"&gt;="&amp;'SUIV CA 17-18'!B15,#REF!,"&lt;"&amp;B16,#REF!,"0")</f>
        <v>#REF!</v>
      </c>
      <c r="F15" s="175" t="s">
        <v>0</v>
      </c>
      <c r="G15" s="126" t="e">
        <f>SUM(G3:G14)</f>
        <v>#REF!</v>
      </c>
      <c r="H15" s="127">
        <f>SUM(H3:H14)</f>
        <v>230.5</v>
      </c>
      <c r="I15" s="128" t="e">
        <f>AVERAGE(I3:I14)</f>
        <v>#REF!</v>
      </c>
      <c r="J15" s="128"/>
      <c r="K15" s="127">
        <f>SUM(K3:K14)</f>
        <v>3659</v>
      </c>
      <c r="L15" s="127">
        <f t="shared" ref="L15:M15" si="4">SUM(L3:L14)</f>
        <v>5679</v>
      </c>
      <c r="M15" s="127">
        <f t="shared" si="4"/>
        <v>2876.76</v>
      </c>
      <c r="N15" s="129">
        <f>SUM(N3:N14)</f>
        <v>12214.7</v>
      </c>
      <c r="O15" s="130" t="e">
        <f>AVERAGE(O3:O13)</f>
        <v>#REF!</v>
      </c>
      <c r="P15" s="131">
        <f>SUM(P3:P14)</f>
        <v>5758100.0533333318</v>
      </c>
      <c r="Q15" s="132">
        <f>SUM(Q3:Q14)</f>
        <v>229.5</v>
      </c>
      <c r="R15" s="133">
        <f>AVERAGE(R3:R14)</f>
        <v>25681.459738143796</v>
      </c>
      <c r="S15" s="133"/>
      <c r="T15" s="189">
        <f>SUM(T3:T14)</f>
        <v>7924</v>
      </c>
      <c r="U15" s="189">
        <f t="shared" ref="U15:V15" si="5">SUM(U3:U14)</f>
        <v>12446</v>
      </c>
      <c r="V15" s="189">
        <f t="shared" si="5"/>
        <v>6387</v>
      </c>
      <c r="W15" s="134">
        <f>SUM(W3:W14)</f>
        <v>26457.66</v>
      </c>
      <c r="X15" s="141">
        <f>AVERAGE(X3:X13)</f>
        <v>215.34878419824901</v>
      </c>
    </row>
    <row r="16" spans="1:24" ht="15.75" x14ac:dyDescent="0.25">
      <c r="A16" s="13"/>
      <c r="B16" s="14">
        <v>43084</v>
      </c>
      <c r="C16" s="15" t="e">
        <f>SUMIFS(#REF!,#REF!,"&gt;="&amp;'SUIV CA 17-18'!B16,#REF!,"&lt;="&amp;B17,#REF!,"0")</f>
        <v>#REF!</v>
      </c>
      <c r="F16" s="176" t="s">
        <v>106</v>
      </c>
      <c r="G16" s="214" t="e">
        <f ca="1">G15/((DATEDIF(B9,D5,"d"))/30.4167)</f>
        <v>#REF!</v>
      </c>
      <c r="H16" s="3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</row>
    <row r="17" spans="1:24" ht="15" customHeight="1" x14ac:dyDescent="0.25">
      <c r="A17" s="13" t="s">
        <v>5</v>
      </c>
      <c r="B17" s="14">
        <v>43101</v>
      </c>
      <c r="C17" s="15" t="e">
        <f>SUMIFS(#REF!,#REF!,"&gt;="&amp;'SUIV CA 17-18'!B17,#REF!,"&lt;"&amp;B18,#REF!,"0")</f>
        <v>#REF!</v>
      </c>
      <c r="F17" s="216"/>
      <c r="H17" s="3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</row>
    <row r="18" spans="1:24" ht="15.75" customHeight="1" x14ac:dyDescent="0.25">
      <c r="A18" s="13"/>
      <c r="B18" s="14">
        <v>43115</v>
      </c>
      <c r="C18" s="15" t="e">
        <f>SUMIFS(#REF!,#REF!,"&gt;="&amp;'SUIV CA 17-18'!B18,#REF!,"&lt;="&amp;B19,#REF!,"0")</f>
        <v>#REF!</v>
      </c>
      <c r="G18" s="694" t="s">
        <v>137</v>
      </c>
      <c r="H18" s="695"/>
      <c r="I18" s="695"/>
      <c r="J18" s="695"/>
      <c r="K18" s="695"/>
      <c r="L18" s="695"/>
      <c r="M18" s="695"/>
      <c r="N18" s="695"/>
      <c r="O18" s="695"/>
      <c r="P18" s="696"/>
      <c r="S18" s="697" t="s">
        <v>19</v>
      </c>
      <c r="T18" s="698"/>
      <c r="U18" s="698"/>
      <c r="V18" s="699"/>
    </row>
    <row r="19" spans="1:24" x14ac:dyDescent="0.25">
      <c r="A19" s="13" t="s">
        <v>6</v>
      </c>
      <c r="B19" s="14">
        <v>43132</v>
      </c>
      <c r="C19" s="15" t="e">
        <f>SUMIFS(#REF!,#REF!,"&gt;="&amp;'SUIV CA 17-18'!B19,#REF!,"&lt;="&amp;B20,#REF!,"0")</f>
        <v>#REF!</v>
      </c>
      <c r="G19" s="706" t="s">
        <v>133</v>
      </c>
      <c r="H19" s="707"/>
      <c r="I19" s="708"/>
      <c r="K19" s="709" t="s">
        <v>142</v>
      </c>
      <c r="L19" s="710"/>
      <c r="M19" s="710"/>
      <c r="N19" s="711"/>
      <c r="P19" s="215" t="s">
        <v>136</v>
      </c>
      <c r="S19" s="700" t="s">
        <v>101</v>
      </c>
      <c r="T19" s="701"/>
      <c r="U19" s="217" t="s">
        <v>99</v>
      </c>
      <c r="V19" s="218" t="s">
        <v>100</v>
      </c>
    </row>
    <row r="20" spans="1:24" x14ac:dyDescent="0.25">
      <c r="A20" s="13"/>
      <c r="B20" s="14">
        <v>43146</v>
      </c>
      <c r="C20" s="15" t="e">
        <f>SUMIFS(#REF!,#REF!,"&gt;="&amp;'SUIV CA 17-18'!B20,#REF!,"&lt;="&amp;B21,#REF!,"0")</f>
        <v>#REF!</v>
      </c>
      <c r="F20" s="190"/>
      <c r="G20" s="49" t="s">
        <v>85</v>
      </c>
      <c r="H20" s="49" t="s">
        <v>84</v>
      </c>
      <c r="I20" s="50" t="s">
        <v>132</v>
      </c>
      <c r="K20" s="206" t="s">
        <v>134</v>
      </c>
      <c r="L20" s="207" t="s">
        <v>135</v>
      </c>
      <c r="M20" s="205" t="s">
        <v>113</v>
      </c>
      <c r="N20" s="50" t="s">
        <v>114</v>
      </c>
      <c r="P20" s="210" t="e">
        <f>O3-X3</f>
        <v>#REF!</v>
      </c>
      <c r="S20" s="702" t="s">
        <v>21</v>
      </c>
      <c r="T20" s="703"/>
      <c r="U20" s="219" t="e">
        <f>SUMIF(#REF!,"*part*",#REF!)</f>
        <v>#REF!</v>
      </c>
      <c r="V20" s="220" t="e">
        <f>U20/$U$23</f>
        <v>#REF!</v>
      </c>
    </row>
    <row r="21" spans="1:24" x14ac:dyDescent="0.25">
      <c r="A21" s="13" t="s">
        <v>7</v>
      </c>
      <c r="B21" s="14">
        <v>43160</v>
      </c>
      <c r="C21" s="15" t="e">
        <f>SUMIFS(#REF!,#REF!,"&gt;="&amp;'SUIV CA 17-18'!B21,#REF!,"&lt;="&amp;B22,#REF!,"0")</f>
        <v>#REF!</v>
      </c>
      <c r="F21" s="191" t="s">
        <v>1</v>
      </c>
      <c r="G21" s="192" t="e">
        <f>G3-P3</f>
        <v>#REF!</v>
      </c>
      <c r="H21" s="193" t="e">
        <f>I3-R3</f>
        <v>#REF!</v>
      </c>
      <c r="I21" s="194">
        <f>H3-Q3</f>
        <v>-1</v>
      </c>
      <c r="K21" s="208">
        <f>K3-T3</f>
        <v>-175</v>
      </c>
      <c r="L21" s="198">
        <f>L3-U3</f>
        <v>-70</v>
      </c>
      <c r="M21" s="198">
        <f>M3-V3</f>
        <v>-128</v>
      </c>
      <c r="N21" s="197">
        <f>SUM(K21:M21)</f>
        <v>-373</v>
      </c>
      <c r="P21" s="211" t="e">
        <f>O4-X4</f>
        <v>#REF!</v>
      </c>
      <c r="S21" s="704" t="s">
        <v>17</v>
      </c>
      <c r="T21" s="705"/>
      <c r="U21" s="221" t="e">
        <f>SUMIFS(#REF!,#REF!,"*pro*",#REF!,"*oui*")</f>
        <v>#REF!</v>
      </c>
      <c r="V21" s="222" t="e">
        <f>U21/$U$23</f>
        <v>#REF!</v>
      </c>
    </row>
    <row r="22" spans="1:24" x14ac:dyDescent="0.25">
      <c r="A22" s="13"/>
      <c r="B22" s="14">
        <v>43174</v>
      </c>
      <c r="C22" s="15" t="e">
        <f>SUMIFS(#REF!,#REF!,"&gt;="&amp;'SUIV CA 17-18'!B22,#REF!,"&lt;="&amp;B23,#REF!,"0")</f>
        <v>#REF!</v>
      </c>
      <c r="F22" s="191" t="s">
        <v>2</v>
      </c>
      <c r="G22" s="195" t="e">
        <f>G4-P4</f>
        <v>#REF!</v>
      </c>
      <c r="H22" s="196" t="e">
        <f>I4-R4</f>
        <v>#REF!</v>
      </c>
      <c r="I22" s="197">
        <f t="shared" ref="I22:I32" si="6">H4-Q4</f>
        <v>1</v>
      </c>
      <c r="K22" s="208">
        <f t="shared" ref="K22:M22" si="7">K4-T4</f>
        <v>73</v>
      </c>
      <c r="L22" s="198">
        <f t="shared" si="7"/>
        <v>124</v>
      </c>
      <c r="M22" s="198">
        <f t="shared" si="7"/>
        <v>303</v>
      </c>
      <c r="N22" s="197">
        <f t="shared" ref="N22:N32" si="8">SUM(K22:M22)</f>
        <v>500</v>
      </c>
      <c r="P22" s="211" t="e">
        <f t="shared" ref="P22:P24" si="9">O5-X5</f>
        <v>#REF!</v>
      </c>
      <c r="S22" s="690" t="s">
        <v>18</v>
      </c>
      <c r="T22" s="691"/>
      <c r="U22" s="223" t="e">
        <f>SUM(G3:G14)-U21-U20</f>
        <v>#REF!</v>
      </c>
      <c r="V22" s="224" t="e">
        <f>U22/$U$23</f>
        <v>#REF!</v>
      </c>
    </row>
    <row r="23" spans="1:24" x14ac:dyDescent="0.25">
      <c r="A23" s="13" t="s">
        <v>8</v>
      </c>
      <c r="B23" s="14">
        <v>43191</v>
      </c>
      <c r="C23" s="15" t="e">
        <f>SUMIFS(#REF!,#REF!,"&gt;="&amp;'SUIV CA 17-18'!B23,#REF!,"&lt;="&amp;B24,#REF!,"0")</f>
        <v>#REF!</v>
      </c>
      <c r="F23" s="191" t="s">
        <v>3</v>
      </c>
      <c r="G23" s="195" t="e">
        <f>G5-P5</f>
        <v>#REF!</v>
      </c>
      <c r="H23" s="196" t="e">
        <f>I5-R5</f>
        <v>#REF!</v>
      </c>
      <c r="I23" s="197">
        <f t="shared" si="6"/>
        <v>2</v>
      </c>
      <c r="K23" s="208">
        <f t="shared" ref="K23:K24" si="10">K5-T5</f>
        <v>201</v>
      </c>
      <c r="L23" s="198">
        <f t="shared" ref="L23:L24" si="11">L5-U5</f>
        <v>177</v>
      </c>
      <c r="M23" s="198">
        <f t="shared" ref="M23:M24" si="12">M5-V5</f>
        <v>265.76</v>
      </c>
      <c r="N23" s="197">
        <f t="shared" si="8"/>
        <v>643.76</v>
      </c>
      <c r="P23" s="211" t="e">
        <f t="shared" si="9"/>
        <v>#REF!</v>
      </c>
      <c r="S23" s="692" t="s">
        <v>20</v>
      </c>
      <c r="T23" s="693"/>
      <c r="U23" s="225" t="e">
        <f>SUM(U20:U22)</f>
        <v>#REF!</v>
      </c>
      <c r="V23" s="125"/>
    </row>
    <row r="24" spans="1:24" x14ac:dyDescent="0.25">
      <c r="A24" s="13"/>
      <c r="B24" s="14">
        <v>43205</v>
      </c>
      <c r="C24" s="15" t="e">
        <f>SUMIFS(#REF!,#REF!,"&gt;="&amp;'SUIV CA 17-18'!B24,#REF!,"&lt;="&amp;B25,#REF!,"0")</f>
        <v>#REF!</v>
      </c>
      <c r="F24" s="191" t="s">
        <v>4</v>
      </c>
      <c r="G24" s="195" t="e">
        <f>G6-P6</f>
        <v>#REF!</v>
      </c>
      <c r="H24" s="196" t="e">
        <f>I6-R6</f>
        <v>#REF!</v>
      </c>
      <c r="I24" s="197">
        <f t="shared" si="6"/>
        <v>0</v>
      </c>
      <c r="K24" s="208">
        <f t="shared" si="10"/>
        <v>97</v>
      </c>
      <c r="L24" s="198">
        <f t="shared" si="11"/>
        <v>8</v>
      </c>
      <c r="M24" s="198">
        <f t="shared" si="12"/>
        <v>-40</v>
      </c>
      <c r="N24" s="197">
        <f t="shared" si="8"/>
        <v>65</v>
      </c>
      <c r="P24" s="211" t="e">
        <f t="shared" si="9"/>
        <v>#REF!</v>
      </c>
    </row>
    <row r="25" spans="1:24" x14ac:dyDescent="0.25">
      <c r="A25" s="13" t="s">
        <v>9</v>
      </c>
      <c r="B25" s="14">
        <v>43221</v>
      </c>
      <c r="C25" s="15" t="e">
        <f>SUMIFS(#REF!,#REF!,"&gt;="&amp;'SUIV CA 17-18'!B25,#REF!,"&lt;="&amp;B26,#REF!,"0")</f>
        <v>#REF!</v>
      </c>
      <c r="F25" s="191" t="s">
        <v>5</v>
      </c>
      <c r="G25" s="195" t="e">
        <f>G7-P7</f>
        <v>#REF!</v>
      </c>
      <c r="H25" s="196" t="e">
        <f>I7-R7</f>
        <v>#REF!</v>
      </c>
      <c r="I25" s="197">
        <f t="shared" ref="I25" si="13">H7-Q7</f>
        <v>1</v>
      </c>
      <c r="K25" s="208">
        <f t="shared" ref="K25" si="14">K7-T7</f>
        <v>377</v>
      </c>
      <c r="L25" s="198">
        <f t="shared" ref="L25" si="15">L7-U7</f>
        <v>162</v>
      </c>
      <c r="M25" s="198">
        <f t="shared" ref="M25" si="16">M7-V7</f>
        <v>162</v>
      </c>
      <c r="N25" s="197">
        <f t="shared" ref="N25" si="17">SUM(K25:M25)</f>
        <v>701</v>
      </c>
      <c r="P25" s="211"/>
    </row>
    <row r="26" spans="1:24" x14ac:dyDescent="0.25">
      <c r="A26" s="13"/>
      <c r="B26" s="14">
        <v>43235</v>
      </c>
      <c r="C26" s="15" t="e">
        <f>SUMIFS(#REF!,#REF!,"&gt;="&amp;'SUIV CA 17-18'!B26,#REF!,"&lt;="&amp;B27,#REF!,"0")</f>
        <v>#REF!</v>
      </c>
      <c r="F26" s="191" t="s">
        <v>6</v>
      </c>
      <c r="G26" s="195"/>
      <c r="H26" s="198"/>
      <c r="I26" s="197">
        <f t="shared" si="6"/>
        <v>0</v>
      </c>
      <c r="K26" s="208"/>
      <c r="L26" s="198"/>
      <c r="M26" s="198"/>
      <c r="N26" s="197"/>
      <c r="P26" s="211"/>
    </row>
    <row r="27" spans="1:24" ht="15" customHeight="1" x14ac:dyDescent="0.25">
      <c r="A27" s="13" t="s">
        <v>10</v>
      </c>
      <c r="B27" s="14">
        <v>43252</v>
      </c>
      <c r="C27" s="15" t="e">
        <f>SUMIFS(#REF!,#REF!,"&gt;="&amp;'SUIV CA 17-18'!B27,#REF!,"&lt;="&amp;B28,#REF!,"0")</f>
        <v>#REF!</v>
      </c>
      <c r="F27" s="191" t="s">
        <v>7</v>
      </c>
      <c r="G27" s="195"/>
      <c r="H27" s="198"/>
      <c r="I27" s="197">
        <f t="shared" si="6"/>
        <v>-1</v>
      </c>
      <c r="K27" s="208"/>
      <c r="L27" s="198"/>
      <c r="M27" s="198"/>
      <c r="N27" s="197">
        <f t="shared" si="8"/>
        <v>0</v>
      </c>
      <c r="P27" s="211"/>
    </row>
    <row r="28" spans="1:24" x14ac:dyDescent="0.25">
      <c r="A28" s="13"/>
      <c r="B28" s="14">
        <v>43266</v>
      </c>
      <c r="C28" s="15" t="e">
        <f>SUMIFS(#REF!,#REF!,"&gt;="&amp;'SUIV CA 17-18'!B28,#REF!,"&lt;="&amp;B29,#REF!,"0")</f>
        <v>#REF!</v>
      </c>
      <c r="F28" s="191" t="s">
        <v>8</v>
      </c>
      <c r="G28" s="195"/>
      <c r="H28" s="198"/>
      <c r="I28" s="197">
        <f t="shared" si="6"/>
        <v>1</v>
      </c>
      <c r="K28" s="208"/>
      <c r="L28" s="198"/>
      <c r="M28" s="198"/>
      <c r="N28" s="197">
        <f t="shared" si="8"/>
        <v>0</v>
      </c>
      <c r="P28" s="211"/>
    </row>
    <row r="29" spans="1:24" x14ac:dyDescent="0.25">
      <c r="A29" s="13" t="s">
        <v>11</v>
      </c>
      <c r="B29" s="14">
        <v>43282</v>
      </c>
      <c r="C29" s="15" t="e">
        <f>SUMIFS(#REF!,#REF!,"&gt;="&amp;'SUIV CA 17-18'!B29,#REF!,"&lt;="&amp;B30,#REF!,"0")</f>
        <v>#REF!</v>
      </c>
      <c r="F29" s="191" t="s">
        <v>9</v>
      </c>
      <c r="G29" s="195"/>
      <c r="H29" s="198"/>
      <c r="I29" s="197">
        <f t="shared" si="6"/>
        <v>-3</v>
      </c>
      <c r="K29" s="208"/>
      <c r="L29" s="198"/>
      <c r="M29" s="198"/>
      <c r="N29" s="197">
        <f t="shared" si="8"/>
        <v>0</v>
      </c>
      <c r="P29" s="211"/>
    </row>
    <row r="30" spans="1:24" ht="15" customHeight="1" x14ac:dyDescent="0.25">
      <c r="A30" s="13"/>
      <c r="B30" s="14">
        <v>43296</v>
      </c>
      <c r="C30" s="15" t="e">
        <f>SUMIFS(#REF!,#REF!,"&gt;="&amp;'SUIV CA 17-18'!B30,#REF!,"&lt;="&amp;B31,#REF!,"0")</f>
        <v>#REF!</v>
      </c>
      <c r="F30" s="191" t="s">
        <v>10</v>
      </c>
      <c r="G30" s="195"/>
      <c r="H30" s="198"/>
      <c r="I30" s="197">
        <f t="shared" si="6"/>
        <v>0</v>
      </c>
      <c r="K30" s="208"/>
      <c r="L30" s="198"/>
      <c r="M30" s="198"/>
      <c r="N30" s="197">
        <f t="shared" si="8"/>
        <v>0</v>
      </c>
      <c r="P30" s="211"/>
    </row>
    <row r="31" spans="1:24" x14ac:dyDescent="0.25">
      <c r="A31" s="13" t="s">
        <v>12</v>
      </c>
      <c r="B31" s="14">
        <v>43313</v>
      </c>
      <c r="C31" s="15" t="e">
        <f>SUMIFS(#REF!,#REF!,"&gt;="&amp;'SUIV CA 17-18'!B31,#REF!,"&lt;="&amp;B32,#REF!,"0")</f>
        <v>#REF!</v>
      </c>
      <c r="F31" s="191" t="s">
        <v>11</v>
      </c>
      <c r="G31" s="195"/>
      <c r="H31" s="198"/>
      <c r="I31" s="197">
        <f t="shared" si="6"/>
        <v>2</v>
      </c>
      <c r="K31" s="208"/>
      <c r="L31" s="198"/>
      <c r="M31" s="198"/>
      <c r="N31" s="197">
        <f t="shared" si="8"/>
        <v>0</v>
      </c>
      <c r="P31" s="211"/>
    </row>
    <row r="32" spans="1:24" ht="15" customHeight="1" x14ac:dyDescent="0.25">
      <c r="A32" s="13"/>
      <c r="B32" s="14">
        <v>43327</v>
      </c>
      <c r="C32" s="15" t="e">
        <f>SUMIFS(#REF!,#REF!,"&gt;="&amp;'SUIV CA 17-18'!B32,#REF!,"&lt;="&amp;B33,#REF!,"0")</f>
        <v>#REF!</v>
      </c>
      <c r="F32" s="199" t="s">
        <v>15</v>
      </c>
      <c r="G32" s="200"/>
      <c r="H32" s="201"/>
      <c r="I32" s="202">
        <f t="shared" si="6"/>
        <v>-1</v>
      </c>
      <c r="K32" s="209"/>
      <c r="L32" s="201"/>
      <c r="M32" s="201"/>
      <c r="N32" s="202">
        <f t="shared" si="8"/>
        <v>0</v>
      </c>
      <c r="P32" s="212"/>
    </row>
    <row r="33" spans="1:16" ht="15.75" thickBot="1" x14ac:dyDescent="0.3">
      <c r="A33" s="16"/>
      <c r="B33" s="17">
        <v>43344</v>
      </c>
      <c r="C33" s="15" t="e">
        <f>SUMIFS(#REF!,#REF!,"&gt;="&amp;'SUIV CA 17-18'!B33,#REF!,"&lt;="&amp;B34,#REF!,"0")</f>
        <v>#REF!</v>
      </c>
      <c r="F33" s="203" t="s">
        <v>0</v>
      </c>
      <c r="G33" s="228" t="e">
        <f>SUM(G21:G32)</f>
        <v>#REF!</v>
      </c>
      <c r="H33" s="229"/>
      <c r="I33" s="50">
        <f>SUM(I21:I32)</f>
        <v>1</v>
      </c>
      <c r="K33" s="204">
        <f>SUM(K21:K32)</f>
        <v>573</v>
      </c>
      <c r="L33" s="205">
        <f t="shared" ref="L33:N33" si="18">SUM(L21:L32)</f>
        <v>401</v>
      </c>
      <c r="M33" s="205">
        <f t="shared" si="18"/>
        <v>562.76</v>
      </c>
      <c r="N33" s="50">
        <f t="shared" si="18"/>
        <v>1536.76</v>
      </c>
      <c r="P33" s="213"/>
    </row>
    <row r="34" spans="1:16" x14ac:dyDescent="0.25">
      <c r="A34" s="668" t="s">
        <v>0</v>
      </c>
      <c r="B34" s="669"/>
      <c r="C34" s="78" t="e">
        <f>SUM(C9:C33)</f>
        <v>#REF!</v>
      </c>
      <c r="F34" s="177"/>
    </row>
    <row r="35" spans="1:16" x14ac:dyDescent="0.25">
      <c r="A35" s="670" t="s">
        <v>82</v>
      </c>
      <c r="B35" s="671"/>
      <c r="C35" s="79" t="e">
        <f>(C34/(G15*1.2))*360</f>
        <v>#REF!</v>
      </c>
    </row>
  </sheetData>
  <mergeCells count="14">
    <mergeCell ref="A35:B35"/>
    <mergeCell ref="F1:X1"/>
    <mergeCell ref="A1:C2"/>
    <mergeCell ref="A34:B34"/>
    <mergeCell ref="D2:E2"/>
    <mergeCell ref="S22:T22"/>
    <mergeCell ref="S23:T23"/>
    <mergeCell ref="G18:P18"/>
    <mergeCell ref="S18:V18"/>
    <mergeCell ref="S19:T19"/>
    <mergeCell ref="S20:T20"/>
    <mergeCell ref="S21:T21"/>
    <mergeCell ref="G19:I19"/>
    <mergeCell ref="K19:N19"/>
  </mergeCells>
  <pageMargins left="0" right="0" top="0" bottom="0" header="0" footer="0"/>
  <pageSetup paperSize="9" scale="5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 tint="-0.249977111117893"/>
    <pageSetUpPr fitToPage="1"/>
  </sheetPr>
  <dimension ref="A1:R126"/>
  <sheetViews>
    <sheetView tabSelected="1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Q13" sqref="Q13"/>
    </sheetView>
  </sheetViews>
  <sheetFormatPr baseColWidth="10" defaultRowHeight="15" outlineLevelRow="1" outlineLevelCol="1" x14ac:dyDescent="0.25"/>
  <cols>
    <col min="1" max="1" width="12.28515625" bestFit="1" customWidth="1"/>
    <col min="2" max="2" width="32.85546875" customWidth="1"/>
    <col min="3" max="3" width="13.140625" customWidth="1"/>
    <col min="4" max="4" width="10.85546875" customWidth="1"/>
    <col min="5" max="5" width="11" customWidth="1"/>
    <col min="6" max="6" width="11.28515625" customWidth="1"/>
    <col min="7" max="7" width="11.5703125" customWidth="1"/>
    <col min="8" max="8" width="11.42578125" customWidth="1"/>
    <col min="9" max="9" width="10.85546875" customWidth="1"/>
    <col min="10" max="10" width="11" customWidth="1"/>
    <col min="11" max="13" width="11.5703125" customWidth="1" outlineLevel="1"/>
    <col min="14" max="14" width="11" customWidth="1" outlineLevel="1"/>
    <col min="15" max="15" width="12.7109375" style="106" customWidth="1"/>
    <col min="17" max="17" width="17.42578125" customWidth="1"/>
  </cols>
  <sheetData>
    <row r="1" spans="1:17" ht="19.5" thickBot="1" x14ac:dyDescent="0.35">
      <c r="A1" s="720" t="s">
        <v>97</v>
      </c>
      <c r="B1" s="721"/>
      <c r="C1" s="721"/>
      <c r="D1" s="721"/>
      <c r="E1" s="721"/>
      <c r="F1" s="721"/>
      <c r="G1" s="721"/>
      <c r="H1" s="721"/>
      <c r="I1" s="721"/>
      <c r="J1" s="721"/>
      <c r="K1" s="721"/>
      <c r="L1" s="721"/>
      <c r="M1" s="721"/>
      <c r="N1" s="721"/>
      <c r="O1" s="721"/>
      <c r="P1" s="721"/>
      <c r="Q1" s="722"/>
    </row>
    <row r="2" spans="1:17" ht="15.75" x14ac:dyDescent="0.25">
      <c r="A2" s="233"/>
      <c r="B2" s="234" t="s">
        <v>23</v>
      </c>
      <c r="C2" s="235">
        <v>22</v>
      </c>
      <c r="D2" s="235">
        <v>21</v>
      </c>
      <c r="E2" s="235">
        <v>19</v>
      </c>
      <c r="F2" s="235">
        <v>15.5</v>
      </c>
      <c r="G2" s="235">
        <v>21</v>
      </c>
      <c r="H2" s="235">
        <v>20</v>
      </c>
      <c r="I2" s="235">
        <v>23</v>
      </c>
      <c r="J2" s="235">
        <v>19</v>
      </c>
      <c r="K2" s="235">
        <v>19</v>
      </c>
      <c r="L2" s="235">
        <v>21</v>
      </c>
      <c r="M2" s="235">
        <v>20</v>
      </c>
      <c r="N2" s="235">
        <v>9</v>
      </c>
      <c r="O2" s="236">
        <f>SUM(C2:N2)</f>
        <v>229.5</v>
      </c>
      <c r="P2" s="234"/>
      <c r="Q2" s="237"/>
    </row>
    <row r="3" spans="1:17" ht="15.75" thickBot="1" x14ac:dyDescent="0.3">
      <c r="A3" s="233"/>
      <c r="B3" s="234" t="s">
        <v>24</v>
      </c>
      <c r="C3" s="234" t="s">
        <v>1</v>
      </c>
      <c r="D3" s="234" t="s">
        <v>2</v>
      </c>
      <c r="E3" s="234" t="s">
        <v>3</v>
      </c>
      <c r="F3" s="234" t="s">
        <v>4</v>
      </c>
      <c r="G3" s="234" t="s">
        <v>5</v>
      </c>
      <c r="H3" s="234" t="s">
        <v>6</v>
      </c>
      <c r="I3" s="234" t="s">
        <v>7</v>
      </c>
      <c r="J3" s="234" t="s">
        <v>8</v>
      </c>
      <c r="K3" s="234" t="s">
        <v>9</v>
      </c>
      <c r="L3" s="234" t="s">
        <v>10</v>
      </c>
      <c r="M3" s="234" t="s">
        <v>11</v>
      </c>
      <c r="N3" s="234" t="s">
        <v>15</v>
      </c>
      <c r="O3" s="236" t="s">
        <v>20</v>
      </c>
      <c r="P3" s="234" t="s">
        <v>25</v>
      </c>
      <c r="Q3" s="238" t="s">
        <v>73</v>
      </c>
    </row>
    <row r="4" spans="1:17" s="1" customFormat="1" ht="16.5" customHeight="1" thickBot="1" x14ac:dyDescent="0.35">
      <c r="A4" s="744" t="s">
        <v>26</v>
      </c>
      <c r="B4" s="745"/>
      <c r="C4" s="745"/>
      <c r="D4" s="745"/>
      <c r="E4" s="745"/>
      <c r="F4" s="745"/>
      <c r="G4" s="745"/>
      <c r="H4" s="745"/>
      <c r="I4" s="745"/>
      <c r="J4" s="745"/>
      <c r="K4" s="745"/>
      <c r="L4" s="745"/>
      <c r="M4" s="745"/>
      <c r="N4" s="745"/>
      <c r="O4" s="745"/>
      <c r="P4" s="745"/>
      <c r="Q4" s="746"/>
    </row>
    <row r="5" spans="1:17" s="1" customFormat="1" x14ac:dyDescent="0.25">
      <c r="A5" s="735" t="s">
        <v>27</v>
      </c>
      <c r="B5" s="370" t="s">
        <v>63</v>
      </c>
      <c r="C5" s="371">
        <f>159483-C21</f>
        <v>143214</v>
      </c>
      <c r="D5" s="371">
        <f>100413-D21</f>
        <v>84984.88</v>
      </c>
      <c r="E5" s="371">
        <f>108124-E21</f>
        <v>88035.27</v>
      </c>
      <c r="F5" s="371">
        <f>77536-F21</f>
        <v>60126</v>
      </c>
      <c r="G5" s="371">
        <f>91060-G21</f>
        <v>72392</v>
      </c>
      <c r="H5" s="371">
        <f>125227-H21</f>
        <v>105620.76</v>
      </c>
      <c r="I5" s="371">
        <v>144223</v>
      </c>
      <c r="J5" s="371">
        <v>113645</v>
      </c>
      <c r="K5" s="371">
        <v>127506</v>
      </c>
      <c r="L5" s="371">
        <v>137599</v>
      </c>
      <c r="M5" s="371">
        <v>131654</v>
      </c>
      <c r="N5" s="371">
        <v>47817</v>
      </c>
      <c r="O5" s="372">
        <f>SUM(C5:N5)</f>
        <v>1256816.9100000001</v>
      </c>
      <c r="P5" s="373">
        <f>AVERAGE(C5:H5)</f>
        <v>92395.485000000001</v>
      </c>
      <c r="Q5" s="374">
        <f>(K5-J5)/K5</f>
        <v>0.10870860979091181</v>
      </c>
    </row>
    <row r="6" spans="1:17" s="1" customFormat="1" x14ac:dyDescent="0.25">
      <c r="A6" s="736"/>
      <c r="B6" s="375" t="s">
        <v>28</v>
      </c>
      <c r="C6" s="376">
        <f t="shared" ref="C6:N6" si="0">($O$7/$O$111)</f>
        <v>67.915403751367634</v>
      </c>
      <c r="D6" s="376">
        <f t="shared" si="0"/>
        <v>67.915403751367634</v>
      </c>
      <c r="E6" s="376">
        <f t="shared" si="0"/>
        <v>67.915403751367634</v>
      </c>
      <c r="F6" s="376">
        <f t="shared" si="0"/>
        <v>67.915403751367634</v>
      </c>
      <c r="G6" s="376">
        <f t="shared" si="0"/>
        <v>67.915403751367634</v>
      </c>
      <c r="H6" s="376">
        <f t="shared" si="0"/>
        <v>67.915403751367634</v>
      </c>
      <c r="I6" s="376">
        <f t="shared" si="0"/>
        <v>67.915403751367634</v>
      </c>
      <c r="J6" s="376">
        <f t="shared" si="0"/>
        <v>67.915403751367634</v>
      </c>
      <c r="K6" s="376">
        <f t="shared" si="0"/>
        <v>67.915403751367634</v>
      </c>
      <c r="L6" s="376">
        <f t="shared" si="0"/>
        <v>67.915403751367634</v>
      </c>
      <c r="M6" s="376">
        <f t="shared" si="0"/>
        <v>67.915403751367634</v>
      </c>
      <c r="N6" s="376">
        <f t="shared" si="0"/>
        <v>67.915403751367634</v>
      </c>
      <c r="O6" s="377"/>
      <c r="P6" s="378">
        <f>AVERAGE(C6:I6)</f>
        <v>67.915403751367634</v>
      </c>
      <c r="Q6" s="374">
        <f t="shared" ref="Q6:Q14" si="1">(K6-J6)/K6</f>
        <v>0</v>
      </c>
    </row>
    <row r="7" spans="1:17" s="1" customFormat="1" x14ac:dyDescent="0.25">
      <c r="A7" s="736"/>
      <c r="B7" s="370" t="s">
        <v>29</v>
      </c>
      <c r="C7" s="371">
        <v>167351</v>
      </c>
      <c r="D7" s="371">
        <v>89574</v>
      </c>
      <c r="E7" s="371">
        <v>82171</v>
      </c>
      <c r="F7" s="371">
        <v>88763</v>
      </c>
      <c r="G7" s="371">
        <v>112875</v>
      </c>
      <c r="H7" s="371">
        <v>149132</v>
      </c>
      <c r="I7" s="371">
        <v>66965</v>
      </c>
      <c r="J7" s="371">
        <v>66300</v>
      </c>
      <c r="K7" s="371">
        <v>60318</v>
      </c>
      <c r="L7" s="371">
        <v>103082</v>
      </c>
      <c r="M7" s="371">
        <v>72121</v>
      </c>
      <c r="N7" s="371">
        <v>62731</v>
      </c>
      <c r="O7" s="372">
        <f>SUM(C7:N7)</f>
        <v>1121383</v>
      </c>
      <c r="P7" s="373">
        <f>AVERAGE(C7:N7)</f>
        <v>93448.583333333328</v>
      </c>
      <c r="Q7" s="374">
        <f>(K7-J7)/K7</f>
        <v>-9.9174375808216447E-2</v>
      </c>
    </row>
    <row r="8" spans="1:17" s="1" customFormat="1" x14ac:dyDescent="0.25">
      <c r="A8" s="736"/>
      <c r="B8" s="375" t="s">
        <v>30</v>
      </c>
      <c r="C8" s="376">
        <v>25864</v>
      </c>
      <c r="D8" s="376">
        <v>23099</v>
      </c>
      <c r="E8" s="376">
        <v>23707</v>
      </c>
      <c r="F8" s="376">
        <v>24342</v>
      </c>
      <c r="G8" s="376">
        <v>24725</v>
      </c>
      <c r="H8" s="376">
        <v>29172</v>
      </c>
      <c r="I8" s="376">
        <v>29625</v>
      </c>
      <c r="J8" s="376">
        <v>27491</v>
      </c>
      <c r="K8" s="376">
        <v>26711</v>
      </c>
      <c r="L8" s="376">
        <v>26942</v>
      </c>
      <c r="M8" s="376">
        <v>23960</v>
      </c>
      <c r="N8" s="376">
        <v>25212</v>
      </c>
      <c r="O8" s="377">
        <f>SUM(C8:N8)</f>
        <v>310850</v>
      </c>
      <c r="P8" s="378">
        <f>AVERAGE(C8:N8)</f>
        <v>25904.166666666668</v>
      </c>
      <c r="Q8" s="374">
        <f t="shared" si="1"/>
        <v>-2.9201452585077309E-2</v>
      </c>
    </row>
    <row r="9" spans="1:17" s="1" customFormat="1" x14ac:dyDescent="0.25">
      <c r="A9" s="736"/>
      <c r="B9" s="375" t="s">
        <v>31</v>
      </c>
      <c r="C9" s="376"/>
      <c r="D9" s="376"/>
      <c r="E9" s="376"/>
      <c r="F9" s="376"/>
      <c r="G9" s="376"/>
      <c r="H9" s="376"/>
      <c r="I9" s="376"/>
      <c r="J9" s="376"/>
      <c r="K9" s="376"/>
      <c r="L9" s="376"/>
      <c r="M9" s="376"/>
      <c r="N9" s="376"/>
      <c r="O9" s="377">
        <f t="shared" ref="O9" si="2">SUM(C9:N9)</f>
        <v>0</v>
      </c>
      <c r="P9" s="378"/>
      <c r="Q9" s="374" t="e">
        <f t="shared" si="1"/>
        <v>#DIV/0!</v>
      </c>
    </row>
    <row r="10" spans="1:17" s="1" customFormat="1" x14ac:dyDescent="0.25">
      <c r="A10" s="736"/>
      <c r="B10" s="375" t="s">
        <v>32</v>
      </c>
      <c r="C10" s="376">
        <v>11649</v>
      </c>
      <c r="D10" s="376">
        <v>11649</v>
      </c>
      <c r="E10" s="376">
        <v>11649</v>
      </c>
      <c r="F10" s="376">
        <v>11649</v>
      </c>
      <c r="G10" s="376">
        <v>11649</v>
      </c>
      <c r="H10" s="376">
        <v>11649</v>
      </c>
      <c r="I10" s="376">
        <v>11649</v>
      </c>
      <c r="J10" s="376">
        <v>11649</v>
      </c>
      <c r="K10" s="376">
        <v>11649</v>
      </c>
      <c r="L10" s="376">
        <v>11649</v>
      </c>
      <c r="M10" s="376">
        <v>11496</v>
      </c>
      <c r="N10" s="376">
        <v>11496</v>
      </c>
      <c r="O10" s="377">
        <f t="shared" ref="O10:O16" si="3">SUM(C10:N10)</f>
        <v>139482</v>
      </c>
      <c r="P10" s="378">
        <f>AVERAGE(C10:N10)</f>
        <v>11623.5</v>
      </c>
      <c r="Q10" s="374">
        <f t="shared" si="1"/>
        <v>0</v>
      </c>
    </row>
    <row r="11" spans="1:17" s="1" customFormat="1" x14ac:dyDescent="0.25">
      <c r="A11" s="736"/>
      <c r="B11" s="375" t="s">
        <v>33</v>
      </c>
      <c r="C11" s="376">
        <v>3273</v>
      </c>
      <c r="D11" s="376">
        <v>3273</v>
      </c>
      <c r="E11" s="376">
        <v>3273</v>
      </c>
      <c r="F11" s="376">
        <v>3273</v>
      </c>
      <c r="G11" s="376"/>
      <c r="H11" s="376"/>
      <c r="I11" s="376"/>
      <c r="J11" s="376"/>
      <c r="K11" s="376"/>
      <c r="L11" s="376"/>
      <c r="M11" s="376"/>
      <c r="N11" s="376"/>
      <c r="O11" s="377">
        <f t="shared" si="3"/>
        <v>13092</v>
      </c>
      <c r="P11" s="378">
        <f>AVERAGE(C11:N11)</f>
        <v>3273</v>
      </c>
      <c r="Q11" s="374" t="e">
        <f t="shared" si="1"/>
        <v>#DIV/0!</v>
      </c>
    </row>
    <row r="12" spans="1:17" s="1" customFormat="1" x14ac:dyDescent="0.25">
      <c r="A12" s="736"/>
      <c r="B12" s="375" t="s">
        <v>34</v>
      </c>
      <c r="C12" s="376">
        <v>6632</v>
      </c>
      <c r="D12" s="376">
        <v>8981</v>
      </c>
      <c r="E12" s="376">
        <v>4294</v>
      </c>
      <c r="F12" s="376">
        <v>22400</v>
      </c>
      <c r="G12" s="376">
        <v>8767</v>
      </c>
      <c r="H12" s="376">
        <v>7075</v>
      </c>
      <c r="I12" s="376">
        <v>10076</v>
      </c>
      <c r="J12" s="376">
        <v>13239</v>
      </c>
      <c r="K12" s="376">
        <v>9546</v>
      </c>
      <c r="L12" s="376">
        <v>5269</v>
      </c>
      <c r="M12" s="376">
        <v>9684</v>
      </c>
      <c r="N12" s="376">
        <v>521</v>
      </c>
      <c r="O12" s="377">
        <f t="shared" si="3"/>
        <v>106484</v>
      </c>
      <c r="P12" s="378">
        <f>AVERAGE(C12:N12)</f>
        <v>8873.6666666666661</v>
      </c>
      <c r="Q12" s="374">
        <f t="shared" si="1"/>
        <v>-0.38686360779384033</v>
      </c>
    </row>
    <row r="13" spans="1:17" s="1" customFormat="1" x14ac:dyDescent="0.25">
      <c r="A13" s="736"/>
      <c r="B13" s="375" t="s">
        <v>35</v>
      </c>
      <c r="C13" s="376">
        <f>SUM(C7:C12)</f>
        <v>214769</v>
      </c>
      <c r="D13" s="376">
        <f t="shared" ref="D13:N13" si="4">SUM(D7:D12)</f>
        <v>136576</v>
      </c>
      <c r="E13" s="376">
        <f t="shared" si="4"/>
        <v>125094</v>
      </c>
      <c r="F13" s="376">
        <f t="shared" si="4"/>
        <v>150427</v>
      </c>
      <c r="G13" s="376">
        <f t="shared" si="4"/>
        <v>158016</v>
      </c>
      <c r="H13" s="376">
        <f t="shared" si="4"/>
        <v>197028</v>
      </c>
      <c r="I13" s="376">
        <f t="shared" si="4"/>
        <v>118315</v>
      </c>
      <c r="J13" s="376">
        <f t="shared" si="4"/>
        <v>118679</v>
      </c>
      <c r="K13" s="376">
        <f t="shared" si="4"/>
        <v>108224</v>
      </c>
      <c r="L13" s="376">
        <f t="shared" si="4"/>
        <v>146942</v>
      </c>
      <c r="M13" s="376">
        <f t="shared" si="4"/>
        <v>117261</v>
      </c>
      <c r="N13" s="376">
        <f t="shared" si="4"/>
        <v>99960</v>
      </c>
      <c r="O13" s="377">
        <f t="shared" si="3"/>
        <v>1691291</v>
      </c>
      <c r="P13" s="378">
        <f>AVERAGE(C13:N13)</f>
        <v>140940.91666666666</v>
      </c>
      <c r="Q13" s="374">
        <f t="shared" si="1"/>
        <v>-9.660518923713779E-2</v>
      </c>
    </row>
    <row r="14" spans="1:17" s="1" customFormat="1" ht="28.5" x14ac:dyDescent="0.25">
      <c r="A14" s="736"/>
      <c r="B14" s="379" t="s">
        <v>69</v>
      </c>
      <c r="C14" s="380">
        <f>C5-(C13)+C21</f>
        <v>-55286</v>
      </c>
      <c r="D14" s="380">
        <f t="shared" ref="D14:N14" si="5">D5-(D13)+D21</f>
        <v>-36162.999999999993</v>
      </c>
      <c r="E14" s="380">
        <f t="shared" si="5"/>
        <v>-16969.999999999996</v>
      </c>
      <c r="F14" s="380">
        <f t="shared" si="5"/>
        <v>-72891</v>
      </c>
      <c r="G14" s="380">
        <f t="shared" si="5"/>
        <v>-66956</v>
      </c>
      <c r="H14" s="380">
        <f t="shared" si="5"/>
        <v>-71801</v>
      </c>
      <c r="I14" s="380">
        <f t="shared" si="5"/>
        <v>51521.25</v>
      </c>
      <c r="J14" s="380">
        <f t="shared" si="5"/>
        <v>10750.88</v>
      </c>
      <c r="K14" s="380">
        <f t="shared" si="5"/>
        <v>37021.089999999997</v>
      </c>
      <c r="L14" s="380">
        <f t="shared" si="5"/>
        <v>11369.34</v>
      </c>
      <c r="M14" s="380">
        <f t="shared" si="5"/>
        <v>30299.67</v>
      </c>
      <c r="N14" s="380">
        <f t="shared" si="5"/>
        <v>-45234</v>
      </c>
      <c r="O14" s="381">
        <f t="shared" si="3"/>
        <v>-224338.77000000002</v>
      </c>
      <c r="P14" s="382">
        <f>AVERAGE(C14:N14)</f>
        <v>-18694.897500000003</v>
      </c>
      <c r="Q14" s="383">
        <f t="shared" si="1"/>
        <v>0.70960120298997142</v>
      </c>
    </row>
    <row r="15" spans="1:17" s="1" customFormat="1" ht="30" x14ac:dyDescent="0.25">
      <c r="A15" s="736"/>
      <c r="B15" s="384" t="s">
        <v>139</v>
      </c>
      <c r="C15" s="371">
        <f t="shared" ref="C15:N15" si="6">C14+(C6*(C110-C113))</f>
        <v>-49648.478165406479</v>
      </c>
      <c r="D15" s="371">
        <f t="shared" si="6"/>
        <v>-39444.672309266076</v>
      </c>
      <c r="E15" s="371">
        <f t="shared" si="6"/>
        <v>633.67265235449668</v>
      </c>
      <c r="F15" s="371">
        <f t="shared" si="6"/>
        <v>-88951.63467912341</v>
      </c>
      <c r="G15" s="371">
        <f t="shared" si="6"/>
        <v>-62696.345876714222</v>
      </c>
      <c r="H15" s="371">
        <f t="shared" si="6"/>
        <v>-78755.537344140044</v>
      </c>
      <c r="I15" s="371">
        <f t="shared" si="6"/>
        <v>54020.536858050327</v>
      </c>
      <c r="J15" s="371">
        <f t="shared" si="6"/>
        <v>24616.488829879214</v>
      </c>
      <c r="K15" s="371">
        <f t="shared" si="6"/>
        <v>45018.807945761044</v>
      </c>
      <c r="L15" s="371">
        <f t="shared" si="6"/>
        <v>44142.597234259971</v>
      </c>
      <c r="M15" s="371">
        <f t="shared" si="6"/>
        <v>62681.734508652095</v>
      </c>
      <c r="N15" s="371">
        <f t="shared" si="6"/>
        <v>-44277.751115180741</v>
      </c>
      <c r="O15" s="372">
        <f t="shared" si="3"/>
        <v>-132660.58146087383</v>
      </c>
      <c r="P15" s="373"/>
      <c r="Q15" s="374"/>
    </row>
    <row r="16" spans="1:17" s="1" customFormat="1" x14ac:dyDescent="0.25">
      <c r="A16" s="736"/>
      <c r="B16" s="375" t="s">
        <v>36</v>
      </c>
      <c r="C16" s="376">
        <f t="shared" ref="C16:N16" si="7">C17*C89</f>
        <v>3740.0455727759277</v>
      </c>
      <c r="D16" s="376">
        <f t="shared" si="7"/>
        <v>11282.425833278647</v>
      </c>
      <c r="E16" s="376">
        <f t="shared" si="7"/>
        <v>7520.3266171858604</v>
      </c>
      <c r="F16" s="376">
        <f t="shared" si="7"/>
        <v>21884.470771603101</v>
      </c>
      <c r="G16" s="376">
        <f t="shared" si="7"/>
        <v>9810.6271523751839</v>
      </c>
      <c r="H16" s="376">
        <f t="shared" si="7"/>
        <v>18215.530928428372</v>
      </c>
      <c r="I16" s="376">
        <f t="shared" si="7"/>
        <v>5600.3525321418892</v>
      </c>
      <c r="J16" s="376">
        <f t="shared" si="7"/>
        <v>5429.0672950839953</v>
      </c>
      <c r="K16" s="376">
        <f t="shared" si="7"/>
        <v>5336.1829838449576</v>
      </c>
      <c r="L16" s="376">
        <f t="shared" si="7"/>
        <v>13222.14087445611</v>
      </c>
      <c r="M16" s="376">
        <f t="shared" si="7"/>
        <v>5585.2260601049993</v>
      </c>
      <c r="N16" s="376">
        <f t="shared" si="7"/>
        <v>5721.722139483426</v>
      </c>
      <c r="O16" s="377">
        <f t="shared" si="3"/>
        <v>113348.11876076246</v>
      </c>
      <c r="P16" s="378"/>
      <c r="Q16" s="385"/>
    </row>
    <row r="17" spans="1:17" s="1" customFormat="1" x14ac:dyDescent="0.25">
      <c r="A17" s="736"/>
      <c r="B17" s="375" t="s">
        <v>37</v>
      </c>
      <c r="C17" s="386">
        <f t="shared" ref="C17:N17" si="8">C13/(C13+C39+C68)</f>
        <v>0.37441641533446068</v>
      </c>
      <c r="D17" s="386">
        <f t="shared" si="8"/>
        <v>0.35565444104525573</v>
      </c>
      <c r="E17" s="386">
        <f t="shared" si="8"/>
        <v>0.3266015207672136</v>
      </c>
      <c r="F17" s="386">
        <f t="shared" si="8"/>
        <v>0.37744210640732484</v>
      </c>
      <c r="G17" s="386">
        <f t="shared" si="8"/>
        <v>0.42727351388768714</v>
      </c>
      <c r="H17" s="386">
        <f t="shared" si="8"/>
        <v>0.45357397730150328</v>
      </c>
      <c r="I17" s="386">
        <f t="shared" si="8"/>
        <v>0.28636051194671419</v>
      </c>
      <c r="J17" s="386">
        <f t="shared" si="8"/>
        <v>0.24468484293690262</v>
      </c>
      <c r="K17" s="386">
        <f t="shared" si="8"/>
        <v>0.28377914187646019</v>
      </c>
      <c r="L17" s="386">
        <f t="shared" si="8"/>
        <v>0.30474890807053057</v>
      </c>
      <c r="M17" s="386">
        <f t="shared" si="8"/>
        <v>0.3058219383510376</v>
      </c>
      <c r="N17" s="386">
        <f t="shared" si="8"/>
        <v>0.42534360239989788</v>
      </c>
      <c r="O17" s="387"/>
      <c r="P17" s="378"/>
      <c r="Q17" s="385"/>
    </row>
    <row r="18" spans="1:17" s="1" customFormat="1" ht="30" x14ac:dyDescent="0.25">
      <c r="A18" s="736"/>
      <c r="B18" s="384" t="s">
        <v>70</v>
      </c>
      <c r="C18" s="388">
        <f t="shared" ref="C18:H18" si="9">C14-C16</f>
        <v>-59026.045572775925</v>
      </c>
      <c r="D18" s="388">
        <f t="shared" si="9"/>
        <v>-47445.425833278641</v>
      </c>
      <c r="E18" s="388">
        <f t="shared" si="9"/>
        <v>-24490.326617185856</v>
      </c>
      <c r="F18" s="388">
        <f t="shared" si="9"/>
        <v>-94775.470771603097</v>
      </c>
      <c r="G18" s="388">
        <f t="shared" si="9"/>
        <v>-76766.627152375178</v>
      </c>
      <c r="H18" s="388">
        <f t="shared" si="9"/>
        <v>-90016.530928428372</v>
      </c>
      <c r="I18" s="388">
        <f t="shared" ref="I18:N18" si="10">I14-I16</f>
        <v>45920.897467858114</v>
      </c>
      <c r="J18" s="388">
        <f t="shared" si="10"/>
        <v>5321.8127049160039</v>
      </c>
      <c r="K18" s="388">
        <f t="shared" si="10"/>
        <v>31684.907016155041</v>
      </c>
      <c r="L18" s="388">
        <f t="shared" si="10"/>
        <v>-1852.8008744561103</v>
      </c>
      <c r="M18" s="388">
        <f t="shared" si="10"/>
        <v>24714.443939894998</v>
      </c>
      <c r="N18" s="388">
        <f t="shared" si="10"/>
        <v>-50955.722139483427</v>
      </c>
      <c r="O18" s="372">
        <f>SUM(C18:N18)</f>
        <v>-337686.88876076246</v>
      </c>
      <c r="P18" s="373"/>
      <c r="Q18" s="385"/>
    </row>
    <row r="19" spans="1:17" s="1" customFormat="1" x14ac:dyDescent="0.25">
      <c r="A19" s="736"/>
      <c r="B19" s="389" t="s">
        <v>61</v>
      </c>
      <c r="C19" s="390">
        <v>257</v>
      </c>
      <c r="D19" s="390">
        <v>209</v>
      </c>
      <c r="E19" s="390">
        <v>525</v>
      </c>
      <c r="F19" s="390">
        <v>401</v>
      </c>
      <c r="G19" s="390">
        <v>423</v>
      </c>
      <c r="H19" s="390">
        <v>547</v>
      </c>
      <c r="I19" s="390">
        <v>729.48</v>
      </c>
      <c r="J19" s="390">
        <v>459.46</v>
      </c>
      <c r="K19" s="390">
        <v>514.72</v>
      </c>
      <c r="L19" s="390">
        <v>595.47</v>
      </c>
      <c r="M19" s="390">
        <v>450.08</v>
      </c>
      <c r="N19" s="391">
        <v>195.3</v>
      </c>
      <c r="O19" s="392">
        <f>SUM(C19:N19)</f>
        <v>5306.51</v>
      </c>
      <c r="P19" s="390">
        <f t="shared" ref="P19:P26" si="11">AVERAGE(C19:N19)</f>
        <v>442.2091666666667</v>
      </c>
      <c r="Q19" s="393"/>
    </row>
    <row r="20" spans="1:17" s="1" customFormat="1" x14ac:dyDescent="0.25">
      <c r="A20" s="736"/>
      <c r="B20" s="394" t="s">
        <v>89</v>
      </c>
      <c r="C20" s="395">
        <f>C21/C19</f>
        <v>63.303501945525291</v>
      </c>
      <c r="D20" s="395">
        <f t="shared" ref="D20:M20" si="12">D21/D19</f>
        <v>73.818755980861255</v>
      </c>
      <c r="E20" s="395">
        <f t="shared" si="12"/>
        <v>38.264247619047616</v>
      </c>
      <c r="F20" s="395">
        <f t="shared" si="12"/>
        <v>43.416458852867834</v>
      </c>
      <c r="G20" s="395">
        <f t="shared" si="12"/>
        <v>44.132387706855795</v>
      </c>
      <c r="H20" s="395">
        <f t="shared" si="12"/>
        <v>35.843217550274225</v>
      </c>
      <c r="I20" s="395">
        <f t="shared" si="12"/>
        <v>35.111654877446945</v>
      </c>
      <c r="J20" s="395">
        <f t="shared" si="12"/>
        <v>34.355286640839246</v>
      </c>
      <c r="K20" s="395">
        <f t="shared" si="12"/>
        <v>34.463572427727698</v>
      </c>
      <c r="L20" s="395">
        <f t="shared" si="12"/>
        <v>34.783179673199321</v>
      </c>
      <c r="M20" s="395">
        <f t="shared" si="12"/>
        <v>35.341872555990051</v>
      </c>
      <c r="N20" s="395">
        <f>N21/N19</f>
        <v>35.376344086021504</v>
      </c>
      <c r="O20" s="396"/>
      <c r="P20" s="397">
        <f t="shared" si="11"/>
        <v>42.350873326388061</v>
      </c>
      <c r="Q20" s="398"/>
    </row>
    <row r="21" spans="1:17" s="1" customFormat="1" x14ac:dyDescent="0.25">
      <c r="A21" s="737"/>
      <c r="B21" s="399" t="s">
        <v>60</v>
      </c>
      <c r="C21" s="400">
        <v>16269</v>
      </c>
      <c r="D21" s="400">
        <v>15428.12</v>
      </c>
      <c r="E21" s="400">
        <v>20088.73</v>
      </c>
      <c r="F21" s="400">
        <v>17410</v>
      </c>
      <c r="G21" s="400">
        <v>18668</v>
      </c>
      <c r="H21" s="400">
        <v>19606.240000000002</v>
      </c>
      <c r="I21" s="400">
        <v>25613.25</v>
      </c>
      <c r="J21" s="400">
        <v>15784.88</v>
      </c>
      <c r="K21" s="400">
        <v>17739.09</v>
      </c>
      <c r="L21" s="400">
        <v>20712.34</v>
      </c>
      <c r="M21" s="400">
        <v>15906.67</v>
      </c>
      <c r="N21" s="400">
        <v>6909</v>
      </c>
      <c r="O21" s="401">
        <f>SUM(C21:N21)</f>
        <v>210135.32000000004</v>
      </c>
      <c r="P21" s="402">
        <f t="shared" si="11"/>
        <v>17511.276666666668</v>
      </c>
      <c r="Q21" s="403"/>
    </row>
    <row r="22" spans="1:17" s="1" customFormat="1" x14ac:dyDescent="0.25">
      <c r="A22" s="738" t="s">
        <v>38</v>
      </c>
      <c r="B22" s="386" t="s">
        <v>39</v>
      </c>
      <c r="C22" s="404">
        <v>770</v>
      </c>
      <c r="D22" s="404">
        <v>662</v>
      </c>
      <c r="E22" s="404">
        <v>640</v>
      </c>
      <c r="F22" s="404">
        <v>467</v>
      </c>
      <c r="G22" s="404">
        <v>547</v>
      </c>
      <c r="H22" s="405">
        <v>717</v>
      </c>
      <c r="I22" s="404">
        <v>833</v>
      </c>
      <c r="J22" s="404">
        <v>676</v>
      </c>
      <c r="K22" s="404">
        <v>726</v>
      </c>
      <c r="L22" s="404">
        <v>809</v>
      </c>
      <c r="M22" s="404">
        <v>766</v>
      </c>
      <c r="N22" s="404">
        <v>311</v>
      </c>
      <c r="O22" s="406">
        <f t="shared" ref="O22:O25" si="13">SUM(C22:N22)</f>
        <v>7924</v>
      </c>
      <c r="P22" s="407">
        <f t="shared" si="11"/>
        <v>660.33333333333337</v>
      </c>
      <c r="Q22" s="408">
        <f>(J22-I22)/J22</f>
        <v>-0.23224852071005916</v>
      </c>
    </row>
    <row r="23" spans="1:17" s="1" customFormat="1" x14ac:dyDescent="0.25">
      <c r="A23" s="736"/>
      <c r="B23" s="386" t="s">
        <v>40</v>
      </c>
      <c r="C23" s="409">
        <f t="shared" ref="C23:N23" si="14">C5/C2</f>
        <v>6509.727272727273</v>
      </c>
      <c r="D23" s="409">
        <f t="shared" si="14"/>
        <v>4046.8990476190479</v>
      </c>
      <c r="E23" s="409">
        <f t="shared" si="14"/>
        <v>4633.435263157895</v>
      </c>
      <c r="F23" s="409">
        <f t="shared" si="14"/>
        <v>3879.0967741935483</v>
      </c>
      <c r="G23" s="409">
        <f t="shared" si="14"/>
        <v>3447.2380952380954</v>
      </c>
      <c r="H23" s="409">
        <f>H5/H2</f>
        <v>5281.0379999999996</v>
      </c>
      <c r="I23" s="409">
        <f t="shared" si="14"/>
        <v>6270.565217391304</v>
      </c>
      <c r="J23" s="409">
        <f t="shared" si="14"/>
        <v>5981.3157894736842</v>
      </c>
      <c r="K23" s="409">
        <f t="shared" si="14"/>
        <v>6710.8421052631575</v>
      </c>
      <c r="L23" s="409">
        <f t="shared" si="14"/>
        <v>6552.333333333333</v>
      </c>
      <c r="M23" s="409">
        <f t="shared" si="14"/>
        <v>6582.7</v>
      </c>
      <c r="N23" s="409">
        <f t="shared" si="14"/>
        <v>5313</v>
      </c>
      <c r="O23" s="377">
        <f t="shared" si="13"/>
        <v>65208.190898397341</v>
      </c>
      <c r="P23" s="378">
        <f t="shared" si="11"/>
        <v>5434.0159081997781</v>
      </c>
      <c r="Q23" s="398">
        <f>(J23-I23)/J23</f>
        <v>-4.8358829076816205E-2</v>
      </c>
    </row>
    <row r="24" spans="1:17" s="1" customFormat="1" x14ac:dyDescent="0.25">
      <c r="A24" s="736"/>
      <c r="B24" s="386" t="s">
        <v>41</v>
      </c>
      <c r="C24" s="409">
        <f t="shared" ref="C24:L24" si="15">C5/C22</f>
        <v>185.99220779220778</v>
      </c>
      <c r="D24" s="409">
        <f t="shared" si="15"/>
        <v>128.37595166163143</v>
      </c>
      <c r="E24" s="409">
        <f t="shared" si="15"/>
        <v>137.555109375</v>
      </c>
      <c r="F24" s="409">
        <f t="shared" si="15"/>
        <v>128.74946466809422</v>
      </c>
      <c r="G24" s="409">
        <f t="shared" si="15"/>
        <v>132.3436928702011</v>
      </c>
      <c r="H24" s="409">
        <f t="shared" si="15"/>
        <v>147.30928870292885</v>
      </c>
      <c r="I24" s="409">
        <f t="shared" si="15"/>
        <v>173.13685474189677</v>
      </c>
      <c r="J24" s="409">
        <f t="shared" si="15"/>
        <v>168.1139053254438</v>
      </c>
      <c r="K24" s="409">
        <f t="shared" si="15"/>
        <v>175.62809917355372</v>
      </c>
      <c r="L24" s="409">
        <f t="shared" si="15"/>
        <v>170.08529048207663</v>
      </c>
      <c r="M24" s="409">
        <f>M5/M22</f>
        <v>171.87206266318537</v>
      </c>
      <c r="N24" s="409">
        <f t="shared" ref="N24" si="16">N5/N22</f>
        <v>153.75241157556269</v>
      </c>
      <c r="O24" s="377">
        <f t="shared" si="13"/>
        <v>1872.9143390317822</v>
      </c>
      <c r="P24" s="378">
        <f t="shared" si="11"/>
        <v>156.07619491931518</v>
      </c>
      <c r="Q24" s="398">
        <f>(J24-I24)/J24</f>
        <v>-2.9878250741539093E-2</v>
      </c>
    </row>
    <row r="25" spans="1:17" s="1" customFormat="1" x14ac:dyDescent="0.25">
      <c r="A25" s="736"/>
      <c r="B25" s="386" t="s">
        <v>42</v>
      </c>
      <c r="C25" s="376">
        <f>(C13-C7-$P$21)/C22+$P$6</f>
        <v>106.75530418426806</v>
      </c>
      <c r="D25" s="376">
        <f t="shared" ref="D25:N25" si="17">(D13-D7-$P$21)/D22+$P$6</f>
        <v>112.46332419446935</v>
      </c>
      <c r="E25" s="376">
        <f t="shared" si="17"/>
        <v>107.62122145970096</v>
      </c>
      <c r="F25" s="376">
        <f t="shared" si="17"/>
        <v>162.46084986128909</v>
      </c>
      <c r="G25" s="376">
        <f t="shared" si="17"/>
        <v>118.42678096038652</v>
      </c>
      <c r="H25" s="376">
        <f t="shared" si="17"/>
        <v>110.29298162212541</v>
      </c>
      <c r="I25" s="376">
        <f t="shared" si="17"/>
        <v>108.53812083820236</v>
      </c>
      <c r="J25" s="376">
        <f t="shared" si="17"/>
        <v>119.4948761379554</v>
      </c>
      <c r="K25" s="376">
        <f t="shared" si="17"/>
        <v>109.78141385237774</v>
      </c>
      <c r="L25" s="376">
        <f t="shared" si="17"/>
        <v>100.48490107316408</v>
      </c>
      <c r="M25" s="376">
        <f t="shared" si="17"/>
        <v>103.98423316825188</v>
      </c>
      <c r="N25" s="376">
        <f t="shared" si="17"/>
        <v>131.31644340838798</v>
      </c>
      <c r="O25" s="377">
        <f t="shared" si="13"/>
        <v>1391.6204507605789</v>
      </c>
      <c r="P25" s="378">
        <f t="shared" si="11"/>
        <v>115.96837089671492</v>
      </c>
      <c r="Q25" s="398">
        <f>(J25-I25)/J25</f>
        <v>9.1692260403731449E-2</v>
      </c>
    </row>
    <row r="26" spans="1:17" s="1" customFormat="1" x14ac:dyDescent="0.25">
      <c r="A26" s="736"/>
      <c r="B26" s="410" t="s">
        <v>43</v>
      </c>
      <c r="C26" s="371">
        <f>C24-C25</f>
        <v>79.236903607939723</v>
      </c>
      <c r="D26" s="371">
        <f t="shared" ref="D26:I26" si="18">D24-D25</f>
        <v>15.912627467162082</v>
      </c>
      <c r="E26" s="371">
        <f t="shared" si="18"/>
        <v>29.933887915299039</v>
      </c>
      <c r="F26" s="371">
        <f t="shared" si="18"/>
        <v>-33.711385193194872</v>
      </c>
      <c r="G26" s="371">
        <f t="shared" si="18"/>
        <v>13.916911909814573</v>
      </c>
      <c r="H26" s="371">
        <f t="shared" si="18"/>
        <v>37.016307080803443</v>
      </c>
      <c r="I26" s="371">
        <f t="shared" si="18"/>
        <v>64.598733903694409</v>
      </c>
      <c r="J26" s="371">
        <f>J24-J25</f>
        <v>48.619029187488394</v>
      </c>
      <c r="K26" s="371">
        <f>K24-K25</f>
        <v>65.846685321175983</v>
      </c>
      <c r="L26" s="371">
        <f>L24-L25</f>
        <v>69.600389408912548</v>
      </c>
      <c r="M26" s="371">
        <f>M24-M25</f>
        <v>67.887829494933499</v>
      </c>
      <c r="N26" s="371"/>
      <c r="O26" s="372"/>
      <c r="P26" s="373">
        <f t="shared" si="11"/>
        <v>41.71435637309353</v>
      </c>
      <c r="Q26" s="398">
        <f>(J26-I26)/J26</f>
        <v>-0.32867181807731832</v>
      </c>
    </row>
    <row r="27" spans="1:17" s="1" customFormat="1" x14ac:dyDescent="0.25">
      <c r="A27" s="738" t="s">
        <v>93</v>
      </c>
      <c r="B27" s="411" t="s">
        <v>91</v>
      </c>
      <c r="C27" s="412">
        <v>1846</v>
      </c>
      <c r="D27" s="412">
        <v>1582</v>
      </c>
      <c r="E27" s="412">
        <v>1691</v>
      </c>
      <c r="F27" s="412">
        <v>1706</v>
      </c>
      <c r="G27" s="412">
        <v>1604</v>
      </c>
      <c r="H27" s="412">
        <v>1931</v>
      </c>
      <c r="I27" s="412">
        <v>1956</v>
      </c>
      <c r="J27" s="412">
        <v>1956</v>
      </c>
      <c r="K27" s="412">
        <v>1853</v>
      </c>
      <c r="L27" s="412">
        <v>1846</v>
      </c>
      <c r="M27" s="412">
        <v>1870</v>
      </c>
      <c r="N27" s="412">
        <v>1741</v>
      </c>
      <c r="O27" s="413"/>
      <c r="P27" s="414"/>
      <c r="Q27" s="415"/>
    </row>
    <row r="28" spans="1:17" s="1" customFormat="1" x14ac:dyDescent="0.25">
      <c r="A28" s="735"/>
      <c r="B28" s="410" t="s">
        <v>96</v>
      </c>
      <c r="C28" s="371">
        <f>C5/C27</f>
        <v>77.5807150595883</v>
      </c>
      <c r="D28" s="371">
        <f t="shared" ref="D28:N28" si="19">D5/D27</f>
        <v>53.719898862199749</v>
      </c>
      <c r="E28" s="371">
        <f t="shared" si="19"/>
        <v>52.061070372560614</v>
      </c>
      <c r="F28" s="371">
        <f t="shared" si="19"/>
        <v>35.243845252051585</v>
      </c>
      <c r="G28" s="371">
        <f t="shared" si="19"/>
        <v>45.132169576059852</v>
      </c>
      <c r="H28" s="371">
        <f t="shared" si="19"/>
        <v>54.697441740031067</v>
      </c>
      <c r="I28" s="371">
        <f t="shared" si="19"/>
        <v>73.733640081799592</v>
      </c>
      <c r="J28" s="371">
        <f t="shared" si="19"/>
        <v>58.100715746421265</v>
      </c>
      <c r="K28" s="371">
        <f t="shared" si="19"/>
        <v>68.81057744198597</v>
      </c>
      <c r="L28" s="371">
        <f t="shared" si="19"/>
        <v>74.539003250270852</v>
      </c>
      <c r="M28" s="371">
        <f t="shared" si="19"/>
        <v>70.403208556149735</v>
      </c>
      <c r="N28" s="371">
        <f t="shared" si="19"/>
        <v>27.465249856404366</v>
      </c>
      <c r="O28" s="372">
        <f>AVERAGE(C28:N28)</f>
        <v>57.623961316293581</v>
      </c>
      <c r="P28" s="416"/>
      <c r="Q28" s="417"/>
    </row>
    <row r="29" spans="1:17" s="1" customFormat="1" ht="15.75" thickBot="1" x14ac:dyDescent="0.3">
      <c r="A29" s="747"/>
      <c r="B29" s="418" t="s">
        <v>92</v>
      </c>
      <c r="C29" s="419">
        <f>(C13-C7)/C27</f>
        <v>25.686890574214519</v>
      </c>
      <c r="D29" s="419">
        <f t="shared" ref="D29:J29" si="20">(D13-D7)/D27</f>
        <v>29.710493046776232</v>
      </c>
      <c r="E29" s="419">
        <f t="shared" si="20"/>
        <v>25.383205204021291</v>
      </c>
      <c r="F29" s="419">
        <f t="shared" si="20"/>
        <v>36.145369284876907</v>
      </c>
      <c r="G29" s="419">
        <f t="shared" si="20"/>
        <v>28.142768079800497</v>
      </c>
      <c r="H29" s="419">
        <f t="shared" si="20"/>
        <v>24.803728638011393</v>
      </c>
      <c r="I29" s="419">
        <f t="shared" si="20"/>
        <v>26.252556237218815</v>
      </c>
      <c r="J29" s="419">
        <f t="shared" si="20"/>
        <v>26.778629856850717</v>
      </c>
      <c r="K29" s="419">
        <f>(K13-K7)/K27</f>
        <v>25.853211009174313</v>
      </c>
      <c r="L29" s="419">
        <f>(L13-L7)/L27</f>
        <v>23.759479956663057</v>
      </c>
      <c r="M29" s="419">
        <f>(M13-M7)/M27</f>
        <v>24.139037433155082</v>
      </c>
      <c r="N29" s="419">
        <f>(N13-N7)/N27</f>
        <v>21.383687535898908</v>
      </c>
      <c r="O29" s="420"/>
      <c r="P29" s="421">
        <f>AVERAGE(C29:N29)</f>
        <v>26.503254738055144</v>
      </c>
      <c r="Q29" s="422"/>
    </row>
    <row r="30" spans="1:17" s="1" customFormat="1" ht="19.5" thickBot="1" x14ac:dyDescent="0.35">
      <c r="A30" s="741" t="s">
        <v>44</v>
      </c>
      <c r="B30" s="742"/>
      <c r="C30" s="742"/>
      <c r="D30" s="742"/>
      <c r="E30" s="742"/>
      <c r="F30" s="742"/>
      <c r="G30" s="742"/>
      <c r="H30" s="742"/>
      <c r="I30" s="742"/>
      <c r="J30" s="742"/>
      <c r="K30" s="742"/>
      <c r="L30" s="742"/>
      <c r="M30" s="742"/>
      <c r="N30" s="742"/>
      <c r="O30" s="742"/>
      <c r="P30" s="742"/>
      <c r="Q30" s="743"/>
    </row>
    <row r="31" spans="1:17" s="1" customFormat="1" x14ac:dyDescent="0.25">
      <c r="A31" s="739" t="s">
        <v>27</v>
      </c>
      <c r="B31" s="258" t="s">
        <v>62</v>
      </c>
      <c r="C31" s="259">
        <f>202706-C47</f>
        <v>159022.1</v>
      </c>
      <c r="D31" s="259">
        <f>181272-D47</f>
        <v>140425.87</v>
      </c>
      <c r="E31" s="259">
        <f>161155-E47</f>
        <v>114596.05</v>
      </c>
      <c r="F31" s="259">
        <f>133416-F47</f>
        <v>97141.440000000002</v>
      </c>
      <c r="G31" s="259">
        <f>200377-G47</f>
        <v>151585</v>
      </c>
      <c r="H31" s="259">
        <f>193087-H47</f>
        <v>134869.06</v>
      </c>
      <c r="I31" s="259">
        <f>217987-I47</f>
        <v>154199</v>
      </c>
      <c r="J31" s="259">
        <f>166766-J47</f>
        <v>115736.9</v>
      </c>
      <c r="K31" s="259">
        <v>181803</v>
      </c>
      <c r="L31" s="259">
        <v>205960</v>
      </c>
      <c r="M31" s="259">
        <v>192710</v>
      </c>
      <c r="N31" s="259">
        <v>65765</v>
      </c>
      <c r="O31" s="260">
        <f>SUM(C31:N31)</f>
        <v>1713813.42</v>
      </c>
      <c r="P31" s="261">
        <f>AVERAGE(C31:N31)</f>
        <v>142817.785</v>
      </c>
      <c r="Q31" s="277">
        <f>(K31-J31)/K31</f>
        <v>0.36339389339009809</v>
      </c>
    </row>
    <row r="32" spans="1:17" s="1" customFormat="1" x14ac:dyDescent="0.25">
      <c r="A32" s="724"/>
      <c r="B32" s="257" t="s">
        <v>28</v>
      </c>
      <c r="C32" s="262">
        <f t="shared" ref="C32:N32" si="21">($O$33/$O$114)</f>
        <v>56.547190392436875</v>
      </c>
      <c r="D32" s="262">
        <f t="shared" si="21"/>
        <v>56.547190392436875</v>
      </c>
      <c r="E32" s="262">
        <f t="shared" si="21"/>
        <v>56.547190392436875</v>
      </c>
      <c r="F32" s="262">
        <f t="shared" si="21"/>
        <v>56.547190392436875</v>
      </c>
      <c r="G32" s="262">
        <f t="shared" si="21"/>
        <v>56.547190392436875</v>
      </c>
      <c r="H32" s="262">
        <f t="shared" si="21"/>
        <v>56.547190392436875</v>
      </c>
      <c r="I32" s="262">
        <f t="shared" si="21"/>
        <v>56.547190392436875</v>
      </c>
      <c r="J32" s="262">
        <f t="shared" si="21"/>
        <v>56.547190392436875</v>
      </c>
      <c r="K32" s="262">
        <f t="shared" si="21"/>
        <v>56.547190392436875</v>
      </c>
      <c r="L32" s="262">
        <f t="shared" si="21"/>
        <v>56.547190392436875</v>
      </c>
      <c r="M32" s="262">
        <f t="shared" si="21"/>
        <v>56.547190392436875</v>
      </c>
      <c r="N32" s="262">
        <f t="shared" si="21"/>
        <v>56.547190392436875</v>
      </c>
      <c r="O32" s="263"/>
      <c r="P32" s="264">
        <f>AVERAGE(C32:N32)</f>
        <v>56.547190392436853</v>
      </c>
      <c r="Q32" s="277">
        <f t="shared" ref="Q32:Q47" si="22">(K32-J32)/K32</f>
        <v>0</v>
      </c>
    </row>
    <row r="33" spans="1:17" s="1" customFormat="1" x14ac:dyDescent="0.25">
      <c r="A33" s="724"/>
      <c r="B33" s="258" t="s">
        <v>29</v>
      </c>
      <c r="C33" s="259">
        <v>221942</v>
      </c>
      <c r="D33" s="259">
        <v>129680</v>
      </c>
      <c r="E33" s="259">
        <v>127328</v>
      </c>
      <c r="F33" s="259">
        <v>99306</v>
      </c>
      <c r="G33" s="259">
        <v>78449</v>
      </c>
      <c r="H33" s="259">
        <v>92490</v>
      </c>
      <c r="I33" s="259">
        <v>165015</v>
      </c>
      <c r="J33" s="259">
        <v>217958</v>
      </c>
      <c r="K33" s="259">
        <v>167867</v>
      </c>
      <c r="L33" s="259">
        <v>204403</v>
      </c>
      <c r="M33" s="259">
        <v>103850</v>
      </c>
      <c r="N33" s="259">
        <v>48378</v>
      </c>
      <c r="O33" s="260">
        <f>SUM(C33:N33)</f>
        <v>1656666</v>
      </c>
      <c r="P33" s="261">
        <f>AVERAGE(C33:N33)</f>
        <v>138055.5</v>
      </c>
      <c r="Q33" s="277">
        <f t="shared" si="22"/>
        <v>-0.29839694520066479</v>
      </c>
    </row>
    <row r="34" spans="1:17" s="1" customFormat="1" x14ac:dyDescent="0.25">
      <c r="A34" s="724"/>
      <c r="B34" s="257" t="s">
        <v>30</v>
      </c>
      <c r="C34" s="262">
        <v>30105</v>
      </c>
      <c r="D34" s="262">
        <v>32328</v>
      </c>
      <c r="E34" s="262">
        <v>26437</v>
      </c>
      <c r="F34" s="262">
        <v>26578</v>
      </c>
      <c r="G34" s="262">
        <v>29606</v>
      </c>
      <c r="H34" s="262">
        <v>30074</v>
      </c>
      <c r="I34" s="262">
        <v>30079</v>
      </c>
      <c r="J34" s="262">
        <v>30546</v>
      </c>
      <c r="K34" s="262">
        <v>30913</v>
      </c>
      <c r="L34" s="262">
        <v>33079</v>
      </c>
      <c r="M34" s="262">
        <v>30248</v>
      </c>
      <c r="N34" s="262">
        <v>31600</v>
      </c>
      <c r="O34" s="263">
        <f t="shared" ref="O34:O42" si="23">SUM(C34:N34)</f>
        <v>361593</v>
      </c>
      <c r="P34" s="264">
        <f>AVERAGE(C34:N34)</f>
        <v>30132.75</v>
      </c>
      <c r="Q34" s="277">
        <f t="shared" si="22"/>
        <v>1.1872027949406399E-2</v>
      </c>
    </row>
    <row r="35" spans="1:17" s="1" customFormat="1" x14ac:dyDescent="0.25">
      <c r="A35" s="724"/>
      <c r="B35" s="257" t="s">
        <v>31</v>
      </c>
      <c r="C35" s="262"/>
      <c r="D35" s="262"/>
      <c r="E35" s="262"/>
      <c r="F35" s="262"/>
      <c r="G35" s="262"/>
      <c r="H35" s="262"/>
      <c r="I35" s="262"/>
      <c r="J35" s="262"/>
      <c r="K35" s="262"/>
      <c r="L35" s="262"/>
      <c r="M35" s="262"/>
      <c r="N35" s="262"/>
      <c r="O35" s="263">
        <f t="shared" si="23"/>
        <v>0</v>
      </c>
      <c r="P35" s="264"/>
      <c r="Q35" s="277" t="e">
        <f t="shared" si="22"/>
        <v>#DIV/0!</v>
      </c>
    </row>
    <row r="36" spans="1:17" s="1" customFormat="1" x14ac:dyDescent="0.25">
      <c r="A36" s="724"/>
      <c r="B36" s="257" t="s">
        <v>32</v>
      </c>
      <c r="C36" s="262">
        <v>5024</v>
      </c>
      <c r="D36" s="262">
        <v>5024</v>
      </c>
      <c r="E36" s="262">
        <v>5024</v>
      </c>
      <c r="F36" s="262">
        <v>5024</v>
      </c>
      <c r="G36" s="262">
        <v>5024</v>
      </c>
      <c r="H36" s="262">
        <v>5024</v>
      </c>
      <c r="I36" s="262">
        <v>5024</v>
      </c>
      <c r="J36" s="262">
        <v>5024</v>
      </c>
      <c r="K36" s="262">
        <v>5024</v>
      </c>
      <c r="L36" s="262">
        <v>5024</v>
      </c>
      <c r="M36" s="262">
        <v>10220</v>
      </c>
      <c r="N36" s="262">
        <v>6420</v>
      </c>
      <c r="O36" s="263">
        <f t="shared" si="23"/>
        <v>66880</v>
      </c>
      <c r="P36" s="264">
        <f t="shared" ref="P36:P42" si="24">AVERAGE(C36:N36)</f>
        <v>5573.333333333333</v>
      </c>
      <c r="Q36" s="277">
        <f t="shared" si="22"/>
        <v>0</v>
      </c>
    </row>
    <row r="37" spans="1:17" s="1" customFormat="1" x14ac:dyDescent="0.25">
      <c r="A37" s="724"/>
      <c r="B37" s="257" t="s">
        <v>33</v>
      </c>
      <c r="C37" s="262">
        <v>4493</v>
      </c>
      <c r="D37" s="262">
        <v>4523.2</v>
      </c>
      <c r="E37" s="262">
        <v>4523.2</v>
      </c>
      <c r="F37" s="262">
        <v>5063.24</v>
      </c>
      <c r="G37" s="262">
        <v>5063</v>
      </c>
      <c r="H37" s="262">
        <v>5505</v>
      </c>
      <c r="I37" s="262">
        <v>5505</v>
      </c>
      <c r="J37" s="262">
        <v>5505</v>
      </c>
      <c r="K37" s="262">
        <v>5505</v>
      </c>
      <c r="L37" s="262">
        <v>5505</v>
      </c>
      <c r="M37" s="262">
        <v>4208</v>
      </c>
      <c r="N37" s="262">
        <v>4208</v>
      </c>
      <c r="O37" s="263">
        <f t="shared" si="23"/>
        <v>59606.64</v>
      </c>
      <c r="P37" s="264">
        <f t="shared" si="24"/>
        <v>4967.22</v>
      </c>
      <c r="Q37" s="277">
        <f t="shared" si="22"/>
        <v>0</v>
      </c>
    </row>
    <row r="38" spans="1:17" s="1" customFormat="1" x14ac:dyDescent="0.25">
      <c r="A38" s="724"/>
      <c r="B38" s="257" t="s">
        <v>34</v>
      </c>
      <c r="C38" s="262">
        <v>17917</v>
      </c>
      <c r="D38" s="262">
        <v>19124</v>
      </c>
      <c r="E38" s="262">
        <v>17982</v>
      </c>
      <c r="F38" s="262">
        <v>20698</v>
      </c>
      <c r="G38" s="262">
        <v>16663</v>
      </c>
      <c r="H38" s="262">
        <v>30846</v>
      </c>
      <c r="I38" s="262">
        <v>19633</v>
      </c>
      <c r="J38" s="262">
        <v>15005</v>
      </c>
      <c r="K38" s="262">
        <v>11128</v>
      </c>
      <c r="L38" s="262">
        <v>11987</v>
      </c>
      <c r="M38" s="262">
        <v>14586</v>
      </c>
      <c r="N38" s="262">
        <v>6633</v>
      </c>
      <c r="O38" s="263">
        <f t="shared" si="23"/>
        <v>202202</v>
      </c>
      <c r="P38" s="264">
        <f t="shared" si="24"/>
        <v>16850.166666666668</v>
      </c>
      <c r="Q38" s="277">
        <f t="shared" si="22"/>
        <v>-0.34840043134435655</v>
      </c>
    </row>
    <row r="39" spans="1:17" s="1" customFormat="1" x14ac:dyDescent="0.25">
      <c r="A39" s="724"/>
      <c r="B39" s="257" t="s">
        <v>35</v>
      </c>
      <c r="C39" s="262">
        <f>SUM(C33:C38)</f>
        <v>279481</v>
      </c>
      <c r="D39" s="262">
        <f t="shared" ref="D39:N39" si="25">SUM(D33:D38)</f>
        <v>190679.2</v>
      </c>
      <c r="E39" s="262">
        <f t="shared" si="25"/>
        <v>181294.2</v>
      </c>
      <c r="F39" s="262">
        <f t="shared" si="25"/>
        <v>156669.24</v>
      </c>
      <c r="G39" s="262">
        <f t="shared" si="25"/>
        <v>134805</v>
      </c>
      <c r="H39" s="262">
        <f t="shared" si="25"/>
        <v>163939</v>
      </c>
      <c r="I39" s="262">
        <f t="shared" si="25"/>
        <v>225256</v>
      </c>
      <c r="J39" s="262">
        <f t="shared" si="25"/>
        <v>274038</v>
      </c>
      <c r="K39" s="262">
        <f t="shared" si="25"/>
        <v>220437</v>
      </c>
      <c r="L39" s="262">
        <f t="shared" si="25"/>
        <v>259998</v>
      </c>
      <c r="M39" s="262">
        <f t="shared" si="25"/>
        <v>163112</v>
      </c>
      <c r="N39" s="262">
        <f t="shared" si="25"/>
        <v>97239</v>
      </c>
      <c r="O39" s="263">
        <f t="shared" si="23"/>
        <v>2346947.64</v>
      </c>
      <c r="P39" s="264">
        <f t="shared" si="24"/>
        <v>195578.97</v>
      </c>
      <c r="Q39" s="277">
        <f t="shared" si="22"/>
        <v>-0.24315790906245321</v>
      </c>
    </row>
    <row r="40" spans="1:17" s="1" customFormat="1" ht="28.5" x14ac:dyDescent="0.25">
      <c r="A40" s="724"/>
      <c r="B40" s="265" t="s">
        <v>69</v>
      </c>
      <c r="C40" s="266">
        <f t="shared" ref="C40:I40" si="26">C31-C39+C47</f>
        <v>-76775</v>
      </c>
      <c r="D40" s="266">
        <f t="shared" si="26"/>
        <v>-9407.2000000000189</v>
      </c>
      <c r="E40" s="266">
        <f t="shared" si="26"/>
        <v>-20139.200000000012</v>
      </c>
      <c r="F40" s="266">
        <f t="shared" si="26"/>
        <v>-23253.239999999991</v>
      </c>
      <c r="G40" s="266">
        <f t="shared" si="26"/>
        <v>65572</v>
      </c>
      <c r="H40" s="266">
        <f t="shared" si="26"/>
        <v>29148</v>
      </c>
      <c r="I40" s="266">
        <f t="shared" si="26"/>
        <v>-7269</v>
      </c>
      <c r="J40" s="266">
        <f>J31-J39</f>
        <v>-158301.1</v>
      </c>
      <c r="K40" s="266">
        <f>K31-K39</f>
        <v>-38634</v>
      </c>
      <c r="L40" s="266">
        <f>L31-L39</f>
        <v>-54038</v>
      </c>
      <c r="M40" s="266">
        <f>M31-M39</f>
        <v>29598</v>
      </c>
      <c r="N40" s="266">
        <f>N31-N39</f>
        <v>-31474</v>
      </c>
      <c r="O40" s="267">
        <f t="shared" si="23"/>
        <v>-294972.74</v>
      </c>
      <c r="P40" s="268">
        <f>AVERAGE(C40:N40)</f>
        <v>-24581.061666666665</v>
      </c>
      <c r="Q40" s="278">
        <f t="shared" si="22"/>
        <v>-3.0974556090490242</v>
      </c>
    </row>
    <row r="41" spans="1:17" s="1" customFormat="1" ht="30" x14ac:dyDescent="0.25">
      <c r="A41" s="724"/>
      <c r="B41" s="279" t="s">
        <v>139</v>
      </c>
      <c r="C41" s="280">
        <f t="shared" ref="C41:N41" si="27">C40+(C113-C110)*C6</f>
        <v>-82412.521834593528</v>
      </c>
      <c r="D41" s="280">
        <f t="shared" si="27"/>
        <v>-6125.5276907339357</v>
      </c>
      <c r="E41" s="280">
        <f t="shared" si="27"/>
        <v>-37742.872652354505</v>
      </c>
      <c r="F41" s="280">
        <f t="shared" si="27"/>
        <v>-7192.6053208765734</v>
      </c>
      <c r="G41" s="280">
        <f t="shared" si="27"/>
        <v>61312.345876714222</v>
      </c>
      <c r="H41" s="280">
        <f t="shared" si="27"/>
        <v>36102.537344140044</v>
      </c>
      <c r="I41" s="280">
        <f t="shared" si="27"/>
        <v>-9768.2868580503291</v>
      </c>
      <c r="J41" s="280">
        <f t="shared" si="27"/>
        <v>-172166.70882987924</v>
      </c>
      <c r="K41" s="280">
        <f t="shared" si="27"/>
        <v>-46631.717945761047</v>
      </c>
      <c r="L41" s="280">
        <f t="shared" si="27"/>
        <v>-86811.257234259974</v>
      </c>
      <c r="M41" s="280">
        <f t="shared" si="27"/>
        <v>-2784.0645086520926</v>
      </c>
      <c r="N41" s="280">
        <f t="shared" si="27"/>
        <v>-32430.248884819255</v>
      </c>
      <c r="O41" s="281">
        <f>SUM(C41:N41)</f>
        <v>-386650.92853912624</v>
      </c>
      <c r="P41" s="282"/>
      <c r="Q41" s="283"/>
    </row>
    <row r="42" spans="1:17" s="1" customFormat="1" x14ac:dyDescent="0.25">
      <c r="A42" s="724"/>
      <c r="B42" s="257" t="s">
        <v>36</v>
      </c>
      <c r="C42" s="262">
        <f t="shared" ref="C42:N42" si="28">C43*C90</f>
        <v>23015.658174718013</v>
      </c>
      <c r="D42" s="262">
        <f t="shared" si="28"/>
        <v>36455.02090532305</v>
      </c>
      <c r="E42" s="262">
        <f t="shared" si="28"/>
        <v>28827.768254658018</v>
      </c>
      <c r="F42" s="262">
        <f t="shared" si="28"/>
        <v>38853.922963701501</v>
      </c>
      <c r="G42" s="262">
        <f t="shared" si="28"/>
        <v>21744.552733192006</v>
      </c>
      <c r="H42" s="262">
        <f t="shared" si="28"/>
        <v>30361.86963327885</v>
      </c>
      <c r="I42" s="262">
        <f t="shared" si="28"/>
        <v>33781.748654300427</v>
      </c>
      <c r="J42" s="262">
        <f t="shared" si="28"/>
        <v>35413.270578193427</v>
      </c>
      <c r="K42" s="262">
        <f t="shared" si="28"/>
        <v>35418.054459352803</v>
      </c>
      <c r="L42" s="262">
        <f t="shared" si="28"/>
        <v>48543.467605885009</v>
      </c>
      <c r="M42" s="262">
        <f t="shared" si="28"/>
        <v>25385.097047954117</v>
      </c>
      <c r="N42" s="262">
        <f t="shared" si="28"/>
        <v>15594.494121867156</v>
      </c>
      <c r="O42" s="263">
        <f t="shared" si="23"/>
        <v>373394.9251324244</v>
      </c>
      <c r="P42" s="264">
        <f t="shared" si="24"/>
        <v>31116.243761035366</v>
      </c>
      <c r="Q42" s="277">
        <f t="shared" si="22"/>
        <v>1.3506899891595604E-4</v>
      </c>
    </row>
    <row r="43" spans="1:17" s="1" customFormat="1" x14ac:dyDescent="0.25">
      <c r="A43" s="724"/>
      <c r="B43" s="257" t="s">
        <v>37</v>
      </c>
      <c r="C43" s="269">
        <f t="shared" ref="C43:N43" si="29">C39/(C39+C13+C68)</f>
        <v>0.48723174282177784</v>
      </c>
      <c r="D43" s="269">
        <f t="shared" si="29"/>
        <v>0.49654334798907956</v>
      </c>
      <c r="E43" s="269">
        <f t="shared" si="29"/>
        <v>0.47333174593725819</v>
      </c>
      <c r="F43" s="269">
        <f t="shared" si="29"/>
        <v>0.39310474818240548</v>
      </c>
      <c r="G43" s="269">
        <f t="shared" si="29"/>
        <v>0.36451122696201438</v>
      </c>
      <c r="H43" s="269">
        <f t="shared" si="29"/>
        <v>0.37740049264485831</v>
      </c>
      <c r="I43" s="269">
        <f t="shared" si="29"/>
        <v>0.54519227045656971</v>
      </c>
      <c r="J43" s="269">
        <f t="shared" si="29"/>
        <v>0.56499418590266959</v>
      </c>
      <c r="K43" s="269">
        <f t="shared" si="29"/>
        <v>0.57801802463244067</v>
      </c>
      <c r="L43" s="269">
        <f t="shared" si="29"/>
        <v>0.53922028147515211</v>
      </c>
      <c r="M43" s="269">
        <f t="shared" si="29"/>
        <v>0.42540339932555959</v>
      </c>
      <c r="N43" s="269">
        <f t="shared" si="29"/>
        <v>0.41376537168631122</v>
      </c>
      <c r="O43" s="270"/>
      <c r="P43" s="264"/>
      <c r="Q43" s="277">
        <f t="shared" si="22"/>
        <v>2.2531890312681675E-2</v>
      </c>
    </row>
    <row r="44" spans="1:17" s="1" customFormat="1" ht="30" x14ac:dyDescent="0.25">
      <c r="A44" s="724"/>
      <c r="B44" s="284" t="s">
        <v>70</v>
      </c>
      <c r="C44" s="285">
        <f t="shared" ref="C44:N44" si="30">C40-C42</f>
        <v>-99790.658174718017</v>
      </c>
      <c r="D44" s="285">
        <f t="shared" si="30"/>
        <v>-45862.220905323069</v>
      </c>
      <c r="E44" s="285">
        <f t="shared" si="30"/>
        <v>-48966.96825465803</v>
      </c>
      <c r="F44" s="285">
        <f t="shared" si="30"/>
        <v>-62107.162963701492</v>
      </c>
      <c r="G44" s="285">
        <f t="shared" si="30"/>
        <v>43827.447266807998</v>
      </c>
      <c r="H44" s="285">
        <f t="shared" si="30"/>
        <v>-1213.8696332788495</v>
      </c>
      <c r="I44" s="285">
        <f t="shared" si="30"/>
        <v>-41050.748654300427</v>
      </c>
      <c r="J44" s="285">
        <f t="shared" si="30"/>
        <v>-193714.37057819343</v>
      </c>
      <c r="K44" s="285">
        <f t="shared" si="30"/>
        <v>-74052.054459352803</v>
      </c>
      <c r="L44" s="285">
        <f t="shared" si="30"/>
        <v>-102581.467605885</v>
      </c>
      <c r="M44" s="285">
        <f t="shared" si="30"/>
        <v>4212.9029520458826</v>
      </c>
      <c r="N44" s="285">
        <f t="shared" si="30"/>
        <v>-47068.494121867159</v>
      </c>
      <c r="O44" s="260">
        <f t="shared" ref="O44:O51" si="31">SUM(C44:N44)</f>
        <v>-668367.66513242444</v>
      </c>
      <c r="P44" s="261"/>
      <c r="Q44" s="277">
        <f t="shared" si="22"/>
        <v>-1.6159216242207475</v>
      </c>
    </row>
    <row r="45" spans="1:17" s="1" customFormat="1" x14ac:dyDescent="0.25">
      <c r="A45" s="724"/>
      <c r="B45" s="286" t="s">
        <v>61</v>
      </c>
      <c r="C45" s="287">
        <v>1195</v>
      </c>
      <c r="D45" s="287">
        <v>742</v>
      </c>
      <c r="E45" s="287">
        <v>1328</v>
      </c>
      <c r="F45" s="287">
        <v>1109</v>
      </c>
      <c r="G45" s="287">
        <v>1238</v>
      </c>
      <c r="H45" s="287">
        <v>1450.1</v>
      </c>
      <c r="I45" s="287">
        <v>1642.94</v>
      </c>
      <c r="J45" s="287">
        <v>1458.43</v>
      </c>
      <c r="K45" s="287">
        <v>1314.92</v>
      </c>
      <c r="L45" s="287">
        <v>1378.32</v>
      </c>
      <c r="M45" s="287">
        <v>1470.52</v>
      </c>
      <c r="N45" s="287">
        <v>464.4</v>
      </c>
      <c r="O45" s="288">
        <f t="shared" si="31"/>
        <v>14791.630000000001</v>
      </c>
      <c r="P45" s="289">
        <f t="shared" ref="P45:P51" si="32">AVERAGE(C45:N45)</f>
        <v>1232.6358333333335</v>
      </c>
      <c r="Q45" s="290">
        <f t="shared" si="22"/>
        <v>-0.10913971952666321</v>
      </c>
    </row>
    <row r="46" spans="1:17" s="1" customFormat="1" x14ac:dyDescent="0.25">
      <c r="A46" s="724"/>
      <c r="B46" s="291" t="s">
        <v>89</v>
      </c>
      <c r="C46" s="292">
        <f>C47/C45</f>
        <v>36.55556485355649</v>
      </c>
      <c r="D46" s="292">
        <f t="shared" ref="D46:N46" si="33">D47/D45</f>
        <v>55.048692722371968</v>
      </c>
      <c r="E46" s="292">
        <f t="shared" si="33"/>
        <v>35.059450301204819</v>
      </c>
      <c r="F46" s="292">
        <f t="shared" si="33"/>
        <v>32.709251577998195</v>
      </c>
      <c r="G46" s="292">
        <f t="shared" si="33"/>
        <v>39.411954765751211</v>
      </c>
      <c r="H46" s="292">
        <f t="shared" si="33"/>
        <v>40.147534652782568</v>
      </c>
      <c r="I46" s="292">
        <f t="shared" si="33"/>
        <v>38.825520104203441</v>
      </c>
      <c r="J46" s="292">
        <f t="shared" si="33"/>
        <v>34.989063582071125</v>
      </c>
      <c r="K46" s="292">
        <f t="shared" si="33"/>
        <v>35.137438019042982</v>
      </c>
      <c r="L46" s="292">
        <f t="shared" si="33"/>
        <v>35.140562423820306</v>
      </c>
      <c r="M46" s="292">
        <f t="shared" si="33"/>
        <v>33.424455294725675</v>
      </c>
      <c r="N46" s="292">
        <f t="shared" si="33"/>
        <v>38.578811369509047</v>
      </c>
      <c r="O46" s="293"/>
      <c r="P46" s="294">
        <f>AVERAGE(C46:N46)</f>
        <v>37.919024972253148</v>
      </c>
      <c r="Q46" s="277"/>
    </row>
    <row r="47" spans="1:17" s="1" customFormat="1" x14ac:dyDescent="0.25">
      <c r="A47" s="740"/>
      <c r="B47" s="295" t="s">
        <v>60</v>
      </c>
      <c r="C47" s="296">
        <v>43683.9</v>
      </c>
      <c r="D47" s="296">
        <v>40846.129999999997</v>
      </c>
      <c r="E47" s="296">
        <v>46558.95</v>
      </c>
      <c r="F47" s="296">
        <v>36274.559999999998</v>
      </c>
      <c r="G47" s="296">
        <v>48792</v>
      </c>
      <c r="H47" s="296">
        <v>58217.94</v>
      </c>
      <c r="I47" s="296">
        <v>63788</v>
      </c>
      <c r="J47" s="296">
        <v>51029.1</v>
      </c>
      <c r="K47" s="296">
        <v>46202.92</v>
      </c>
      <c r="L47" s="296">
        <v>48434.94</v>
      </c>
      <c r="M47" s="296">
        <v>49151.33</v>
      </c>
      <c r="N47" s="296">
        <v>17916</v>
      </c>
      <c r="O47" s="297">
        <f t="shared" si="31"/>
        <v>550895.7699999999</v>
      </c>
      <c r="P47" s="298">
        <f t="shared" si="32"/>
        <v>45907.980833333328</v>
      </c>
      <c r="Q47" s="277">
        <f t="shared" si="22"/>
        <v>-0.10445616857116391</v>
      </c>
    </row>
    <row r="48" spans="1:17" s="1" customFormat="1" x14ac:dyDescent="0.25">
      <c r="A48" s="723" t="s">
        <v>38</v>
      </c>
      <c r="B48" s="299" t="s">
        <v>39</v>
      </c>
      <c r="C48" s="300">
        <v>1203</v>
      </c>
      <c r="D48" s="300">
        <v>1047</v>
      </c>
      <c r="E48" s="300">
        <v>1079</v>
      </c>
      <c r="F48" s="300">
        <v>809</v>
      </c>
      <c r="G48" s="300">
        <v>1140</v>
      </c>
      <c r="H48" s="301">
        <v>1083.93</v>
      </c>
      <c r="I48" s="300">
        <v>1297</v>
      </c>
      <c r="J48" s="300">
        <v>974</v>
      </c>
      <c r="K48" s="300">
        <v>1027</v>
      </c>
      <c r="L48" s="300">
        <v>1180</v>
      </c>
      <c r="M48" s="300">
        <v>1158</v>
      </c>
      <c r="N48" s="300">
        <v>448</v>
      </c>
      <c r="O48" s="302">
        <f t="shared" si="31"/>
        <v>12445.93</v>
      </c>
      <c r="P48" s="303">
        <f t="shared" si="32"/>
        <v>1037.1608333333334</v>
      </c>
      <c r="Q48" s="304">
        <f>(J48-I48)/J48</f>
        <v>-0.33162217659137577</v>
      </c>
    </row>
    <row r="49" spans="1:17" s="1" customFormat="1" x14ac:dyDescent="0.25">
      <c r="A49" s="724"/>
      <c r="B49" s="271" t="s">
        <v>40</v>
      </c>
      <c r="C49" s="262">
        <f t="shared" ref="C49:N49" si="34">C31/C2</f>
        <v>7228.2772727272732</v>
      </c>
      <c r="D49" s="262">
        <f t="shared" si="34"/>
        <v>6686.9461904761902</v>
      </c>
      <c r="E49" s="262">
        <f t="shared" si="34"/>
        <v>6031.371052631579</v>
      </c>
      <c r="F49" s="262">
        <f t="shared" si="34"/>
        <v>6267.1896774193547</v>
      </c>
      <c r="G49" s="262">
        <f t="shared" si="34"/>
        <v>7218.333333333333</v>
      </c>
      <c r="H49" s="262">
        <f t="shared" si="34"/>
        <v>6743.4529999999995</v>
      </c>
      <c r="I49" s="262">
        <f t="shared" si="34"/>
        <v>6704.304347826087</v>
      </c>
      <c r="J49" s="262">
        <f t="shared" si="34"/>
        <v>6091.4157894736836</v>
      </c>
      <c r="K49" s="262">
        <f t="shared" si="34"/>
        <v>9568.5789473684217</v>
      </c>
      <c r="L49" s="262">
        <f t="shared" si="34"/>
        <v>9807.6190476190477</v>
      </c>
      <c r="M49" s="262">
        <f t="shared" si="34"/>
        <v>9635.5</v>
      </c>
      <c r="N49" s="262">
        <f t="shared" si="34"/>
        <v>7307.2222222222226</v>
      </c>
      <c r="O49" s="263">
        <f t="shared" si="31"/>
        <v>89290.210881097199</v>
      </c>
      <c r="P49" s="264">
        <f t="shared" si="32"/>
        <v>7440.8509067580999</v>
      </c>
      <c r="Q49" s="272">
        <f>(J49-I49)/J49</f>
        <v>-0.10061512455142366</v>
      </c>
    </row>
    <row r="50" spans="1:17" s="1" customFormat="1" x14ac:dyDescent="0.25">
      <c r="A50" s="724"/>
      <c r="B50" s="271" t="s">
        <v>41</v>
      </c>
      <c r="C50" s="262">
        <f t="shared" ref="C50:N50" si="35">C31/C48</f>
        <v>132.18794679966751</v>
      </c>
      <c r="D50" s="262">
        <f t="shared" si="35"/>
        <v>134.12212989493793</v>
      </c>
      <c r="E50" s="262">
        <f t="shared" si="35"/>
        <v>106.20579240037071</v>
      </c>
      <c r="F50" s="262">
        <f t="shared" si="35"/>
        <v>120.0759456118665</v>
      </c>
      <c r="G50" s="262">
        <f t="shared" si="35"/>
        <v>132.96929824561403</v>
      </c>
      <c r="H50" s="262">
        <f t="shared" si="35"/>
        <v>124.4259869179744</v>
      </c>
      <c r="I50" s="262">
        <f t="shared" si="35"/>
        <v>118.88897455666924</v>
      </c>
      <c r="J50" s="262">
        <f t="shared" si="35"/>
        <v>118.82638603696098</v>
      </c>
      <c r="K50" s="262">
        <f t="shared" si="35"/>
        <v>177.02336903602728</v>
      </c>
      <c r="L50" s="262">
        <f t="shared" si="35"/>
        <v>174.54237288135593</v>
      </c>
      <c r="M50" s="262">
        <f t="shared" si="35"/>
        <v>166.41623488773749</v>
      </c>
      <c r="N50" s="262">
        <f t="shared" si="35"/>
        <v>146.796875</v>
      </c>
      <c r="O50" s="263">
        <f t="shared" si="31"/>
        <v>1652.4813122691821</v>
      </c>
      <c r="P50" s="264">
        <f>AVERAGE(C50:N50)</f>
        <v>137.70677602243185</v>
      </c>
      <c r="Q50" s="272">
        <f>(J50-I50)/J50</f>
        <v>-5.2672240396832871E-4</v>
      </c>
    </row>
    <row r="51" spans="1:17" s="1" customFormat="1" x14ac:dyDescent="0.25">
      <c r="A51" s="724"/>
      <c r="B51" s="271" t="s">
        <v>45</v>
      </c>
      <c r="C51" s="262">
        <f t="shared" ref="C51:I51" si="36">(C39-C33-$P$47)/C48+C32</f>
        <v>66.215535501885483</v>
      </c>
      <c r="D51" s="262">
        <f t="shared" si="36"/>
        <v>70.960962280370666</v>
      </c>
      <c r="E51" s="262">
        <f t="shared" si="36"/>
        <v>64.015419462563557</v>
      </c>
      <c r="F51" s="262">
        <f t="shared" si="36"/>
        <v>70.70696686544882</v>
      </c>
      <c r="G51" s="262">
        <f t="shared" si="36"/>
        <v>65.712119486004127</v>
      </c>
      <c r="H51" s="262">
        <f t="shared" si="36"/>
        <v>80.110537810320565</v>
      </c>
      <c r="I51" s="262">
        <f t="shared" si="36"/>
        <v>67.598091831655594</v>
      </c>
      <c r="J51" s="262">
        <f>((J39-J33-$P$47)/J48)+J32</f>
        <v>66.990741898254811</v>
      </c>
      <c r="K51" s="262">
        <f>((K39-K33-$P$47)/K48)+K32</f>
        <v>63.03406397244337</v>
      </c>
      <c r="L51" s="262">
        <f>((L39-L33-$P$47)/L48)+L32</f>
        <v>64.756528669273038</v>
      </c>
      <c r="M51" s="262">
        <f>((M39-M33-$P$47)/M48)+M32</f>
        <v>68.079158584722435</v>
      </c>
      <c r="N51" s="262">
        <f>((N39-N33-$P$47)/N48)+N32</f>
        <v>63.138751032317842</v>
      </c>
      <c r="O51" s="263">
        <f t="shared" si="31"/>
        <v>811.31887739526042</v>
      </c>
      <c r="P51" s="264">
        <f t="shared" si="32"/>
        <v>67.609906449605035</v>
      </c>
      <c r="Q51" s="272">
        <f>(J51-I51)/J51</f>
        <v>-9.0661771491234323E-3</v>
      </c>
    </row>
    <row r="52" spans="1:17" s="1" customFormat="1" x14ac:dyDescent="0.25">
      <c r="A52" s="724"/>
      <c r="B52" s="273" t="s">
        <v>43</v>
      </c>
      <c r="C52" s="259">
        <f t="shared" ref="C52:H52" si="37">C50-C51</f>
        <v>65.972411297782031</v>
      </c>
      <c r="D52" s="259">
        <f t="shared" si="37"/>
        <v>63.161167614567262</v>
      </c>
      <c r="E52" s="259">
        <f t="shared" si="37"/>
        <v>42.190372937807155</v>
      </c>
      <c r="F52" s="259">
        <f t="shared" si="37"/>
        <v>49.368978746417682</v>
      </c>
      <c r="G52" s="259">
        <f t="shared" si="37"/>
        <v>67.2571787596099</v>
      </c>
      <c r="H52" s="259">
        <f t="shared" si="37"/>
        <v>44.315449107653833</v>
      </c>
      <c r="I52" s="259">
        <f t="shared" ref="I52:N52" si="38">I50-I51</f>
        <v>51.290882725013645</v>
      </c>
      <c r="J52" s="259">
        <f t="shared" si="38"/>
        <v>51.835644138706172</v>
      </c>
      <c r="K52" s="259">
        <f t="shared" si="38"/>
        <v>113.98930506358391</v>
      </c>
      <c r="L52" s="259">
        <f t="shared" si="38"/>
        <v>109.78584421208289</v>
      </c>
      <c r="M52" s="259">
        <f t="shared" si="38"/>
        <v>98.337076303015053</v>
      </c>
      <c r="N52" s="259">
        <f t="shared" si="38"/>
        <v>83.658123967682158</v>
      </c>
      <c r="O52" s="260"/>
      <c r="P52" s="261">
        <f>AVERAGE(C52:N52)</f>
        <v>70.096869572826805</v>
      </c>
      <c r="Q52" s="272">
        <f>(J52-I52)/J52</f>
        <v>1.0509397977862654E-2</v>
      </c>
    </row>
    <row r="53" spans="1:17" s="1" customFormat="1" ht="30" customHeight="1" x14ac:dyDescent="0.25">
      <c r="A53" s="748" t="s">
        <v>93</v>
      </c>
      <c r="B53" s="305" t="s">
        <v>91</v>
      </c>
      <c r="C53" s="274">
        <v>1945.14</v>
      </c>
      <c r="D53" s="274">
        <v>2046.4</v>
      </c>
      <c r="E53" s="274">
        <v>1944.0200000000002</v>
      </c>
      <c r="F53" s="274">
        <v>1785.8400000000001</v>
      </c>
      <c r="G53" s="274">
        <v>1856.9700000000003</v>
      </c>
      <c r="H53" s="274">
        <v>1895.97</v>
      </c>
      <c r="I53" s="274">
        <v>1852.77</v>
      </c>
      <c r="J53" s="274">
        <v>2118.9145410015112</v>
      </c>
      <c r="K53" s="274">
        <v>2002.004584981167</v>
      </c>
      <c r="L53" s="274">
        <v>2035.32</v>
      </c>
      <c r="M53" s="274">
        <v>2028.17</v>
      </c>
      <c r="N53" s="274">
        <v>2062</v>
      </c>
      <c r="O53" s="275"/>
      <c r="P53" s="276"/>
      <c r="Q53" s="306"/>
    </row>
    <row r="54" spans="1:17" s="1" customFormat="1" ht="18.75" customHeight="1" x14ac:dyDescent="0.25">
      <c r="A54" s="749"/>
      <c r="B54" s="273" t="s">
        <v>96</v>
      </c>
      <c r="C54" s="259">
        <f t="shared" ref="C54:N54" si="39">C31/C53</f>
        <v>81.753549873016851</v>
      </c>
      <c r="D54" s="259">
        <f t="shared" si="39"/>
        <v>68.620929437060198</v>
      </c>
      <c r="E54" s="259">
        <f t="shared" si="39"/>
        <v>58.947978930257918</v>
      </c>
      <c r="F54" s="259">
        <f t="shared" si="39"/>
        <v>54.395376965461629</v>
      </c>
      <c r="G54" s="259">
        <f t="shared" si="39"/>
        <v>81.630290203934351</v>
      </c>
      <c r="H54" s="259">
        <f t="shared" si="39"/>
        <v>71.134596011540268</v>
      </c>
      <c r="I54" s="259">
        <f t="shared" si="39"/>
        <v>83.226196451799197</v>
      </c>
      <c r="J54" s="259">
        <f t="shared" si="39"/>
        <v>54.620843719962679</v>
      </c>
      <c r="K54" s="259">
        <f t="shared" si="39"/>
        <v>90.810481336490156</v>
      </c>
      <c r="L54" s="259">
        <f t="shared" si="39"/>
        <v>101.19293280663483</v>
      </c>
      <c r="M54" s="259">
        <f t="shared" si="39"/>
        <v>95.016689922442396</v>
      </c>
      <c r="N54" s="259">
        <f t="shared" si="39"/>
        <v>31.893792434529583</v>
      </c>
      <c r="O54" s="260">
        <f>AVERAGE(C54:N54)</f>
        <v>72.770304841094188</v>
      </c>
      <c r="P54" s="261"/>
      <c r="Q54" s="307"/>
    </row>
    <row r="55" spans="1:17" s="1" customFormat="1" ht="15.75" thickBot="1" x14ac:dyDescent="0.3">
      <c r="A55" s="749"/>
      <c r="B55" s="273" t="s">
        <v>92</v>
      </c>
      <c r="C55" s="259">
        <f t="shared" ref="C55:N55" si="40">(C39-C33)/C53</f>
        <v>29.580904202268215</v>
      </c>
      <c r="D55" s="259">
        <f t="shared" si="40"/>
        <v>29.808053166536361</v>
      </c>
      <c r="E55" s="259">
        <f t="shared" si="40"/>
        <v>27.760105348710407</v>
      </c>
      <c r="F55" s="259">
        <f t="shared" si="40"/>
        <v>32.121153070823809</v>
      </c>
      <c r="G55" s="259">
        <f t="shared" si="40"/>
        <v>30.348363193804957</v>
      </c>
      <c r="H55" s="259">
        <f t="shared" si="40"/>
        <v>37.684668006350314</v>
      </c>
      <c r="I55" s="259">
        <f t="shared" si="40"/>
        <v>32.514019549107552</v>
      </c>
      <c r="J55" s="259">
        <f t="shared" si="40"/>
        <v>26.466381213040155</v>
      </c>
      <c r="K55" s="259">
        <f t="shared" si="40"/>
        <v>26.258681121099695</v>
      </c>
      <c r="L55" s="259">
        <f t="shared" si="40"/>
        <v>27.315115067900873</v>
      </c>
      <c r="M55" s="259">
        <f t="shared" si="40"/>
        <v>29.21944412943688</v>
      </c>
      <c r="N55" s="259">
        <f t="shared" si="40"/>
        <v>23.695926285160038</v>
      </c>
      <c r="O55" s="260">
        <f>AVERAGE(C55:N55)</f>
        <v>29.397734529519941</v>
      </c>
      <c r="P55" s="308">
        <f>AVERAGE(C55:O55)</f>
        <v>29.397734529519941</v>
      </c>
      <c r="Q55" s="307"/>
    </row>
    <row r="56" spans="1:17" s="1" customFormat="1" ht="19.5" customHeight="1" thickBot="1" x14ac:dyDescent="0.35">
      <c r="A56" s="732" t="s">
        <v>46</v>
      </c>
      <c r="B56" s="733"/>
      <c r="C56" s="733"/>
      <c r="D56" s="733"/>
      <c r="E56" s="733"/>
      <c r="F56" s="733"/>
      <c r="G56" s="733"/>
      <c r="H56" s="733"/>
      <c r="I56" s="733"/>
      <c r="J56" s="733"/>
      <c r="K56" s="733"/>
      <c r="L56" s="733"/>
      <c r="M56" s="733"/>
      <c r="N56" s="733"/>
      <c r="O56" s="733"/>
      <c r="P56" s="733"/>
      <c r="Q56" s="734"/>
    </row>
    <row r="57" spans="1:17" s="1" customFormat="1" ht="18.75" x14ac:dyDescent="0.3">
      <c r="A57" s="309" t="s">
        <v>74</v>
      </c>
      <c r="B57" s="242" t="s">
        <v>68</v>
      </c>
      <c r="C57" s="310">
        <f t="shared" ref="C57:N57" si="41">$P$50*0.6+$P$24*0.4</f>
        <v>145.05454358118519</v>
      </c>
      <c r="D57" s="310">
        <f t="shared" si="41"/>
        <v>145.05454358118519</v>
      </c>
      <c r="E57" s="310">
        <f t="shared" si="41"/>
        <v>145.05454358118519</v>
      </c>
      <c r="F57" s="310">
        <f t="shared" si="41"/>
        <v>145.05454358118519</v>
      </c>
      <c r="G57" s="310">
        <f t="shared" si="41"/>
        <v>145.05454358118519</v>
      </c>
      <c r="H57" s="310">
        <f t="shared" si="41"/>
        <v>145.05454358118519</v>
      </c>
      <c r="I57" s="310">
        <f t="shared" si="41"/>
        <v>145.05454358118519</v>
      </c>
      <c r="J57" s="310">
        <f t="shared" si="41"/>
        <v>145.05454358118519</v>
      </c>
      <c r="K57" s="310">
        <f t="shared" si="41"/>
        <v>145.05454358118519</v>
      </c>
      <c r="L57" s="310">
        <f t="shared" si="41"/>
        <v>145.05454358118519</v>
      </c>
      <c r="M57" s="310">
        <f t="shared" si="41"/>
        <v>145.05454358118519</v>
      </c>
      <c r="N57" s="310">
        <f t="shared" si="41"/>
        <v>145.05454358118519</v>
      </c>
      <c r="O57" s="311"/>
      <c r="P57" s="312"/>
      <c r="Q57" s="232"/>
    </row>
    <row r="58" spans="1:17" s="1" customFormat="1" ht="18.75" x14ac:dyDescent="0.3">
      <c r="A58" s="309" t="s">
        <v>75</v>
      </c>
      <c r="B58" s="242" t="s">
        <v>67</v>
      </c>
      <c r="C58" s="310">
        <f t="shared" ref="C58:N58" si="42">C57*C76</f>
        <v>97762.410737411381</v>
      </c>
      <c r="D58" s="310">
        <f t="shared" si="42"/>
        <v>65689.400606175521</v>
      </c>
      <c r="E58" s="310">
        <f t="shared" si="42"/>
        <v>63664.439177782173</v>
      </c>
      <c r="F58" s="310">
        <f t="shared" si="42"/>
        <v>49504.214633386873</v>
      </c>
      <c r="G58" s="310">
        <f t="shared" si="42"/>
        <v>59029.946510363312</v>
      </c>
      <c r="H58" s="310">
        <f t="shared" si="42"/>
        <v>76436.491740105543</v>
      </c>
      <c r="I58" s="310">
        <f t="shared" si="42"/>
        <v>110064.48657853169</v>
      </c>
      <c r="J58" s="310">
        <f t="shared" si="42"/>
        <v>73238.03905414039</v>
      </c>
      <c r="K58" s="310">
        <f t="shared" si="42"/>
        <v>92820.402437600394</v>
      </c>
      <c r="L58" s="310">
        <f t="shared" si="42"/>
        <v>107784.22915343546</v>
      </c>
      <c r="M58" s="310">
        <f t="shared" si="42"/>
        <v>93061.192979945161</v>
      </c>
      <c r="N58" s="310">
        <f t="shared" si="42"/>
        <v>37223.896973803741</v>
      </c>
      <c r="O58" s="311"/>
      <c r="P58" s="312"/>
      <c r="Q58" s="232"/>
    </row>
    <row r="59" spans="1:17" s="1" customFormat="1" ht="15" customHeight="1" outlineLevel="1" x14ac:dyDescent="0.25">
      <c r="A59" s="309" t="s">
        <v>76</v>
      </c>
      <c r="B59" s="231" t="s">
        <v>62</v>
      </c>
      <c r="C59" s="239">
        <f t="shared" ref="C59:N59" si="43">C94-C31-C5</f>
        <v>72220.229999999952</v>
      </c>
      <c r="D59" s="239">
        <f t="shared" si="43"/>
        <v>211175.20999999985</v>
      </c>
      <c r="E59" s="239">
        <f t="shared" si="43"/>
        <v>205882.38000000018</v>
      </c>
      <c r="F59" s="239">
        <f t="shared" si="43"/>
        <v>201102.11000000004</v>
      </c>
      <c r="G59" s="239">
        <f t="shared" si="43"/>
        <v>100462.63</v>
      </c>
      <c r="H59" s="239">
        <f t="shared" si="43"/>
        <v>173775.90999999986</v>
      </c>
      <c r="I59" s="239">
        <f t="shared" si="43"/>
        <v>198523.83999999997</v>
      </c>
      <c r="J59" s="239">
        <f t="shared" si="43"/>
        <v>171377.57999999996</v>
      </c>
      <c r="K59" s="239">
        <f t="shared" si="43"/>
        <v>123770.31000000017</v>
      </c>
      <c r="L59" s="239">
        <f t="shared" si="43"/>
        <v>162469.41999999998</v>
      </c>
      <c r="M59" s="239">
        <f t="shared" si="43"/>
        <v>184535.93000000005</v>
      </c>
      <c r="N59" s="239">
        <f t="shared" si="43"/>
        <v>210445</v>
      </c>
      <c r="O59" s="240">
        <f t="shared" ref="O59:O70" si="44">SUM(C59:N59)</f>
        <v>2015740.5500000003</v>
      </c>
      <c r="P59" s="241">
        <f>AVERAGE(C59:N59)</f>
        <v>167978.37916666668</v>
      </c>
      <c r="Q59" s="232"/>
    </row>
    <row r="60" spans="1:17" s="1" customFormat="1" x14ac:dyDescent="0.25">
      <c r="A60" s="309"/>
      <c r="B60" s="313" t="s">
        <v>66</v>
      </c>
      <c r="C60" s="243">
        <f t="shared" ref="C60:J60" si="45">-1*(IF(C59&lt;0,C59,0))</f>
        <v>0</v>
      </c>
      <c r="D60" s="243">
        <f t="shared" si="45"/>
        <v>0</v>
      </c>
      <c r="E60" s="243">
        <f t="shared" si="45"/>
        <v>0</v>
      </c>
      <c r="F60" s="243">
        <f t="shared" si="45"/>
        <v>0</v>
      </c>
      <c r="G60" s="243">
        <f t="shared" si="45"/>
        <v>0</v>
      </c>
      <c r="H60" s="243">
        <f t="shared" si="45"/>
        <v>0</v>
      </c>
      <c r="I60" s="243">
        <f t="shared" si="45"/>
        <v>0</v>
      </c>
      <c r="J60" s="243">
        <f t="shared" si="45"/>
        <v>0</v>
      </c>
      <c r="K60" s="239"/>
      <c r="L60" s="239"/>
      <c r="M60" s="239"/>
      <c r="N60" s="239"/>
      <c r="O60" s="240"/>
      <c r="P60" s="241"/>
      <c r="Q60" s="314" t="e">
        <f t="shared" ref="Q60:Q69" si="46">(K60-J60)/K60</f>
        <v>#DIV/0!</v>
      </c>
    </row>
    <row r="61" spans="1:17" s="1" customFormat="1" x14ac:dyDescent="0.25">
      <c r="A61" s="309"/>
      <c r="B61" s="313" t="s">
        <v>65</v>
      </c>
      <c r="C61" s="239"/>
      <c r="D61" s="239">
        <v>1242</v>
      </c>
      <c r="E61" s="239">
        <v>16598</v>
      </c>
      <c r="F61" s="239">
        <v>1542</v>
      </c>
      <c r="G61" s="239">
        <v>23490</v>
      </c>
      <c r="H61" s="239">
        <v>19696</v>
      </c>
      <c r="I61" s="239">
        <v>22945</v>
      </c>
      <c r="J61" s="239">
        <v>38549</v>
      </c>
      <c r="K61" s="239">
        <v>3026</v>
      </c>
      <c r="L61" s="239">
        <v>18378</v>
      </c>
      <c r="M61" s="239">
        <v>24532</v>
      </c>
      <c r="N61" s="239">
        <v>-4574</v>
      </c>
      <c r="O61" s="240">
        <f t="shared" si="44"/>
        <v>165424</v>
      </c>
      <c r="P61" s="241">
        <f>AVERAGE(C61:N61)</f>
        <v>15038.545454545454</v>
      </c>
      <c r="Q61" s="314">
        <f t="shared" si="46"/>
        <v>-11.739259748843358</v>
      </c>
    </row>
    <row r="62" spans="1:17" s="1" customFormat="1" x14ac:dyDescent="0.25">
      <c r="A62" s="309"/>
      <c r="B62" s="231"/>
      <c r="C62" s="239"/>
      <c r="D62" s="239"/>
      <c r="E62" s="239"/>
      <c r="F62" s="239"/>
      <c r="G62" s="239"/>
      <c r="H62" s="239"/>
      <c r="I62" s="239"/>
      <c r="J62" s="239"/>
      <c r="K62" s="239"/>
      <c r="L62" s="239"/>
      <c r="M62" s="239"/>
      <c r="N62" s="239"/>
      <c r="O62" s="240"/>
      <c r="P62" s="241"/>
      <c r="Q62" s="314" t="e">
        <f t="shared" si="46"/>
        <v>#DIV/0!</v>
      </c>
    </row>
    <row r="63" spans="1:17" s="1" customFormat="1" x14ac:dyDescent="0.25">
      <c r="A63" s="309"/>
      <c r="B63" s="242" t="s">
        <v>30</v>
      </c>
      <c r="C63" s="243">
        <v>20741</v>
      </c>
      <c r="D63" s="243">
        <v>18436</v>
      </c>
      <c r="E63" s="243">
        <v>23870</v>
      </c>
      <c r="F63" s="243">
        <v>28512</v>
      </c>
      <c r="G63" s="243">
        <v>23106</v>
      </c>
      <c r="H63" s="243">
        <v>24728</v>
      </c>
      <c r="I63" s="243">
        <v>24927</v>
      </c>
      <c r="J63" s="243">
        <v>24760</v>
      </c>
      <c r="K63" s="243">
        <v>25577</v>
      </c>
      <c r="L63" s="243">
        <v>23156</v>
      </c>
      <c r="M63" s="243">
        <v>25418</v>
      </c>
      <c r="N63" s="243">
        <v>20518</v>
      </c>
      <c r="O63" s="244">
        <f t="shared" si="44"/>
        <v>283749</v>
      </c>
      <c r="P63" s="245">
        <f>AVERAGE(C63:N63)</f>
        <v>23645.75</v>
      </c>
      <c r="Q63" s="314">
        <f t="shared" si="46"/>
        <v>3.1942761074402783E-2</v>
      </c>
    </row>
    <row r="64" spans="1:17" s="1" customFormat="1" x14ac:dyDescent="0.25">
      <c r="A64" s="309"/>
      <c r="B64" s="242" t="s">
        <v>31</v>
      </c>
      <c r="C64" s="243"/>
      <c r="D64" s="243"/>
      <c r="E64" s="243"/>
      <c r="F64" s="243"/>
      <c r="G64" s="243"/>
      <c r="H64" s="243"/>
      <c r="I64" s="243"/>
      <c r="J64" s="243"/>
      <c r="K64" s="243"/>
      <c r="L64" s="243"/>
      <c r="M64" s="243"/>
      <c r="N64" s="243"/>
      <c r="O64" s="244">
        <f t="shared" si="44"/>
        <v>0</v>
      </c>
      <c r="P64" s="245"/>
      <c r="Q64" s="314" t="e">
        <f t="shared" si="46"/>
        <v>#DIV/0!</v>
      </c>
    </row>
    <row r="65" spans="1:17" s="1" customFormat="1" x14ac:dyDescent="0.25">
      <c r="A65" s="309"/>
      <c r="B65" s="242" t="s">
        <v>32</v>
      </c>
      <c r="C65" s="243">
        <v>12137</v>
      </c>
      <c r="D65" s="243">
        <v>12137</v>
      </c>
      <c r="E65" s="243">
        <v>12465</v>
      </c>
      <c r="F65" s="243">
        <v>13386</v>
      </c>
      <c r="G65" s="243">
        <v>13386</v>
      </c>
      <c r="H65" s="243">
        <v>13386</v>
      </c>
      <c r="I65" s="243">
        <v>11649</v>
      </c>
      <c r="J65" s="243">
        <v>11649</v>
      </c>
      <c r="K65" s="243">
        <v>12979</v>
      </c>
      <c r="L65" s="243">
        <v>12979</v>
      </c>
      <c r="M65" s="243">
        <v>12979</v>
      </c>
      <c r="N65" s="243">
        <v>12979</v>
      </c>
      <c r="O65" s="244">
        <f t="shared" si="44"/>
        <v>152111</v>
      </c>
      <c r="P65" s="245">
        <f t="shared" ref="P65:P70" si="47">AVERAGE(C65:N65)</f>
        <v>12675.916666666666</v>
      </c>
      <c r="Q65" s="314">
        <f t="shared" si="46"/>
        <v>0.10247322598042992</v>
      </c>
    </row>
    <row r="66" spans="1:17" s="1" customFormat="1" x14ac:dyDescent="0.25">
      <c r="A66" s="309"/>
      <c r="B66" s="242" t="s">
        <v>33</v>
      </c>
      <c r="C66" s="243">
        <v>10023</v>
      </c>
      <c r="D66" s="243">
        <v>10023</v>
      </c>
      <c r="E66" s="243">
        <v>9607</v>
      </c>
      <c r="F66" s="243">
        <v>27475</v>
      </c>
      <c r="G66" s="243">
        <v>2022</v>
      </c>
      <c r="H66" s="243">
        <v>2022</v>
      </c>
      <c r="I66" s="243"/>
      <c r="J66" s="243">
        <v>2022</v>
      </c>
      <c r="K66" s="243">
        <v>2022</v>
      </c>
      <c r="L66" s="243">
        <v>2022</v>
      </c>
      <c r="M66" s="243">
        <v>4678</v>
      </c>
      <c r="N66" s="243">
        <v>4678</v>
      </c>
      <c r="O66" s="244">
        <f t="shared" si="44"/>
        <v>76594</v>
      </c>
      <c r="P66" s="245">
        <f t="shared" si="47"/>
        <v>6963.090909090909</v>
      </c>
      <c r="Q66" s="314">
        <f t="shared" si="46"/>
        <v>0</v>
      </c>
    </row>
    <row r="67" spans="1:17" s="1" customFormat="1" x14ac:dyDescent="0.25">
      <c r="A67" s="309"/>
      <c r="B67" s="242" t="s">
        <v>34</v>
      </c>
      <c r="C67" s="243">
        <v>36459</v>
      </c>
      <c r="D67" s="243">
        <v>14920</v>
      </c>
      <c r="E67" s="243">
        <v>14089</v>
      </c>
      <c r="F67" s="243">
        <v>20532</v>
      </c>
      <c r="G67" s="243">
        <v>14999</v>
      </c>
      <c r="H67" s="243">
        <v>13591</v>
      </c>
      <c r="I67" s="243">
        <v>10076</v>
      </c>
      <c r="J67" s="243">
        <v>15331</v>
      </c>
      <c r="K67" s="243">
        <v>9102</v>
      </c>
      <c r="L67" s="243">
        <v>18699</v>
      </c>
      <c r="M67" s="243">
        <v>35449</v>
      </c>
      <c r="N67" s="243">
        <v>4210</v>
      </c>
      <c r="O67" s="244">
        <f t="shared" si="44"/>
        <v>207457</v>
      </c>
      <c r="P67" s="245">
        <f t="shared" si="47"/>
        <v>17288.083333333332</v>
      </c>
      <c r="Q67" s="314">
        <f t="shared" si="46"/>
        <v>-0.68435508679411117</v>
      </c>
    </row>
    <row r="68" spans="1:17" s="1" customFormat="1" x14ac:dyDescent="0.25">
      <c r="A68" s="309"/>
      <c r="B68" s="242" t="s">
        <v>35</v>
      </c>
      <c r="C68" s="243">
        <f>SUM(C61:C67)</f>
        <v>79360</v>
      </c>
      <c r="D68" s="243">
        <f t="shared" ref="D68:N68" si="48">SUM(D61:D67)</f>
        <v>56758</v>
      </c>
      <c r="E68" s="243">
        <f t="shared" si="48"/>
        <v>76629</v>
      </c>
      <c r="F68" s="243">
        <f t="shared" si="48"/>
        <v>91447</v>
      </c>
      <c r="G68" s="243">
        <f t="shared" si="48"/>
        <v>77003</v>
      </c>
      <c r="H68" s="243">
        <f t="shared" si="48"/>
        <v>73423</v>
      </c>
      <c r="I68" s="243">
        <f t="shared" si="48"/>
        <v>69597</v>
      </c>
      <c r="J68" s="243">
        <f t="shared" si="48"/>
        <v>92311</v>
      </c>
      <c r="K68" s="243">
        <f t="shared" si="48"/>
        <v>52706</v>
      </c>
      <c r="L68" s="243">
        <f t="shared" si="48"/>
        <v>75234</v>
      </c>
      <c r="M68" s="243">
        <f>SUM(M61:M67)</f>
        <v>103056</v>
      </c>
      <c r="N68" s="243">
        <f t="shared" si="48"/>
        <v>37811</v>
      </c>
      <c r="O68" s="244">
        <f t="shared" si="44"/>
        <v>885335</v>
      </c>
      <c r="P68" s="245">
        <f t="shared" si="47"/>
        <v>73777.916666666672</v>
      </c>
      <c r="Q68" s="314">
        <f t="shared" si="46"/>
        <v>-0.75143247448108375</v>
      </c>
    </row>
    <row r="69" spans="1:17" s="1" customFormat="1" ht="28.5" x14ac:dyDescent="0.25">
      <c r="A69" s="309"/>
      <c r="B69" s="246" t="s">
        <v>69</v>
      </c>
      <c r="C69" s="247">
        <f t="shared" ref="C69:N69" si="49">C59-C68+C70+C75</f>
        <v>3707.5689642788184</v>
      </c>
      <c r="D69" s="247">
        <f t="shared" si="49"/>
        <v>166510.29360379261</v>
      </c>
      <c r="E69" s="247">
        <f t="shared" si="49"/>
        <v>144365.70232062702</v>
      </c>
      <c r="F69" s="247">
        <f t="shared" si="49"/>
        <v>134913.78765794754</v>
      </c>
      <c r="G69" s="247">
        <f t="shared" si="49"/>
        <v>39877.503069351907</v>
      </c>
      <c r="H69" s="247">
        <f t="shared" si="49"/>
        <v>118938.59389281507</v>
      </c>
      <c r="I69" s="247">
        <f t="shared" si="49"/>
        <v>147272.57494394528</v>
      </c>
      <c r="J69" s="247">
        <f t="shared" si="49"/>
        <v>92743.238151364407</v>
      </c>
      <c r="K69" s="247">
        <f t="shared" si="49"/>
        <v>80856.438622167276</v>
      </c>
      <c r="L69" s="247">
        <f t="shared" si="49"/>
        <v>103522.03052039303</v>
      </c>
      <c r="M69" s="247">
        <f t="shared" si="49"/>
        <v>99597.52042482447</v>
      </c>
      <c r="N69" s="247">
        <f t="shared" si="49"/>
        <v>178697.85727169056</v>
      </c>
      <c r="O69" s="248">
        <f>SUM(C69:N69)</f>
        <v>1311003.109443198</v>
      </c>
      <c r="P69" s="249">
        <f>AVERAGE(C69:K69)</f>
        <v>103242.85569180998</v>
      </c>
      <c r="Q69" s="315">
        <f t="shared" si="46"/>
        <v>-0.14701116858167301</v>
      </c>
    </row>
    <row r="70" spans="1:17" s="1" customFormat="1" x14ac:dyDescent="0.25">
      <c r="A70" s="309"/>
      <c r="B70" s="242" t="s">
        <v>36</v>
      </c>
      <c r="C70" s="243">
        <f t="shared" ref="C70:I70" si="50">C71*C90</f>
        <v>6535.4089642788658</v>
      </c>
      <c r="D70" s="243">
        <f t="shared" si="50"/>
        <v>10851.283603792786</v>
      </c>
      <c r="E70" s="243">
        <f t="shared" si="50"/>
        <v>12184.852320626855</v>
      </c>
      <c r="F70" s="243">
        <f t="shared" si="50"/>
        <v>22678.82765794748</v>
      </c>
      <c r="G70" s="243">
        <f t="shared" si="50"/>
        <v>12420.873069351906</v>
      </c>
      <c r="H70" s="243">
        <f t="shared" si="50"/>
        <v>13598.103892815212</v>
      </c>
      <c r="I70" s="243">
        <f t="shared" si="50"/>
        <v>10437.494943945319</v>
      </c>
      <c r="J70" s="243">
        <f>J71*J90</f>
        <v>11929.128151364457</v>
      </c>
      <c r="K70" s="243">
        <f>K71*K90</f>
        <v>8468.3786221670998</v>
      </c>
      <c r="L70" s="243">
        <f>L71*L90</f>
        <v>14046.720520393053</v>
      </c>
      <c r="M70" s="243">
        <f>M71*M90</f>
        <v>16038.590424824411</v>
      </c>
      <c r="N70" s="243">
        <f>N71*N90</f>
        <v>6063.8572716905664</v>
      </c>
      <c r="O70" s="244">
        <f t="shared" si="44"/>
        <v>145253.51944319802</v>
      </c>
      <c r="P70" s="245">
        <f t="shared" si="47"/>
        <v>12104.459953599835</v>
      </c>
      <c r="Q70" s="232"/>
    </row>
    <row r="71" spans="1:17" s="1" customFormat="1" x14ac:dyDescent="0.25">
      <c r="A71" s="309"/>
      <c r="B71" s="242" t="s">
        <v>37</v>
      </c>
      <c r="C71" s="250">
        <f t="shared" ref="C71:N71" si="51">(C68/(C68+C39+C13))</f>
        <v>0.13835184184376145</v>
      </c>
      <c r="D71" s="250">
        <f t="shared" si="51"/>
        <v>0.1478022109656647</v>
      </c>
      <c r="E71" s="250">
        <f t="shared" si="51"/>
        <v>0.20006673329552824</v>
      </c>
      <c r="F71" s="250">
        <f t="shared" si="51"/>
        <v>0.22945314541026968</v>
      </c>
      <c r="G71" s="250">
        <f t="shared" si="51"/>
        <v>0.20821525915029851</v>
      </c>
      <c r="H71" s="250">
        <f t="shared" si="51"/>
        <v>0.16902553005363843</v>
      </c>
      <c r="I71" s="250">
        <f t="shared" si="51"/>
        <v>0.1684472175967161</v>
      </c>
      <c r="J71" s="250">
        <f t="shared" si="51"/>
        <v>0.19032097116042784</v>
      </c>
      <c r="K71" s="250">
        <f t="shared" si="51"/>
        <v>0.13820283349109913</v>
      </c>
      <c r="L71" s="250">
        <f t="shared" si="51"/>
        <v>0.15603081045431733</v>
      </c>
      <c r="M71" s="250">
        <f t="shared" si="51"/>
        <v>0.26877466232340275</v>
      </c>
      <c r="N71" s="250">
        <f t="shared" si="51"/>
        <v>0.1608910259137909</v>
      </c>
      <c r="O71" s="251"/>
      <c r="P71" s="245"/>
      <c r="Q71" s="232"/>
    </row>
    <row r="72" spans="1:17" s="1" customFormat="1" ht="30" x14ac:dyDescent="0.25">
      <c r="A72" s="309"/>
      <c r="B72" s="246" t="s">
        <v>71</v>
      </c>
      <c r="C72" s="316">
        <f t="shared" ref="C72:N72" si="52">C69-C70</f>
        <v>-2827.8400000000474</v>
      </c>
      <c r="D72" s="316">
        <f t="shared" si="52"/>
        <v>155659.00999999983</v>
      </c>
      <c r="E72" s="316">
        <f t="shared" si="52"/>
        <v>132180.85000000018</v>
      </c>
      <c r="F72" s="316">
        <f t="shared" si="52"/>
        <v>112234.96000000006</v>
      </c>
      <c r="G72" s="316">
        <f t="shared" si="52"/>
        <v>27456.63</v>
      </c>
      <c r="H72" s="316">
        <f t="shared" si="52"/>
        <v>105340.48999999986</v>
      </c>
      <c r="I72" s="316">
        <f t="shared" si="52"/>
        <v>136835.07999999996</v>
      </c>
      <c r="J72" s="316">
        <f t="shared" si="52"/>
        <v>80814.109999999957</v>
      </c>
      <c r="K72" s="316">
        <f t="shared" si="52"/>
        <v>72388.060000000172</v>
      </c>
      <c r="L72" s="316">
        <f t="shared" si="52"/>
        <v>89475.309999999983</v>
      </c>
      <c r="M72" s="316">
        <f t="shared" si="52"/>
        <v>83558.930000000051</v>
      </c>
      <c r="N72" s="316">
        <f t="shared" si="52"/>
        <v>172634</v>
      </c>
      <c r="O72" s="248">
        <f>SUM(C72:N72)</f>
        <v>1165749.5899999999</v>
      </c>
      <c r="P72" s="249">
        <f>AVERAGE(C72:N72)</f>
        <v>97145.799166666649</v>
      </c>
      <c r="Q72" s="317"/>
    </row>
    <row r="73" spans="1:17" s="1" customFormat="1" ht="15" customHeight="1" x14ac:dyDescent="0.25">
      <c r="A73" s="712" t="s">
        <v>38</v>
      </c>
      <c r="B73" s="252" t="s">
        <v>61</v>
      </c>
      <c r="C73" s="318">
        <v>135.02000000000001</v>
      </c>
      <c r="D73" s="318">
        <v>143.6</v>
      </c>
      <c r="E73" s="318">
        <v>115.98</v>
      </c>
      <c r="F73" s="318">
        <v>81.900000000000006</v>
      </c>
      <c r="G73" s="318">
        <v>189.9</v>
      </c>
      <c r="H73" s="318">
        <v>174.3</v>
      </c>
      <c r="I73" s="318">
        <v>359.98</v>
      </c>
      <c r="J73" s="318">
        <v>126.5</v>
      </c>
      <c r="K73" s="318">
        <v>126.96</v>
      </c>
      <c r="L73" s="318">
        <v>119.07</v>
      </c>
      <c r="M73" s="318">
        <v>97</v>
      </c>
      <c r="N73" s="318"/>
      <c r="O73" s="319">
        <f>SUM(C73:N73)</f>
        <v>1670.21</v>
      </c>
      <c r="P73" s="320">
        <f>AVERAGE(C73:N73)</f>
        <v>151.83727272727273</v>
      </c>
      <c r="Q73" s="232"/>
    </row>
    <row r="74" spans="1:17" s="1" customFormat="1" ht="15" customHeight="1" x14ac:dyDescent="0.25">
      <c r="A74" s="713"/>
      <c r="B74" s="252" t="s">
        <v>89</v>
      </c>
      <c r="C74" s="321">
        <f>C75/C73</f>
        <v>31.935491038364688</v>
      </c>
      <c r="D74" s="321">
        <f t="shared" ref="D74:M74" si="53">D75/D73</f>
        <v>8.6476323119777163</v>
      </c>
      <c r="E74" s="321">
        <f t="shared" si="53"/>
        <v>25.241162269356781</v>
      </c>
      <c r="F74" s="321">
        <f t="shared" si="53"/>
        <v>31.499999999999996</v>
      </c>
      <c r="G74" s="321">
        <f t="shared" si="53"/>
        <v>21.047919957872566</v>
      </c>
      <c r="H74" s="321">
        <f t="shared" si="53"/>
        <v>28.61491681009753</v>
      </c>
      <c r="I74" s="321">
        <f t="shared" si="53"/>
        <v>21.968553808544918</v>
      </c>
      <c r="J74" s="321">
        <f t="shared" si="53"/>
        <v>13.814466403162054</v>
      </c>
      <c r="K74" s="321">
        <f t="shared" si="53"/>
        <v>10.426512287334594</v>
      </c>
      <c r="L74" s="321">
        <f t="shared" si="53"/>
        <v>18.81153943058705</v>
      </c>
      <c r="M74" s="321">
        <f t="shared" si="53"/>
        <v>21.432989690721648</v>
      </c>
      <c r="N74" s="321"/>
      <c r="O74" s="319"/>
      <c r="P74" s="322">
        <f>AVERAGE(C74:N74)</f>
        <v>21.221925818910869</v>
      </c>
      <c r="Q74" s="232"/>
    </row>
    <row r="75" spans="1:17" s="1" customFormat="1" x14ac:dyDescent="0.25">
      <c r="A75" s="713"/>
      <c r="B75" s="323" t="s">
        <v>60</v>
      </c>
      <c r="C75" s="324">
        <v>4311.93</v>
      </c>
      <c r="D75" s="324">
        <v>1241.8</v>
      </c>
      <c r="E75" s="324">
        <v>2927.47</v>
      </c>
      <c r="F75" s="324">
        <v>2579.85</v>
      </c>
      <c r="G75" s="324">
        <v>3997</v>
      </c>
      <c r="H75" s="324">
        <v>4987.58</v>
      </c>
      <c r="I75" s="324">
        <v>7908.24</v>
      </c>
      <c r="J75" s="324">
        <v>1747.53</v>
      </c>
      <c r="K75" s="324">
        <v>1323.75</v>
      </c>
      <c r="L75" s="324">
        <v>2239.89</v>
      </c>
      <c r="M75" s="324">
        <v>2079</v>
      </c>
      <c r="N75" s="324"/>
      <c r="O75" s="325">
        <f>SUM(C75:N75)</f>
        <v>35344.04</v>
      </c>
      <c r="P75" s="326">
        <f>AVERAGE(C75:N75)</f>
        <v>3213.0945454545454</v>
      </c>
      <c r="Q75" s="317">
        <f>(J75-I75)/J75</f>
        <v>-3.5253815385143605</v>
      </c>
    </row>
    <row r="76" spans="1:17" s="1" customFormat="1" x14ac:dyDescent="0.25">
      <c r="A76" s="713"/>
      <c r="B76" s="252" t="s">
        <v>39</v>
      </c>
      <c r="C76" s="318">
        <v>673.97</v>
      </c>
      <c r="D76" s="318">
        <v>452.86</v>
      </c>
      <c r="E76" s="318">
        <v>438.9</v>
      </c>
      <c r="F76" s="318">
        <v>341.28</v>
      </c>
      <c r="G76" s="318">
        <v>406.95</v>
      </c>
      <c r="H76" s="318">
        <v>526.95000000000005</v>
      </c>
      <c r="I76" s="318">
        <v>758.78</v>
      </c>
      <c r="J76" s="318">
        <v>504.9</v>
      </c>
      <c r="K76" s="318">
        <v>639.9</v>
      </c>
      <c r="L76" s="318">
        <v>743.06</v>
      </c>
      <c r="M76" s="318">
        <v>641.55999999999995</v>
      </c>
      <c r="N76" s="318">
        <v>256.62</v>
      </c>
      <c r="O76" s="244">
        <f>SUM(C76:N76)</f>
        <v>6385.7299999999987</v>
      </c>
      <c r="P76" s="245">
        <f>AVERAGE(C76:N76)</f>
        <v>532.14416666666659</v>
      </c>
      <c r="Q76" s="253">
        <f>(J76-I76)/J76</f>
        <v>-0.50283224400871462</v>
      </c>
    </row>
    <row r="77" spans="1:17" s="1" customFormat="1" x14ac:dyDescent="0.25">
      <c r="A77" s="713"/>
      <c r="B77" s="252" t="s">
        <v>40</v>
      </c>
      <c r="C77" s="243">
        <f t="shared" ref="C77:N77" si="54">C59/C2</f>
        <v>3282.7377272727249</v>
      </c>
      <c r="D77" s="243">
        <f t="shared" si="54"/>
        <v>10055.962380952373</v>
      </c>
      <c r="E77" s="243">
        <f t="shared" si="54"/>
        <v>10835.914736842115</v>
      </c>
      <c r="F77" s="243">
        <f t="shared" si="54"/>
        <v>12974.329677419357</v>
      </c>
      <c r="G77" s="243">
        <f t="shared" si="54"/>
        <v>4783.9347619047621</v>
      </c>
      <c r="H77" s="243">
        <f t="shared" si="54"/>
        <v>8688.7954999999929</v>
      </c>
      <c r="I77" s="243">
        <f t="shared" si="54"/>
        <v>8631.4713043478241</v>
      </c>
      <c r="J77" s="243">
        <f t="shared" si="54"/>
        <v>9019.8726315789445</v>
      </c>
      <c r="K77" s="243">
        <f t="shared" si="54"/>
        <v>6514.2268421052722</v>
      </c>
      <c r="L77" s="243">
        <f t="shared" si="54"/>
        <v>7736.6390476190472</v>
      </c>
      <c r="M77" s="243">
        <f t="shared" si="54"/>
        <v>9226.7965000000022</v>
      </c>
      <c r="N77" s="243">
        <f t="shared" si="54"/>
        <v>23382.777777777777</v>
      </c>
      <c r="O77" s="244"/>
      <c r="P77" s="245"/>
      <c r="Q77" s="253">
        <f>(J77-I77)/J77</f>
        <v>4.3060622150174428E-2</v>
      </c>
    </row>
    <row r="78" spans="1:17" s="1" customFormat="1" x14ac:dyDescent="0.25">
      <c r="A78" s="713"/>
      <c r="B78" s="252" t="s">
        <v>41</v>
      </c>
      <c r="C78" s="243">
        <f t="shared" ref="C78:N78" si="55">C59/C76</f>
        <v>107.15644613261711</v>
      </c>
      <c r="D78" s="243">
        <f t="shared" si="55"/>
        <v>466.31455637503831</v>
      </c>
      <c r="E78" s="243">
        <f t="shared" si="55"/>
        <v>469.08721804511322</v>
      </c>
      <c r="F78" s="243">
        <f t="shared" si="55"/>
        <v>589.25840951711223</v>
      </c>
      <c r="G78" s="243">
        <f t="shared" si="55"/>
        <v>246.86725641970759</v>
      </c>
      <c r="H78" s="243">
        <f t="shared" si="55"/>
        <v>329.77684789828226</v>
      </c>
      <c r="I78" s="243">
        <f t="shared" si="55"/>
        <v>261.63557289332874</v>
      </c>
      <c r="J78" s="243">
        <f t="shared" si="55"/>
        <v>339.42875816993455</v>
      </c>
      <c r="K78" s="243">
        <f t="shared" si="55"/>
        <v>193.42133145804058</v>
      </c>
      <c r="L78" s="243">
        <f t="shared" si="55"/>
        <v>218.64912658466341</v>
      </c>
      <c r="M78" s="243">
        <f t="shared" si="55"/>
        <v>287.63627719932674</v>
      </c>
      <c r="N78" s="243">
        <f t="shared" si="55"/>
        <v>820.06468708596367</v>
      </c>
      <c r="O78" s="244">
        <f>SUM(C78:N78)</f>
        <v>4329.2964877791283</v>
      </c>
      <c r="P78" s="245">
        <f>AVERAGE(C78:N78)</f>
        <v>360.77470731492735</v>
      </c>
      <c r="Q78" s="253">
        <f>(J78-I78)/J78</f>
        <v>0.22918855107043923</v>
      </c>
    </row>
    <row r="79" spans="1:17" s="1" customFormat="1" x14ac:dyDescent="0.25">
      <c r="A79" s="713"/>
      <c r="B79" s="252" t="s">
        <v>42</v>
      </c>
      <c r="C79" s="243">
        <f t="shared" ref="C79:N79" si="56">(C68-$P$75)/C76</f>
        <v>112.98263343256444</v>
      </c>
      <c r="D79" s="243">
        <f t="shared" si="56"/>
        <v>118.23721559542784</v>
      </c>
      <c r="E79" s="243">
        <f t="shared" si="56"/>
        <v>167.2725118581578</v>
      </c>
      <c r="F79" s="243">
        <f t="shared" si="56"/>
        <v>258.53816647487537</v>
      </c>
      <c r="G79" s="243">
        <f t="shared" si="56"/>
        <v>181.32425471076411</v>
      </c>
      <c r="H79" s="243">
        <f t="shared" si="56"/>
        <v>133.23826825039464</v>
      </c>
      <c r="I79" s="243">
        <f t="shared" si="56"/>
        <v>87.487684776279636</v>
      </c>
      <c r="J79" s="243">
        <f t="shared" si="56"/>
        <v>176.46643979906014</v>
      </c>
      <c r="K79" s="243">
        <f t="shared" si="56"/>
        <v>77.344749889897571</v>
      </c>
      <c r="L79" s="243">
        <f t="shared" si="56"/>
        <v>96.924750968354459</v>
      </c>
      <c r="M79" s="243">
        <f t="shared" si="56"/>
        <v>155.62520333958705</v>
      </c>
      <c r="N79" s="243">
        <f t="shared" si="56"/>
        <v>134.82154724707917</v>
      </c>
      <c r="O79" s="244">
        <f>AVERAGE(C79:N79)</f>
        <v>141.68861886187017</v>
      </c>
      <c r="P79" s="245">
        <f>AVERAGE(C79:N79)</f>
        <v>141.68861886187017</v>
      </c>
      <c r="Q79" s="253">
        <f>(J79-I79)/J79</f>
        <v>0.50422479834748957</v>
      </c>
    </row>
    <row r="80" spans="1:17" s="1" customFormat="1" x14ac:dyDescent="0.25">
      <c r="A80" s="713"/>
      <c r="B80" s="230" t="s">
        <v>43</v>
      </c>
      <c r="C80" s="239">
        <f>C78-C79</f>
        <v>-5.8261872999473354</v>
      </c>
      <c r="D80" s="239">
        <f t="shared" ref="D80:I80" si="57">D78-D79</f>
        <v>348.07734077961049</v>
      </c>
      <c r="E80" s="239">
        <f t="shared" si="57"/>
        <v>301.81470618695539</v>
      </c>
      <c r="F80" s="239">
        <f t="shared" si="57"/>
        <v>330.72024304223686</v>
      </c>
      <c r="G80" s="239">
        <f>G78-G79</f>
        <v>65.543001708943478</v>
      </c>
      <c r="H80" s="239">
        <f t="shared" si="57"/>
        <v>196.53857964788762</v>
      </c>
      <c r="I80" s="239">
        <f t="shared" si="57"/>
        <v>174.14788811704909</v>
      </c>
      <c r="J80" s="239">
        <f>J78-J79</f>
        <v>162.96231837087441</v>
      </c>
      <c r="K80" s="239">
        <f>K78-K79</f>
        <v>116.07658156814301</v>
      </c>
      <c r="L80" s="239">
        <f>L78-L79</f>
        <v>121.72437561630895</v>
      </c>
      <c r="M80" s="239">
        <f>M78-M79</f>
        <v>132.0110738597397</v>
      </c>
      <c r="N80" s="239">
        <f>N78-N79</f>
        <v>685.24313983888453</v>
      </c>
      <c r="O80" s="240"/>
      <c r="P80" s="241">
        <f>AVERAGE(C80:N80)</f>
        <v>219.08608845305719</v>
      </c>
      <c r="Q80" s="232"/>
    </row>
    <row r="81" spans="1:18" s="1" customFormat="1" x14ac:dyDescent="0.25">
      <c r="A81" s="712" t="s">
        <v>95</v>
      </c>
      <c r="B81" s="327" t="s">
        <v>91</v>
      </c>
      <c r="C81" s="254">
        <v>1509.04</v>
      </c>
      <c r="D81" s="254">
        <v>1276.74</v>
      </c>
      <c r="E81" s="254">
        <v>1516.67</v>
      </c>
      <c r="F81" s="254">
        <v>1631.6100000000001</v>
      </c>
      <c r="G81" s="254">
        <v>1497.65</v>
      </c>
      <c r="H81" s="254">
        <v>1775.55</v>
      </c>
      <c r="I81" s="254">
        <v>1848.6200000000001</v>
      </c>
      <c r="J81" s="254">
        <v>2016.9820986728153</v>
      </c>
      <c r="K81" s="254">
        <v>1707.3070848235586</v>
      </c>
      <c r="L81" s="254">
        <v>1801.3700000000001</v>
      </c>
      <c r="M81" s="254">
        <v>1658.1200000000001</v>
      </c>
      <c r="N81" s="254">
        <v>1408.5700000000002</v>
      </c>
      <c r="O81" s="255"/>
      <c r="P81" s="256"/>
      <c r="Q81" s="328"/>
    </row>
    <row r="82" spans="1:18" s="1" customFormat="1" x14ac:dyDescent="0.25">
      <c r="A82" s="713"/>
      <c r="B82" s="329" t="s">
        <v>96</v>
      </c>
      <c r="C82" s="239">
        <f t="shared" ref="C82:N82" si="58">C59/C81</f>
        <v>47.858393415681462</v>
      </c>
      <c r="D82" s="239">
        <f t="shared" si="58"/>
        <v>165.40189075301146</v>
      </c>
      <c r="E82" s="239">
        <f t="shared" si="58"/>
        <v>135.74632583225102</v>
      </c>
      <c r="F82" s="239">
        <f t="shared" si="58"/>
        <v>123.25378613761869</v>
      </c>
      <c r="G82" s="239">
        <f t="shared" si="58"/>
        <v>67.080178947016989</v>
      </c>
      <c r="H82" s="239">
        <f t="shared" si="58"/>
        <v>97.871594717129824</v>
      </c>
      <c r="I82" s="239">
        <f t="shared" si="58"/>
        <v>107.39029113609068</v>
      </c>
      <c r="J82" s="239">
        <f t="shared" si="58"/>
        <v>84.967328224066691</v>
      </c>
      <c r="K82" s="239">
        <f t="shared" si="58"/>
        <v>72.494462829919783</v>
      </c>
      <c r="L82" s="239">
        <f t="shared" si="58"/>
        <v>90.192142646985332</v>
      </c>
      <c r="M82" s="239">
        <f t="shared" si="58"/>
        <v>111.29226473355368</v>
      </c>
      <c r="N82" s="239">
        <f t="shared" si="58"/>
        <v>149.40329554086767</v>
      </c>
      <c r="O82" s="240"/>
      <c r="P82" s="241"/>
      <c r="Q82" s="232"/>
    </row>
    <row r="83" spans="1:18" s="1" customFormat="1" ht="15.75" thickBot="1" x14ac:dyDescent="0.3">
      <c r="A83" s="714"/>
      <c r="B83" s="330" t="s">
        <v>92</v>
      </c>
      <c r="C83" s="331">
        <f>(C68-C61-C58)/C81</f>
        <v>-12.194779951102278</v>
      </c>
      <c r="D83" s="331">
        <f t="shared" ref="D83:N83" si="59">(D68-D61)/D81</f>
        <v>43.482619797296238</v>
      </c>
      <c r="E83" s="331">
        <f t="shared" si="59"/>
        <v>39.580792130127186</v>
      </c>
      <c r="F83" s="331">
        <f t="shared" si="59"/>
        <v>55.102015800344439</v>
      </c>
      <c r="G83" s="331">
        <f t="shared" si="59"/>
        <v>35.731312389410071</v>
      </c>
      <c r="H83" s="331">
        <f t="shared" si="59"/>
        <v>30.259356255808061</v>
      </c>
      <c r="I83" s="331">
        <f t="shared" si="59"/>
        <v>25.236122080254457</v>
      </c>
      <c r="J83" s="331">
        <f t="shared" si="59"/>
        <v>26.654673849299741</v>
      </c>
      <c r="K83" s="331">
        <f t="shared" si="59"/>
        <v>29.098455949495559</v>
      </c>
      <c r="L83" s="331">
        <f t="shared" si="59"/>
        <v>31.562643987631635</v>
      </c>
      <c r="M83" s="331">
        <f t="shared" si="59"/>
        <v>47.357247967577734</v>
      </c>
      <c r="N83" s="331">
        <f t="shared" si="59"/>
        <v>30.090801309129112</v>
      </c>
      <c r="O83" s="332"/>
      <c r="P83" s="333">
        <f>AVERAGE(C83:M83)</f>
        <v>31.98822365964935</v>
      </c>
      <c r="Q83" s="334"/>
    </row>
    <row r="84" spans="1:18" s="1" customFormat="1" ht="21.75" thickBot="1" x14ac:dyDescent="0.4">
      <c r="A84" s="729" t="s">
        <v>47</v>
      </c>
      <c r="B84" s="730"/>
      <c r="C84" s="730"/>
      <c r="D84" s="730"/>
      <c r="E84" s="730"/>
      <c r="F84" s="730"/>
      <c r="G84" s="730"/>
      <c r="H84" s="730"/>
      <c r="I84" s="730"/>
      <c r="J84" s="730"/>
      <c r="K84" s="730"/>
      <c r="L84" s="730"/>
      <c r="M84" s="730"/>
      <c r="N84" s="730"/>
      <c r="O84" s="730"/>
      <c r="P84" s="730"/>
      <c r="Q84" s="731"/>
    </row>
    <row r="85" spans="1:18" s="1" customFormat="1" x14ac:dyDescent="0.25">
      <c r="A85" s="335"/>
      <c r="B85" s="336" t="s">
        <v>30</v>
      </c>
      <c r="C85" s="337">
        <v>25772</v>
      </c>
      <c r="D85" s="337">
        <v>26014</v>
      </c>
      <c r="E85" s="337">
        <v>25549</v>
      </c>
      <c r="F85" s="337">
        <v>28142</v>
      </c>
      <c r="G85" s="337">
        <v>27486</v>
      </c>
      <c r="H85" s="337">
        <v>28579</v>
      </c>
      <c r="I85" s="337">
        <v>29065</v>
      </c>
      <c r="J85" s="337">
        <v>28682</v>
      </c>
      <c r="K85" s="337">
        <v>28486</v>
      </c>
      <c r="L85" s="337">
        <v>28797</v>
      </c>
      <c r="M85" s="337">
        <v>28909</v>
      </c>
      <c r="N85" s="337">
        <v>13951.22</v>
      </c>
      <c r="O85" s="338">
        <f t="shared" ref="O85:O90" si="60">SUM(C85:N85)</f>
        <v>319432.21999999997</v>
      </c>
      <c r="P85" s="336"/>
      <c r="Q85" s="339">
        <f t="shared" ref="Q85:Q90" si="61">(K85-J85)/K85</f>
        <v>-6.8805729130098992E-3</v>
      </c>
    </row>
    <row r="86" spans="1:18" s="1" customFormat="1" x14ac:dyDescent="0.25">
      <c r="A86" s="335"/>
      <c r="B86" s="336" t="s">
        <v>31</v>
      </c>
      <c r="C86" s="337">
        <v>10030</v>
      </c>
      <c r="D86" s="337">
        <v>14234</v>
      </c>
      <c r="E86" s="337">
        <v>10665</v>
      </c>
      <c r="F86" s="337">
        <v>11130</v>
      </c>
      <c r="G86" s="337">
        <v>7621</v>
      </c>
      <c r="H86" s="337">
        <v>10125</v>
      </c>
      <c r="I86" s="337">
        <v>11755</v>
      </c>
      <c r="J86" s="337">
        <v>9884</v>
      </c>
      <c r="K86" s="337">
        <v>11664</v>
      </c>
      <c r="L86" s="337">
        <v>15999</v>
      </c>
      <c r="M86" s="337">
        <v>10309</v>
      </c>
      <c r="N86" s="337">
        <v>8371</v>
      </c>
      <c r="O86" s="338">
        <f t="shared" si="60"/>
        <v>131787</v>
      </c>
      <c r="P86" s="336"/>
      <c r="Q86" s="339">
        <f t="shared" si="61"/>
        <v>0.15260631001371741</v>
      </c>
    </row>
    <row r="87" spans="1:18" s="1" customFormat="1" x14ac:dyDescent="0.25">
      <c r="A87" s="335"/>
      <c r="B87" s="336" t="s">
        <v>32</v>
      </c>
      <c r="C87" s="337">
        <v>229</v>
      </c>
      <c r="D87" s="337">
        <v>229</v>
      </c>
      <c r="E87" s="337">
        <v>368</v>
      </c>
      <c r="F87" s="337">
        <v>368</v>
      </c>
      <c r="G87" s="337">
        <v>368</v>
      </c>
      <c r="H87" s="337">
        <v>368</v>
      </c>
      <c r="I87" s="337">
        <v>368</v>
      </c>
      <c r="J87" s="337">
        <v>368</v>
      </c>
      <c r="K87" s="337">
        <v>638</v>
      </c>
      <c r="L87" s="337">
        <v>368</v>
      </c>
      <c r="M87" s="337">
        <v>620</v>
      </c>
      <c r="N87" s="337">
        <v>620</v>
      </c>
      <c r="O87" s="338">
        <f t="shared" si="60"/>
        <v>4912</v>
      </c>
      <c r="P87" s="336"/>
      <c r="Q87" s="339">
        <f t="shared" si="61"/>
        <v>0.42319749216300939</v>
      </c>
    </row>
    <row r="88" spans="1:18" s="1" customFormat="1" x14ac:dyDescent="0.25">
      <c r="A88" s="335"/>
      <c r="B88" s="336" t="s">
        <v>33</v>
      </c>
      <c r="C88" s="337">
        <v>1217.5999999999999</v>
      </c>
      <c r="D88" s="337">
        <v>1217.5999999999999</v>
      </c>
      <c r="E88" s="337">
        <v>1295.94</v>
      </c>
      <c r="F88" s="337">
        <v>1217.5999999999999</v>
      </c>
      <c r="G88" s="337">
        <v>1218</v>
      </c>
      <c r="H88" s="337">
        <v>1218</v>
      </c>
      <c r="I88" s="337">
        <v>1218</v>
      </c>
      <c r="J88" s="337">
        <v>1557</v>
      </c>
      <c r="K88" s="337">
        <v>1683</v>
      </c>
      <c r="L88" s="337">
        <v>1474.3</v>
      </c>
      <c r="M88" s="337">
        <v>1572</v>
      </c>
      <c r="N88" s="337">
        <v>1295</v>
      </c>
      <c r="O88" s="338">
        <f t="shared" si="60"/>
        <v>16184.039999999999</v>
      </c>
      <c r="P88" s="336"/>
      <c r="Q88" s="339">
        <f t="shared" si="61"/>
        <v>7.4866310160427801E-2</v>
      </c>
    </row>
    <row r="89" spans="1:18" s="1" customFormat="1" x14ac:dyDescent="0.25">
      <c r="A89" s="335"/>
      <c r="B89" s="336" t="s">
        <v>34</v>
      </c>
      <c r="C89" s="337">
        <v>9989</v>
      </c>
      <c r="D89" s="337">
        <v>31723</v>
      </c>
      <c r="E89" s="337">
        <v>23026</v>
      </c>
      <c r="F89" s="337">
        <v>57981</v>
      </c>
      <c r="G89" s="337">
        <v>22961</v>
      </c>
      <c r="H89" s="337">
        <v>40160</v>
      </c>
      <c r="I89" s="337">
        <v>19557</v>
      </c>
      <c r="J89" s="337">
        <v>22188</v>
      </c>
      <c r="K89" s="337">
        <v>18804</v>
      </c>
      <c r="L89" s="337">
        <v>43387</v>
      </c>
      <c r="M89" s="337">
        <v>18263</v>
      </c>
      <c r="N89" s="337">
        <v>13452</v>
      </c>
      <c r="O89" s="338">
        <f t="shared" si="60"/>
        <v>321491</v>
      </c>
      <c r="P89" s="336"/>
      <c r="Q89" s="339">
        <f t="shared" si="61"/>
        <v>-0.17996171027440969</v>
      </c>
    </row>
    <row r="90" spans="1:18" s="1" customFormat="1" x14ac:dyDescent="0.25">
      <c r="A90" s="335"/>
      <c r="B90" s="336" t="s">
        <v>35</v>
      </c>
      <c r="C90" s="337">
        <f t="shared" ref="C90:N90" si="62">SUM(C85:C89)</f>
        <v>47237.599999999999</v>
      </c>
      <c r="D90" s="337">
        <f t="shared" si="62"/>
        <v>73417.600000000006</v>
      </c>
      <c r="E90" s="337">
        <f t="shared" si="62"/>
        <v>60903.94</v>
      </c>
      <c r="F90" s="337">
        <f t="shared" si="62"/>
        <v>98838.6</v>
      </c>
      <c r="G90" s="337">
        <f t="shared" si="62"/>
        <v>59654</v>
      </c>
      <c r="H90" s="337">
        <f t="shared" si="62"/>
        <v>80450</v>
      </c>
      <c r="I90" s="337">
        <f t="shared" si="62"/>
        <v>61963</v>
      </c>
      <c r="J90" s="337">
        <f t="shared" si="62"/>
        <v>62679</v>
      </c>
      <c r="K90" s="337">
        <f t="shared" si="62"/>
        <v>61275</v>
      </c>
      <c r="L90" s="337">
        <f t="shared" si="62"/>
        <v>90025.3</v>
      </c>
      <c r="M90" s="337">
        <f t="shared" si="62"/>
        <v>59673</v>
      </c>
      <c r="N90" s="337">
        <f t="shared" si="62"/>
        <v>37689.22</v>
      </c>
      <c r="O90" s="338">
        <f t="shared" si="60"/>
        <v>793806.26</v>
      </c>
      <c r="P90" s="336"/>
      <c r="Q90" s="339">
        <f t="shared" si="61"/>
        <v>-2.291309669522644E-2</v>
      </c>
    </row>
    <row r="91" spans="1:18" s="1" customFormat="1" x14ac:dyDescent="0.25">
      <c r="A91" s="715" t="s">
        <v>95</v>
      </c>
      <c r="B91" s="340" t="s">
        <v>91</v>
      </c>
      <c r="C91" s="341">
        <v>1293.01</v>
      </c>
      <c r="D91" s="341">
        <v>1313.01</v>
      </c>
      <c r="E91" s="341">
        <v>1254.01</v>
      </c>
      <c r="F91" s="341">
        <v>1408.8600000000001</v>
      </c>
      <c r="G91" s="341">
        <v>1414.8600000000001</v>
      </c>
      <c r="H91" s="341">
        <v>1743.51</v>
      </c>
      <c r="I91" s="341">
        <v>1424.01</v>
      </c>
      <c r="J91" s="341">
        <v>1418.51</v>
      </c>
      <c r="K91" s="341">
        <v>1418.01</v>
      </c>
      <c r="L91" s="341">
        <v>1417.01</v>
      </c>
      <c r="M91" s="341">
        <v>1438.01</v>
      </c>
      <c r="N91" s="341">
        <v>1439.01</v>
      </c>
      <c r="O91" s="342"/>
      <c r="P91" s="343"/>
      <c r="Q91" s="344"/>
      <c r="R91" s="21"/>
    </row>
    <row r="92" spans="1:18" s="1" customFormat="1" ht="15.75" thickBot="1" x14ac:dyDescent="0.3">
      <c r="A92" s="716"/>
      <c r="B92" s="345" t="s">
        <v>92</v>
      </c>
      <c r="C92" s="346">
        <f>C90/C91</f>
        <v>36.533050788470312</v>
      </c>
      <c r="D92" s="346">
        <f t="shared" ref="D92:M92" si="63">D90/D91</f>
        <v>55.915491885058003</v>
      </c>
      <c r="E92" s="346">
        <f t="shared" si="63"/>
        <v>48.56734794778351</v>
      </c>
      <c r="F92" s="346">
        <f t="shared" si="63"/>
        <v>70.155018951492693</v>
      </c>
      <c r="G92" s="346">
        <f t="shared" si="63"/>
        <v>42.162475439266075</v>
      </c>
      <c r="H92" s="346">
        <f t="shared" si="63"/>
        <v>46.142551519635681</v>
      </c>
      <c r="I92" s="346">
        <f t="shared" si="63"/>
        <v>43.513037127548259</v>
      </c>
      <c r="J92" s="346">
        <f t="shared" si="63"/>
        <v>44.186505558649571</v>
      </c>
      <c r="K92" s="346">
        <f t="shared" si="63"/>
        <v>43.211966065119427</v>
      </c>
      <c r="L92" s="346">
        <f t="shared" si="63"/>
        <v>63.53187345184579</v>
      </c>
      <c r="M92" s="346">
        <f t="shared" si="63"/>
        <v>41.496929784911096</v>
      </c>
      <c r="N92" s="346">
        <f t="shared" ref="N92" si="64">N90/N91</f>
        <v>26.191075809063175</v>
      </c>
      <c r="O92" s="347"/>
      <c r="P92" s="348">
        <f>AVERAGE(C92:N92)</f>
        <v>46.800610360736961</v>
      </c>
      <c r="Q92" s="349"/>
      <c r="R92" s="21"/>
    </row>
    <row r="93" spans="1:18" s="1" customFormat="1" ht="21.75" thickBot="1" x14ac:dyDescent="0.4">
      <c r="A93" s="726" t="s">
        <v>0</v>
      </c>
      <c r="B93" s="727"/>
      <c r="C93" s="727"/>
      <c r="D93" s="727"/>
      <c r="E93" s="727"/>
      <c r="F93" s="727"/>
      <c r="G93" s="727"/>
      <c r="H93" s="727"/>
      <c r="I93" s="727"/>
      <c r="J93" s="727"/>
      <c r="K93" s="727"/>
      <c r="L93" s="727"/>
      <c r="M93" s="727"/>
      <c r="N93" s="727"/>
      <c r="O93" s="727"/>
      <c r="P93" s="727"/>
      <c r="Q93" s="728"/>
    </row>
    <row r="94" spans="1:18" s="1" customFormat="1" x14ac:dyDescent="0.25">
      <c r="A94" s="226"/>
      <c r="B94" s="227" t="s">
        <v>64</v>
      </c>
      <c r="C94" s="350">
        <f>('SUIV CA 17-18'!P3)-('SUVI RENTABILITE 16-17 '!C97)</f>
        <v>374456.32999999996</v>
      </c>
      <c r="D94" s="350">
        <f>('SUIV CA 17-18'!P4)-('SUVI RENTABILITE 16-17 '!D97)</f>
        <v>436585.95999999985</v>
      </c>
      <c r="E94" s="350">
        <f>('SUIV CA 17-18'!P5)-('SUVI RENTABILITE 16-17 '!E97)</f>
        <v>408513.70000000019</v>
      </c>
      <c r="F94" s="350">
        <f>('SUIV CA 17-18'!P6)-('SUVI RENTABILITE 16-17 '!F97)</f>
        <v>358369.55000000005</v>
      </c>
      <c r="G94" s="350">
        <f>('SUIV CA 17-18'!P7)-('SUVI RENTABILITE 16-17 '!G97)</f>
        <v>324439.63</v>
      </c>
      <c r="H94" s="350">
        <f>('SUIV CA 17-18'!P8)-('SUVI RENTABILITE 16-17 '!H97)</f>
        <v>414265.72999999986</v>
      </c>
      <c r="I94" s="350">
        <f>('SUIV CA 17-18'!P9)-('SUVI RENTABILITE 16-17 '!I97)</f>
        <v>496945.83999999997</v>
      </c>
      <c r="J94" s="350">
        <f>('SUIV CA 17-18'!P10)-('SUVI RENTABILITE 16-17 '!J97)</f>
        <v>400759.47999999992</v>
      </c>
      <c r="K94" s="350">
        <f>('SUIV CA 17-18'!P11)-('SUVI RENTABILITE 16-17 '!K97)</f>
        <v>433079.31000000017</v>
      </c>
      <c r="L94" s="350">
        <f>('SUIV CA 17-18'!P12)-('SUVI RENTABILITE 16-17 '!L97)</f>
        <v>506028.42</v>
      </c>
      <c r="M94" s="350">
        <f>('SUIV CA 17-18'!P13)-('SUVI RENTABILITE 16-17 '!M97)</f>
        <v>508899.93000000005</v>
      </c>
      <c r="N94" s="350">
        <v>324027</v>
      </c>
      <c r="O94" s="351">
        <f t="shared" ref="O94:O103" si="65">SUM(C94:N94)</f>
        <v>4986370.88</v>
      </c>
      <c r="P94" s="352">
        <f t="shared" ref="P94:P103" si="66">AVERAGE(C94:H94)</f>
        <v>386105.14999999997</v>
      </c>
      <c r="Q94" s="353">
        <f>(J94-I94)/J94</f>
        <v>-0.24001019264722087</v>
      </c>
    </row>
    <row r="95" spans="1:18" s="1" customFormat="1" x14ac:dyDescent="0.25">
      <c r="A95" s="226"/>
      <c r="B95" s="354" t="s">
        <v>90</v>
      </c>
      <c r="C95" s="355">
        <f t="shared" ref="C95:N95" si="67">C73+C45+C19</f>
        <v>1587.02</v>
      </c>
      <c r="D95" s="355">
        <f t="shared" si="67"/>
        <v>1094.5999999999999</v>
      </c>
      <c r="E95" s="355">
        <f t="shared" si="67"/>
        <v>1968.98</v>
      </c>
      <c r="F95" s="355">
        <f t="shared" si="67"/>
        <v>1591.9</v>
      </c>
      <c r="G95" s="355">
        <f t="shared" si="67"/>
        <v>1850.9</v>
      </c>
      <c r="H95" s="355">
        <f t="shared" si="67"/>
        <v>2171.3999999999996</v>
      </c>
      <c r="I95" s="355">
        <f t="shared" si="67"/>
        <v>2732.4</v>
      </c>
      <c r="J95" s="355">
        <f t="shared" si="67"/>
        <v>2044.39</v>
      </c>
      <c r="K95" s="355">
        <f t="shared" si="67"/>
        <v>1956.6000000000001</v>
      </c>
      <c r="L95" s="355">
        <f t="shared" si="67"/>
        <v>2092.8599999999997</v>
      </c>
      <c r="M95" s="355">
        <f t="shared" si="67"/>
        <v>2017.6</v>
      </c>
      <c r="N95" s="355">
        <f t="shared" si="67"/>
        <v>659.7</v>
      </c>
      <c r="O95" s="356">
        <f>SUM(C95:N95)</f>
        <v>21768.35</v>
      </c>
      <c r="P95" s="357">
        <f>AVERAGE(C95:N95)</f>
        <v>1814.0291666666665</v>
      </c>
      <c r="Q95" s="353"/>
    </row>
    <row r="96" spans="1:18" s="1" customFormat="1" x14ac:dyDescent="0.25">
      <c r="A96" s="226"/>
      <c r="B96" s="354" t="s">
        <v>89</v>
      </c>
      <c r="C96" s="358">
        <f>C97/C95</f>
        <v>40.494026540308255</v>
      </c>
      <c r="D96" s="358">
        <f t="shared" ref="D96:M96" si="68">D97/D95</f>
        <v>52.545267677690489</v>
      </c>
      <c r="E96" s="358">
        <f t="shared" si="68"/>
        <v>35.335630631088172</v>
      </c>
      <c r="F96" s="358">
        <f t="shared" si="68"/>
        <v>35.344186192600034</v>
      </c>
      <c r="G96" s="358">
        <f t="shared" si="68"/>
        <v>38.606623804635582</v>
      </c>
      <c r="H96" s="358">
        <f t="shared" si="68"/>
        <v>38.137496546007192</v>
      </c>
      <c r="I96" s="358">
        <f t="shared" si="68"/>
        <v>35.613014199970721</v>
      </c>
      <c r="J96" s="358">
        <f t="shared" si="68"/>
        <v>33.536414284945629</v>
      </c>
      <c r="K96" s="358">
        <f t="shared" si="68"/>
        <v>33.356720842277412</v>
      </c>
      <c r="L96" s="358">
        <f t="shared" si="68"/>
        <v>34.10986401383753</v>
      </c>
      <c r="M96" s="358">
        <f t="shared" si="68"/>
        <v>33.275674068199841</v>
      </c>
      <c r="N96" s="358"/>
      <c r="O96" s="351"/>
      <c r="P96" s="359">
        <f>AVERAGE(C96:M96)</f>
        <v>37.304992618323716</v>
      </c>
      <c r="Q96" s="353"/>
    </row>
    <row r="97" spans="1:17" s="1" customFormat="1" x14ac:dyDescent="0.25">
      <c r="A97" s="226"/>
      <c r="B97" s="360" t="s">
        <v>60</v>
      </c>
      <c r="C97" s="361">
        <f t="shared" ref="C97:H97" si="69">C75+C47+C21</f>
        <v>64264.83</v>
      </c>
      <c r="D97" s="361">
        <f t="shared" si="69"/>
        <v>57516.05</v>
      </c>
      <c r="E97" s="361">
        <f t="shared" si="69"/>
        <v>69575.149999999994</v>
      </c>
      <c r="F97" s="361">
        <f t="shared" si="69"/>
        <v>56264.409999999996</v>
      </c>
      <c r="G97" s="361">
        <f t="shared" si="69"/>
        <v>71457</v>
      </c>
      <c r="H97" s="361">
        <f t="shared" si="69"/>
        <v>82811.760000000009</v>
      </c>
      <c r="I97" s="361">
        <v>97309</v>
      </c>
      <c r="J97" s="361">
        <f>J75+J47+J21</f>
        <v>68561.509999999995</v>
      </c>
      <c r="K97" s="361">
        <f>K75+K47+K21</f>
        <v>65265.759999999995</v>
      </c>
      <c r="L97" s="361">
        <f>L75+L47+L21</f>
        <v>71387.17</v>
      </c>
      <c r="M97" s="361">
        <f>M75+M47+M21</f>
        <v>67137</v>
      </c>
      <c r="N97" s="361">
        <v>68845</v>
      </c>
      <c r="O97" s="362">
        <f>SUM(C97:N97)</f>
        <v>840394.64</v>
      </c>
      <c r="P97" s="363">
        <f t="shared" si="66"/>
        <v>66981.53333333334</v>
      </c>
      <c r="Q97" s="364"/>
    </row>
    <row r="98" spans="1:17" s="1" customFormat="1" ht="30" x14ac:dyDescent="0.25">
      <c r="A98" s="226"/>
      <c r="B98" s="365" t="s">
        <v>72</v>
      </c>
      <c r="C98" s="350">
        <f>C18+C44+C72</f>
        <v>-161644.543747494</v>
      </c>
      <c r="D98" s="350">
        <f t="shared" ref="D98:N98" si="70">D14+D40+D69</f>
        <v>120940.0936037926</v>
      </c>
      <c r="E98" s="350">
        <f t="shared" si="70"/>
        <v>107256.50232062701</v>
      </c>
      <c r="F98" s="350">
        <f t="shared" si="70"/>
        <v>38769.547657947551</v>
      </c>
      <c r="G98" s="350">
        <f t="shared" si="70"/>
        <v>38493.503069351907</v>
      </c>
      <c r="H98" s="350">
        <f t="shared" si="70"/>
        <v>76285.593892815072</v>
      </c>
      <c r="I98" s="350">
        <f t="shared" si="70"/>
        <v>191524.82494394528</v>
      </c>
      <c r="J98" s="350">
        <f t="shared" si="70"/>
        <v>-54806.981848635594</v>
      </c>
      <c r="K98" s="350">
        <f t="shared" si="70"/>
        <v>79243.528622167272</v>
      </c>
      <c r="L98" s="350">
        <f t="shared" si="70"/>
        <v>60853.370520393029</v>
      </c>
      <c r="M98" s="350">
        <f t="shared" si="70"/>
        <v>159495.19042482448</v>
      </c>
      <c r="N98" s="350">
        <f t="shared" si="70"/>
        <v>101989.85727169056</v>
      </c>
      <c r="O98" s="351">
        <f t="shared" si="65"/>
        <v>758400.48673142516</v>
      </c>
      <c r="P98" s="352">
        <f t="shared" si="66"/>
        <v>36683.449466173355</v>
      </c>
      <c r="Q98" s="353"/>
    </row>
    <row r="99" spans="1:17" s="1" customFormat="1" x14ac:dyDescent="0.25">
      <c r="A99" s="226"/>
      <c r="B99" s="360" t="s">
        <v>48</v>
      </c>
      <c r="C99" s="361">
        <v>23557</v>
      </c>
      <c r="D99" s="361">
        <v>23557</v>
      </c>
      <c r="E99" s="361">
        <v>23557</v>
      </c>
      <c r="F99" s="361">
        <v>23557</v>
      </c>
      <c r="G99" s="361">
        <v>23557</v>
      </c>
      <c r="H99" s="361">
        <v>23557</v>
      </c>
      <c r="I99" s="361">
        <v>23557</v>
      </c>
      <c r="J99" s="361">
        <v>23557</v>
      </c>
      <c r="K99" s="361">
        <v>23557</v>
      </c>
      <c r="L99" s="361">
        <v>23557</v>
      </c>
      <c r="M99" s="361">
        <v>23557</v>
      </c>
      <c r="N99" s="361">
        <v>23557</v>
      </c>
      <c r="O99" s="362">
        <f t="shared" si="65"/>
        <v>282684</v>
      </c>
      <c r="P99" s="363">
        <f t="shared" si="66"/>
        <v>23557</v>
      </c>
      <c r="Q99" s="353"/>
    </row>
    <row r="100" spans="1:17" s="1" customFormat="1" x14ac:dyDescent="0.25">
      <c r="A100" s="226"/>
      <c r="B100" s="360" t="s">
        <v>49</v>
      </c>
      <c r="C100" s="361">
        <v>3166</v>
      </c>
      <c r="D100" s="361">
        <v>3166</v>
      </c>
      <c r="E100" s="361">
        <v>3166</v>
      </c>
      <c r="F100" s="361">
        <v>3166</v>
      </c>
      <c r="G100" s="361">
        <v>3166</v>
      </c>
      <c r="H100" s="361">
        <v>3166</v>
      </c>
      <c r="I100" s="361">
        <v>3166</v>
      </c>
      <c r="J100" s="361">
        <v>3166</v>
      </c>
      <c r="K100" s="361">
        <v>3166</v>
      </c>
      <c r="L100" s="361">
        <v>3166</v>
      </c>
      <c r="M100" s="361">
        <v>3166</v>
      </c>
      <c r="N100" s="361">
        <v>3166</v>
      </c>
      <c r="O100" s="362">
        <f t="shared" si="65"/>
        <v>37992</v>
      </c>
      <c r="P100" s="363">
        <f t="shared" si="66"/>
        <v>3166</v>
      </c>
      <c r="Q100" s="353"/>
    </row>
    <row r="101" spans="1:17" s="1" customFormat="1" x14ac:dyDescent="0.25">
      <c r="A101" s="226"/>
      <c r="B101" s="360" t="s">
        <v>50</v>
      </c>
      <c r="C101" s="361">
        <v>3296</v>
      </c>
      <c r="D101" s="361">
        <v>3296</v>
      </c>
      <c r="E101" s="361">
        <v>3296</v>
      </c>
      <c r="F101" s="361">
        <v>3296</v>
      </c>
      <c r="G101" s="361">
        <v>3296</v>
      </c>
      <c r="H101" s="361">
        <v>3296</v>
      </c>
      <c r="I101" s="361">
        <v>3296</v>
      </c>
      <c r="J101" s="361">
        <v>3296</v>
      </c>
      <c r="K101" s="361">
        <v>3296</v>
      </c>
      <c r="L101" s="361">
        <v>3296</v>
      </c>
      <c r="M101" s="361">
        <v>3296</v>
      </c>
      <c r="N101" s="361">
        <v>3296</v>
      </c>
      <c r="O101" s="362">
        <f t="shared" si="65"/>
        <v>39552</v>
      </c>
      <c r="P101" s="363">
        <f t="shared" si="66"/>
        <v>3296</v>
      </c>
      <c r="Q101" s="353"/>
    </row>
    <row r="102" spans="1:17" s="1" customFormat="1" x14ac:dyDescent="0.25">
      <c r="A102" s="226"/>
      <c r="B102" s="360" t="s">
        <v>51</v>
      </c>
      <c r="C102" s="361">
        <v>412</v>
      </c>
      <c r="D102" s="361">
        <v>412</v>
      </c>
      <c r="E102" s="361">
        <v>412</v>
      </c>
      <c r="F102" s="361">
        <v>412</v>
      </c>
      <c r="G102" s="361">
        <v>412</v>
      </c>
      <c r="H102" s="361">
        <v>412</v>
      </c>
      <c r="I102" s="361">
        <v>412</v>
      </c>
      <c r="J102" s="361">
        <v>412</v>
      </c>
      <c r="K102" s="361">
        <v>412</v>
      </c>
      <c r="L102" s="361">
        <v>412</v>
      </c>
      <c r="M102" s="361">
        <v>412</v>
      </c>
      <c r="N102" s="361">
        <v>412</v>
      </c>
      <c r="O102" s="362">
        <f t="shared" si="65"/>
        <v>4944</v>
      </c>
      <c r="P102" s="363">
        <f t="shared" si="66"/>
        <v>412</v>
      </c>
      <c r="Q102" s="353"/>
    </row>
    <row r="103" spans="1:17" s="1" customFormat="1" x14ac:dyDescent="0.25">
      <c r="A103" s="226"/>
      <c r="B103" s="227" t="s">
        <v>52</v>
      </c>
      <c r="C103" s="350">
        <f t="shared" ref="C103:N103" si="71">C98-C99+C100-C102+C101</f>
        <v>-179151.543747494</v>
      </c>
      <c r="D103" s="350">
        <f t="shared" si="71"/>
        <v>103433.0936037926</v>
      </c>
      <c r="E103" s="350">
        <f t="shared" si="71"/>
        <v>89749.502320627013</v>
      </c>
      <c r="F103" s="350">
        <f t="shared" si="71"/>
        <v>21262.547657947551</v>
      </c>
      <c r="G103" s="350">
        <f t="shared" si="71"/>
        <v>20986.503069351907</v>
      </c>
      <c r="H103" s="350">
        <f t="shared" si="71"/>
        <v>58778.593892815072</v>
      </c>
      <c r="I103" s="350">
        <f t="shared" si="71"/>
        <v>174017.82494394528</v>
      </c>
      <c r="J103" s="350">
        <f t="shared" si="71"/>
        <v>-72313.981848635594</v>
      </c>
      <c r="K103" s="350">
        <f t="shared" si="71"/>
        <v>61736.528622167272</v>
      </c>
      <c r="L103" s="350">
        <f t="shared" si="71"/>
        <v>43346.370520393029</v>
      </c>
      <c r="M103" s="350">
        <f t="shared" si="71"/>
        <v>141988.19042482448</v>
      </c>
      <c r="N103" s="350">
        <f t="shared" si="71"/>
        <v>84482.857271690562</v>
      </c>
      <c r="O103" s="351">
        <f t="shared" si="65"/>
        <v>548316.48673142516</v>
      </c>
      <c r="P103" s="352">
        <f t="shared" si="66"/>
        <v>19176.449466173359</v>
      </c>
      <c r="Q103" s="353"/>
    </row>
    <row r="104" spans="1:17" s="1" customFormat="1" ht="15.75" thickBot="1" x14ac:dyDescent="0.3">
      <c r="A104" s="366"/>
      <c r="B104" s="367" t="s">
        <v>53</v>
      </c>
      <c r="C104" s="368">
        <f t="shared" ref="C104:N104" si="72">C80+C52+C26</f>
        <v>139.3831276057744</v>
      </c>
      <c r="D104" s="368">
        <f t="shared" si="72"/>
        <v>427.15113586133987</v>
      </c>
      <c r="E104" s="368">
        <f t="shared" si="72"/>
        <v>373.93896704006158</v>
      </c>
      <c r="F104" s="368">
        <f t="shared" si="72"/>
        <v>346.37783659545966</v>
      </c>
      <c r="G104" s="368">
        <f t="shared" si="72"/>
        <v>146.71709237836797</v>
      </c>
      <c r="H104" s="368">
        <f t="shared" si="72"/>
        <v>277.87033583634491</v>
      </c>
      <c r="I104" s="368">
        <f t="shared" si="72"/>
        <v>290.03750474575713</v>
      </c>
      <c r="J104" s="368">
        <f t="shared" si="72"/>
        <v>263.41699169706897</v>
      </c>
      <c r="K104" s="368">
        <f t="shared" si="72"/>
        <v>295.91257195290291</v>
      </c>
      <c r="L104" s="368">
        <f t="shared" si="72"/>
        <v>301.1106092373044</v>
      </c>
      <c r="M104" s="368">
        <f t="shared" si="72"/>
        <v>298.23597965768823</v>
      </c>
      <c r="N104" s="368">
        <f t="shared" si="72"/>
        <v>768.9012638065667</v>
      </c>
      <c r="O104" s="725">
        <f>AVERAGE(C104:H104)</f>
        <v>285.23974921955806</v>
      </c>
      <c r="P104" s="725"/>
      <c r="Q104" s="369"/>
    </row>
    <row r="105" spans="1:17" s="1" customFormat="1" ht="15.75" thickBot="1" x14ac:dyDescent="0.3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101"/>
      <c r="P105" s="21"/>
      <c r="Q105" s="21"/>
    </row>
    <row r="106" spans="1:17" s="1" customFormat="1" ht="16.5" thickBot="1" x14ac:dyDescent="0.3">
      <c r="A106" s="717" t="s">
        <v>77</v>
      </c>
      <c r="B106" s="718"/>
      <c r="C106" s="718"/>
      <c r="D106" s="718"/>
      <c r="E106" s="718"/>
      <c r="F106" s="718"/>
      <c r="G106" s="718"/>
      <c r="H106" s="718"/>
      <c r="I106" s="718"/>
      <c r="J106" s="718"/>
      <c r="K106" s="718"/>
      <c r="L106" s="718"/>
      <c r="M106" s="718"/>
      <c r="N106" s="718"/>
      <c r="O106" s="718"/>
      <c r="P106" s="718"/>
      <c r="Q106" s="719"/>
    </row>
    <row r="107" spans="1:17" s="1" customFormat="1" ht="15.75" x14ac:dyDescent="0.25">
      <c r="A107" s="87"/>
      <c r="B107" s="89" t="s">
        <v>87</v>
      </c>
      <c r="C107" s="107">
        <v>1306.2953509195402</v>
      </c>
      <c r="D107" s="107">
        <v>989.98500571264367</v>
      </c>
      <c r="E107" s="107">
        <v>1237.5156689999997</v>
      </c>
      <c r="F107" s="107">
        <v>2143.3562340459766</v>
      </c>
      <c r="G107" s="107">
        <v>1379.0517241379309</v>
      </c>
      <c r="H107" s="107">
        <v>2110.577597310345</v>
      </c>
      <c r="I107" s="107">
        <v>1497.5519919999999</v>
      </c>
      <c r="J107" s="107">
        <v>1196.3118549999997</v>
      </c>
      <c r="K107" s="107">
        <v>1497.5208989999999</v>
      </c>
      <c r="L107" s="107">
        <v>1714.8671269999995</v>
      </c>
      <c r="M107" s="107">
        <v>754.04082500000004</v>
      </c>
      <c r="N107" s="107">
        <v>709.35348899999997</v>
      </c>
      <c r="O107" s="103">
        <f>SUM(C107:N107)</f>
        <v>16536.427768126436</v>
      </c>
      <c r="P107" s="24">
        <f>AVERAGE(C107:M107)</f>
        <v>1438.8249344660396</v>
      </c>
      <c r="Q107" s="88"/>
    </row>
    <row r="108" spans="1:17" s="1" customFormat="1" x14ac:dyDescent="0.25">
      <c r="A108" s="27"/>
      <c r="B108" s="21" t="s">
        <v>54</v>
      </c>
      <c r="C108" s="108">
        <v>1389.3033509195402</v>
      </c>
      <c r="D108" s="108">
        <v>941.66500571264362</v>
      </c>
      <c r="E108" s="108">
        <v>1496.7156689999997</v>
      </c>
      <c r="F108" s="108">
        <v>1906.8762340459768</v>
      </c>
      <c r="G108" s="108">
        <v>1441.771724137931</v>
      </c>
      <c r="H108" s="108">
        <v>2008.1775973103449</v>
      </c>
      <c r="I108" s="108">
        <v>1534.3519919999999</v>
      </c>
      <c r="J108" s="108">
        <v>1400.4718549999998</v>
      </c>
      <c r="K108" s="109">
        <v>1615.2808989999999</v>
      </c>
      <c r="L108" s="109">
        <v>2171.8271269999996</v>
      </c>
      <c r="M108" s="109">
        <v>1230.840825</v>
      </c>
      <c r="N108" s="109">
        <v>724.073489</v>
      </c>
      <c r="O108" s="103">
        <f>SUM(C108:N108)</f>
        <v>17861.355768126432</v>
      </c>
      <c r="P108" s="24">
        <f>AVERAGE(C108:N108)</f>
        <v>1488.4463140105361</v>
      </c>
      <c r="Q108" s="26"/>
    </row>
    <row r="109" spans="1:17" s="1" customFormat="1" x14ac:dyDescent="0.25">
      <c r="A109" s="27"/>
      <c r="B109" s="21" t="s">
        <v>88</v>
      </c>
      <c r="C109" s="20">
        <f>C108-C107</f>
        <v>83.008000000000038</v>
      </c>
      <c r="D109" s="20">
        <f t="shared" ref="D109:N109" si="73">D108-D107+C109</f>
        <v>34.687999999999988</v>
      </c>
      <c r="E109" s="20">
        <f t="shared" si="73"/>
        <v>293.88800000000003</v>
      </c>
      <c r="F109" s="20">
        <f t="shared" si="73"/>
        <v>57.408000000000243</v>
      </c>
      <c r="G109" s="20">
        <f t="shared" si="73"/>
        <v>120.12800000000027</v>
      </c>
      <c r="H109" s="20">
        <f t="shared" si="73"/>
        <v>17.728000000000179</v>
      </c>
      <c r="I109" s="20">
        <f t="shared" si="73"/>
        <v>54.528000000000134</v>
      </c>
      <c r="J109" s="20">
        <f t="shared" si="73"/>
        <v>258.68800000000022</v>
      </c>
      <c r="K109" s="20">
        <f t="shared" si="73"/>
        <v>376.44800000000021</v>
      </c>
      <c r="L109" s="20">
        <f t="shared" si="73"/>
        <v>833.40800000000024</v>
      </c>
      <c r="M109" s="20">
        <f t="shared" si="73"/>
        <v>1310.2080000000001</v>
      </c>
      <c r="N109" s="20">
        <f t="shared" si="73"/>
        <v>1324.9280000000001</v>
      </c>
      <c r="O109" s="103"/>
      <c r="P109" s="24"/>
      <c r="Q109" s="26"/>
    </row>
    <row r="110" spans="1:17" s="1" customFormat="1" x14ac:dyDescent="0.25">
      <c r="A110" s="27"/>
      <c r="B110" s="21" t="s">
        <v>55</v>
      </c>
      <c r="C110" s="20">
        <v>310.08</v>
      </c>
      <c r="D110" s="20">
        <v>196.48000000000002</v>
      </c>
      <c r="E110" s="20">
        <v>449.28000000000003</v>
      </c>
      <c r="F110" s="20">
        <v>174.4</v>
      </c>
      <c r="G110" s="20">
        <v>198.4</v>
      </c>
      <c r="H110" s="20">
        <v>234.88</v>
      </c>
      <c r="I110" s="20">
        <f>567*0.64</f>
        <v>362.88</v>
      </c>
      <c r="J110" s="20">
        <f>526*0.64</f>
        <v>336.64</v>
      </c>
      <c r="K110" s="90">
        <f>514*0.64</f>
        <v>328.96</v>
      </c>
      <c r="L110" s="90">
        <f>864*0.64</f>
        <v>552.96</v>
      </c>
      <c r="M110" s="90">
        <f>872*0.64</f>
        <v>558.08000000000004</v>
      </c>
      <c r="N110" s="90">
        <f>344*0.64</f>
        <v>220.16</v>
      </c>
      <c r="O110" s="104">
        <f>SUM(C110:N110)</f>
        <v>3923.2</v>
      </c>
      <c r="P110" s="25">
        <f>SUM(C110:N110)</f>
        <v>3923.2</v>
      </c>
      <c r="Q110" s="26"/>
    </row>
    <row r="111" spans="1:17" s="1" customFormat="1" x14ac:dyDescent="0.25">
      <c r="A111" s="27"/>
      <c r="B111" s="21" t="s">
        <v>56</v>
      </c>
      <c r="C111" s="23">
        <f t="shared" ref="C111:H111" si="74">C108-C110+C113</f>
        <v>1306.2953509195404</v>
      </c>
      <c r="D111" s="23">
        <f t="shared" si="74"/>
        <v>989.98500571264367</v>
      </c>
      <c r="E111" s="23">
        <f t="shared" si="74"/>
        <v>1237.5156689999997</v>
      </c>
      <c r="F111" s="23">
        <f t="shared" si="74"/>
        <v>2143.3562340459766</v>
      </c>
      <c r="G111" s="23">
        <f t="shared" si="74"/>
        <v>1379.0517241379309</v>
      </c>
      <c r="H111" s="23">
        <f t="shared" si="74"/>
        <v>2110.577597310345</v>
      </c>
      <c r="I111" s="23">
        <f t="shared" ref="I111:N111" si="75">I108-I110+I113</f>
        <v>1497.5519919999997</v>
      </c>
      <c r="J111" s="23">
        <f t="shared" si="75"/>
        <v>1196.3118549999999</v>
      </c>
      <c r="K111" s="23">
        <f t="shared" si="75"/>
        <v>1497.5208989999999</v>
      </c>
      <c r="L111" s="23">
        <f t="shared" si="75"/>
        <v>1689.2671269999996</v>
      </c>
      <c r="M111" s="23">
        <f t="shared" si="75"/>
        <v>754.04082499999993</v>
      </c>
      <c r="N111" s="23">
        <f t="shared" si="75"/>
        <v>709.99348900000007</v>
      </c>
      <c r="O111" s="104">
        <f>SUM(C111:N111)</f>
        <v>16511.467768126437</v>
      </c>
      <c r="P111" s="25">
        <f>AVERAGE(C111:N111)</f>
        <v>1375.9556473438697</v>
      </c>
      <c r="Q111" s="26"/>
    </row>
    <row r="112" spans="1:17" s="1" customFormat="1" x14ac:dyDescent="0.25">
      <c r="A112" s="27"/>
      <c r="B112" s="21" t="s">
        <v>57</v>
      </c>
      <c r="C112" s="20">
        <v>3754.0352000000003</v>
      </c>
      <c r="D112" s="20">
        <v>2219.8688000000002</v>
      </c>
      <c r="E112" s="20">
        <v>1976.2303999999999</v>
      </c>
      <c r="F112" s="20">
        <v>1652.2368000000004</v>
      </c>
      <c r="G112" s="20">
        <v>916.16640000000018</v>
      </c>
      <c r="H112" s="20">
        <v>2095.6415999999999</v>
      </c>
      <c r="I112" s="20">
        <v>2583.9499999999998</v>
      </c>
      <c r="J112" s="20">
        <f>5768*0.64</f>
        <v>3691.52</v>
      </c>
      <c r="K112" s="90">
        <v>3691</v>
      </c>
      <c r="L112" s="90">
        <f>5222*0.64</f>
        <v>3342.08</v>
      </c>
      <c r="M112" s="90">
        <f>3023.18*0.64</f>
        <v>1934.8352</v>
      </c>
      <c r="N112" s="90">
        <f>140*0.64</f>
        <v>89.600000000000009</v>
      </c>
      <c r="O112" s="103">
        <f>SUM(C112:N112)</f>
        <v>27947.164400000001</v>
      </c>
      <c r="P112" s="24">
        <f>AVERAGE(C112:N112)</f>
        <v>2328.9303666666669</v>
      </c>
      <c r="Q112" s="26"/>
    </row>
    <row r="113" spans="1:17" s="1" customFormat="1" x14ac:dyDescent="0.25">
      <c r="A113" s="27"/>
      <c r="B113" s="21" t="s">
        <v>58</v>
      </c>
      <c r="C113" s="20">
        <v>227.072</v>
      </c>
      <c r="D113" s="20">
        <v>244.8</v>
      </c>
      <c r="E113" s="20">
        <v>190.08</v>
      </c>
      <c r="F113" s="20">
        <v>410.88</v>
      </c>
      <c r="G113" s="20">
        <v>135.68</v>
      </c>
      <c r="H113" s="20">
        <v>337.28000000000003</v>
      </c>
      <c r="I113" s="20">
        <f>509.5*0.64</f>
        <v>326.08</v>
      </c>
      <c r="J113" s="20">
        <f>207*0.64</f>
        <v>132.47999999999999</v>
      </c>
      <c r="K113" s="90">
        <f>330*0.64</f>
        <v>211.20000000000002</v>
      </c>
      <c r="L113" s="90">
        <f>110*0.64</f>
        <v>70.400000000000006</v>
      </c>
      <c r="M113" s="90">
        <f>127*0.64</f>
        <v>81.28</v>
      </c>
      <c r="N113" s="90">
        <f>322*0.64</f>
        <v>206.08</v>
      </c>
      <c r="O113" s="103">
        <f>SUM(C113:N113)</f>
        <v>2573.3119999999999</v>
      </c>
      <c r="P113" s="21"/>
      <c r="Q113" s="26"/>
    </row>
    <row r="114" spans="1:17" s="1" customFormat="1" ht="15.75" thickBot="1" x14ac:dyDescent="0.3">
      <c r="A114" s="29"/>
      <c r="B114" s="30" t="s">
        <v>59</v>
      </c>
      <c r="C114" s="36">
        <f t="shared" ref="C114:N114" si="76">C112-C113+C110</f>
        <v>3837.0432000000001</v>
      </c>
      <c r="D114" s="36">
        <f t="shared" si="76"/>
        <v>2171.5488000000005</v>
      </c>
      <c r="E114" s="36">
        <f t="shared" si="76"/>
        <v>2235.4304000000002</v>
      </c>
      <c r="F114" s="36">
        <f t="shared" si="76"/>
        <v>1415.7568000000006</v>
      </c>
      <c r="G114" s="36">
        <f>G112-G113+G110</f>
        <v>978.88640000000021</v>
      </c>
      <c r="H114" s="36">
        <f t="shared" si="76"/>
        <v>1993.2415999999998</v>
      </c>
      <c r="I114" s="36">
        <f t="shared" si="76"/>
        <v>2620.75</v>
      </c>
      <c r="J114" s="36">
        <f t="shared" si="76"/>
        <v>3895.68</v>
      </c>
      <c r="K114" s="36">
        <f t="shared" si="76"/>
        <v>3808.76</v>
      </c>
      <c r="L114" s="36">
        <f t="shared" si="76"/>
        <v>3824.64</v>
      </c>
      <c r="M114" s="36">
        <f t="shared" si="76"/>
        <v>2411.6352000000002</v>
      </c>
      <c r="N114" s="36">
        <f t="shared" si="76"/>
        <v>103.67999999999999</v>
      </c>
      <c r="O114" s="105">
        <f>SUM(C114:N114)</f>
        <v>29297.052400000004</v>
      </c>
      <c r="P114" s="37">
        <f>AVERAGE(C114:N114)</f>
        <v>2441.4210333333335</v>
      </c>
      <c r="Q114" s="28"/>
    </row>
    <row r="115" spans="1:17" s="1" customFormat="1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101"/>
      <c r="P115" s="21"/>
      <c r="Q115" s="21"/>
    </row>
    <row r="116" spans="1:17" s="1" customFormat="1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101"/>
      <c r="P116" s="21"/>
      <c r="Q116" s="21"/>
    </row>
    <row r="117" spans="1:17" s="1" customFormat="1" x14ac:dyDescent="0.25">
      <c r="A117" s="21"/>
      <c r="B117" s="21"/>
      <c r="C117" s="22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101"/>
      <c r="P117" s="21"/>
      <c r="Q117" s="21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P118" s="91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P123" s="2"/>
      <c r="Q123" s="2"/>
    </row>
    <row r="126" spans="1:17" x14ac:dyDescent="0.25">
      <c r="E126" s="19"/>
      <c r="F126" s="19"/>
      <c r="G126" s="19"/>
      <c r="H126" s="19"/>
      <c r="I126" s="19"/>
      <c r="J126" s="19"/>
    </row>
  </sheetData>
  <mergeCells count="17">
    <mergeCell ref="A53:A55"/>
    <mergeCell ref="A81:A83"/>
    <mergeCell ref="A91:A92"/>
    <mergeCell ref="A106:Q106"/>
    <mergeCell ref="A1:Q1"/>
    <mergeCell ref="A48:A52"/>
    <mergeCell ref="O104:P104"/>
    <mergeCell ref="A93:Q93"/>
    <mergeCell ref="A84:Q84"/>
    <mergeCell ref="A56:Q56"/>
    <mergeCell ref="A73:A80"/>
    <mergeCell ref="A5:A21"/>
    <mergeCell ref="A22:A26"/>
    <mergeCell ref="A31:A47"/>
    <mergeCell ref="A30:Q30"/>
    <mergeCell ref="A4:Q4"/>
    <mergeCell ref="A27:A29"/>
  </mergeCells>
  <pageMargins left="0" right="0" top="0" bottom="0" header="0" footer="0"/>
  <pageSetup paperSize="9" scale="64" fitToHeight="0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Y124"/>
  <sheetViews>
    <sheetView zoomScale="75" zoomScaleNormal="75" workbookViewId="0">
      <pane xSplit="4" ySplit="3" topLeftCell="G4" activePane="bottomRight" state="frozen"/>
      <selection pane="topRight" activeCell="C1" sqref="C1"/>
      <selection pane="bottomLeft" activeCell="A4" sqref="A4"/>
      <selection pane="bottomRight" activeCell="J15" sqref="J15"/>
    </sheetView>
  </sheetViews>
  <sheetFormatPr baseColWidth="10" defaultRowHeight="15" outlineLevelRow="1" outlineLevelCol="1" x14ac:dyDescent="0.25"/>
  <cols>
    <col min="1" max="1" width="11.42578125" customWidth="1"/>
    <col min="2" max="2" width="7.85546875" customWidth="1"/>
    <col min="3" max="3" width="10.5703125" customWidth="1"/>
    <col min="4" max="4" width="32.28515625" customWidth="1"/>
    <col min="5" max="5" width="12" customWidth="1"/>
    <col min="6" max="8" width="11.28515625" bestFit="1" customWidth="1"/>
    <col min="9" max="9" width="11.140625" customWidth="1"/>
    <col min="11" max="11" width="10.85546875" customWidth="1"/>
    <col min="12" max="12" width="11" customWidth="1"/>
    <col min="13" max="15" width="11.5703125" customWidth="1" outlineLevel="1"/>
    <col min="16" max="16" width="11" customWidth="1" outlineLevel="1"/>
    <col min="17" max="17" width="12.7109375" style="106" customWidth="1"/>
    <col min="18" max="18" width="12.7109375" style="2" customWidth="1"/>
    <col min="20" max="21" width="15.5703125" style="2" customWidth="1"/>
    <col min="22" max="22" width="24.85546875" bestFit="1" customWidth="1"/>
  </cols>
  <sheetData>
    <row r="1" spans="1:25" ht="19.5" thickBot="1" x14ac:dyDescent="0.35">
      <c r="C1" s="758" t="s">
        <v>102</v>
      </c>
      <c r="D1" s="759"/>
      <c r="E1" s="759"/>
      <c r="F1" s="759"/>
      <c r="G1" s="759"/>
      <c r="H1" s="759"/>
      <c r="I1" s="759"/>
      <c r="J1" s="759"/>
      <c r="K1" s="759"/>
      <c r="L1" s="759"/>
      <c r="M1" s="759"/>
      <c r="N1" s="759"/>
      <c r="O1" s="759"/>
      <c r="P1" s="759"/>
      <c r="Q1" s="759"/>
      <c r="R1" s="759"/>
      <c r="S1" s="759"/>
      <c r="T1" s="760"/>
      <c r="U1" s="656"/>
    </row>
    <row r="2" spans="1:25" ht="15.75" x14ac:dyDescent="0.25">
      <c r="C2" s="560"/>
      <c r="D2" s="561" t="s">
        <v>23</v>
      </c>
      <c r="E2" s="562">
        <v>20</v>
      </c>
      <c r="F2" s="562">
        <v>22</v>
      </c>
      <c r="G2" s="562">
        <v>21</v>
      </c>
      <c r="H2" s="562">
        <v>17</v>
      </c>
      <c r="I2" s="562">
        <v>20</v>
      </c>
      <c r="J2" s="562">
        <v>20</v>
      </c>
      <c r="K2" s="562">
        <v>22</v>
      </c>
      <c r="L2" s="562">
        <v>19</v>
      </c>
      <c r="M2" s="562">
        <v>17</v>
      </c>
      <c r="N2" s="562">
        <v>21</v>
      </c>
      <c r="O2" s="562">
        <v>22</v>
      </c>
      <c r="P2" s="562">
        <v>8</v>
      </c>
      <c r="Q2" s="563">
        <f>SUM(E2:P2)</f>
        <v>229</v>
      </c>
      <c r="R2" s="561"/>
      <c r="S2" s="561"/>
      <c r="T2" s="647"/>
      <c r="U2" s="657"/>
      <c r="V2" s="566" t="s">
        <v>145</v>
      </c>
      <c r="W2" s="438" t="s">
        <v>5</v>
      </c>
    </row>
    <row r="3" spans="1:25" ht="15.75" thickBot="1" x14ac:dyDescent="0.3">
      <c r="C3" s="564"/>
      <c r="D3" s="565" t="s">
        <v>24</v>
      </c>
      <c r="E3" s="565" t="s">
        <v>1</v>
      </c>
      <c r="F3" s="565" t="s">
        <v>2</v>
      </c>
      <c r="G3" s="565" t="s">
        <v>3</v>
      </c>
      <c r="H3" s="565" t="s">
        <v>4</v>
      </c>
      <c r="I3" s="565" t="s">
        <v>5</v>
      </c>
      <c r="J3" s="565" t="s">
        <v>6</v>
      </c>
      <c r="K3" s="565" t="s">
        <v>7</v>
      </c>
      <c r="L3" s="565" t="s">
        <v>8</v>
      </c>
      <c r="M3" s="565" t="s">
        <v>9</v>
      </c>
      <c r="N3" s="565" t="s">
        <v>10</v>
      </c>
      <c r="O3" s="565" t="s">
        <v>11</v>
      </c>
      <c r="P3" s="565" t="s">
        <v>15</v>
      </c>
      <c r="Q3" s="779" t="s">
        <v>155</v>
      </c>
      <c r="R3" s="779" t="s">
        <v>157</v>
      </c>
      <c r="S3" s="779" t="s">
        <v>25</v>
      </c>
      <c r="T3" s="779" t="s">
        <v>156</v>
      </c>
      <c r="U3" s="783" t="s">
        <v>156</v>
      </c>
      <c r="V3" s="367" t="s">
        <v>146</v>
      </c>
      <c r="W3" s="439" t="s">
        <v>4</v>
      </c>
    </row>
    <row r="4" spans="1:25" ht="15.75" thickBot="1" x14ac:dyDescent="0.3">
      <c r="C4" s="611"/>
      <c r="D4" s="612"/>
      <c r="E4" s="612">
        <v>5</v>
      </c>
      <c r="F4" s="612">
        <v>6</v>
      </c>
      <c r="G4" s="612">
        <v>7</v>
      </c>
      <c r="H4" s="612">
        <v>8</v>
      </c>
      <c r="I4" s="612">
        <v>9</v>
      </c>
      <c r="J4" s="612">
        <v>10</v>
      </c>
      <c r="K4" s="612">
        <v>11</v>
      </c>
      <c r="L4" s="612">
        <v>12</v>
      </c>
      <c r="M4" s="612">
        <v>13</v>
      </c>
      <c r="N4" s="612">
        <v>14</v>
      </c>
      <c r="O4" s="612">
        <v>15</v>
      </c>
      <c r="P4" s="612">
        <v>16</v>
      </c>
      <c r="Q4" s="780"/>
      <c r="R4" s="780"/>
      <c r="S4" s="780"/>
      <c r="T4" s="779"/>
      <c r="U4" s="783"/>
    </row>
    <row r="5" spans="1:25" s="1" customFormat="1" ht="16.5" customHeight="1" thickBot="1" x14ac:dyDescent="0.35">
      <c r="C5" s="784" t="s">
        <v>26</v>
      </c>
      <c r="D5" s="785"/>
      <c r="E5" s="785"/>
      <c r="F5" s="785"/>
      <c r="G5" s="785"/>
      <c r="H5" s="785"/>
      <c r="I5" s="785"/>
      <c r="J5" s="785"/>
      <c r="K5" s="785"/>
      <c r="L5" s="785"/>
      <c r="M5" s="785"/>
      <c r="N5" s="785"/>
      <c r="O5" s="785"/>
      <c r="P5" s="785"/>
      <c r="Q5" s="785"/>
      <c r="R5" s="785"/>
      <c r="S5" s="785"/>
      <c r="T5" s="785"/>
      <c r="U5" s="786"/>
    </row>
    <row r="6" spans="1:25" s="1" customFormat="1" x14ac:dyDescent="0.25">
      <c r="A6" s="601" t="str">
        <f t="shared" ref="A6:A37" si="0">$W$3</f>
        <v>décembre</v>
      </c>
      <c r="B6" s="1" t="str">
        <f t="shared" ref="B6:B30" si="1">$W$2</f>
        <v>janvier</v>
      </c>
      <c r="C6" s="761" t="s">
        <v>27</v>
      </c>
      <c r="D6" s="446" t="s">
        <v>63</v>
      </c>
      <c r="E6" s="426">
        <v>121438</v>
      </c>
      <c r="F6" s="426">
        <v>149287</v>
      </c>
      <c r="G6" s="426">
        <v>116694</v>
      </c>
      <c r="H6" s="426">
        <v>89984</v>
      </c>
      <c r="I6" s="426">
        <v>141706</v>
      </c>
      <c r="J6" s="426"/>
      <c r="K6" s="426"/>
      <c r="L6" s="426"/>
      <c r="M6" s="426"/>
      <c r="N6" s="426"/>
      <c r="O6" s="426"/>
      <c r="P6" s="568"/>
      <c r="Q6" s="567">
        <f>SUMIF(E6:P6,"&lt;&gt;"&amp;"",E6:P6)</f>
        <v>619109</v>
      </c>
      <c r="R6" s="567">
        <f>SUM('SUVI RENTABILITE 16-17 '!C5:G5)</f>
        <v>448752.15</v>
      </c>
      <c r="S6" s="456">
        <f>AVERAGEIF(E6:P6,"&lt;&gt;"&amp;"",E6:P6)</f>
        <v>123821.8</v>
      </c>
      <c r="T6" s="638">
        <f t="shared" ref="T6:T30" si="2">IFERROR((VLOOKUP($W$2,A6:P6,HLOOKUP($W$2,$E$3:$P$4,2,FALSE))-VLOOKUP($W$3,A6:P6,HLOOKUP($W$3,$E$3:$P$4,2,FALSE)))/(VLOOKUP($W$3,A6:P6,HLOOKUP($W$3,$E$3:$P$4,2,FALSE))),"")</f>
        <v>0.57479107396870555</v>
      </c>
      <c r="U6" s="614">
        <f>(Q6-R6)/R6</f>
        <v>0.37962347367026533</v>
      </c>
      <c r="V6" s="637"/>
      <c r="X6"/>
      <c r="Y6"/>
    </row>
    <row r="7" spans="1:25" s="1" customFormat="1" x14ac:dyDescent="0.25">
      <c r="A7" s="601" t="str">
        <f t="shared" si="0"/>
        <v>décembre</v>
      </c>
      <c r="B7" s="1" t="str">
        <f t="shared" si="1"/>
        <v>janvier</v>
      </c>
      <c r="C7" s="762"/>
      <c r="D7" s="447" t="s">
        <v>28</v>
      </c>
      <c r="E7" s="452">
        <f>($Q$8/$Q$111)</f>
        <v>90.050130375581247</v>
      </c>
      <c r="F7" s="452">
        <f t="shared" ref="F7:P7" si="3">($Q$8/$Q$111)</f>
        <v>90.050130375581247</v>
      </c>
      <c r="G7" s="452">
        <f t="shared" si="3"/>
        <v>90.050130375581247</v>
      </c>
      <c r="H7" s="452">
        <f t="shared" si="3"/>
        <v>90.050130375581247</v>
      </c>
      <c r="I7" s="452">
        <f t="shared" si="3"/>
        <v>90.050130375581247</v>
      </c>
      <c r="J7" s="452">
        <f t="shared" si="3"/>
        <v>90.050130375581247</v>
      </c>
      <c r="K7" s="452">
        <f t="shared" si="3"/>
        <v>90.050130375581247</v>
      </c>
      <c r="L7" s="452">
        <f t="shared" si="3"/>
        <v>90.050130375581247</v>
      </c>
      <c r="M7" s="452">
        <f t="shared" si="3"/>
        <v>90.050130375581247</v>
      </c>
      <c r="N7" s="452">
        <f t="shared" si="3"/>
        <v>90.050130375581247</v>
      </c>
      <c r="O7" s="452">
        <f t="shared" si="3"/>
        <v>90.050130375581247</v>
      </c>
      <c r="P7" s="569">
        <f t="shared" si="3"/>
        <v>90.050130375581247</v>
      </c>
      <c r="Q7" s="453">
        <f t="shared" ref="Q7:Q18" si="4">SUMIF(E7:P7,"&lt;&gt;"&amp;"",E7:P7)</f>
        <v>1080.6015645069749</v>
      </c>
      <c r="R7" s="453"/>
      <c r="S7" s="457">
        <f t="shared" ref="S7:S18" si="5">AVERAGEIF(E7:P7,"&lt;&gt;"&amp;"",E7:P7)</f>
        <v>90.050130375581247</v>
      </c>
      <c r="T7" s="638">
        <f t="shared" si="2"/>
        <v>0</v>
      </c>
      <c r="U7" s="658"/>
      <c r="W7" s="1">
        <f>MATCH(I3,A7:P7,0)</f>
        <v>2</v>
      </c>
      <c r="X7"/>
      <c r="Y7"/>
    </row>
    <row r="8" spans="1:25" s="1" customFormat="1" x14ac:dyDescent="0.25">
      <c r="A8" s="601" t="str">
        <f t="shared" si="0"/>
        <v>décembre</v>
      </c>
      <c r="B8" s="1" t="str">
        <f t="shared" si="1"/>
        <v>janvier</v>
      </c>
      <c r="C8" s="762"/>
      <c r="D8" s="448" t="s">
        <v>29</v>
      </c>
      <c r="E8" s="423">
        <f>41483.23+13572.54</f>
        <v>55055.770000000004</v>
      </c>
      <c r="F8" s="423">
        <v>96430</v>
      </c>
      <c r="G8" s="423">
        <v>89850</v>
      </c>
      <c r="H8" s="423">
        <v>138938</v>
      </c>
      <c r="I8" s="423">
        <v>165861</v>
      </c>
      <c r="J8" s="423"/>
      <c r="K8" s="423"/>
      <c r="L8" s="423"/>
      <c r="M8" s="423"/>
      <c r="N8" s="423"/>
      <c r="O8" s="423"/>
      <c r="P8" s="570"/>
      <c r="Q8" s="453">
        <f t="shared" si="4"/>
        <v>546134.77</v>
      </c>
      <c r="R8" s="453">
        <f>SUM('SUVI RENTABILITE 16-17 '!C7:G7)</f>
        <v>540734</v>
      </c>
      <c r="S8" s="457">
        <f t="shared" si="5"/>
        <v>109226.954</v>
      </c>
      <c r="T8" s="638">
        <f t="shared" si="2"/>
        <v>0.19377708042436195</v>
      </c>
      <c r="U8" s="614">
        <f>(Q8-R8)/R8</f>
        <v>9.9878498485392424E-3</v>
      </c>
      <c r="X8"/>
      <c r="Y8"/>
    </row>
    <row r="9" spans="1:25" s="1" customFormat="1" x14ac:dyDescent="0.25">
      <c r="A9" s="601" t="str">
        <f t="shared" si="0"/>
        <v>décembre</v>
      </c>
      <c r="B9" s="1" t="str">
        <f t="shared" si="1"/>
        <v>janvier</v>
      </c>
      <c r="C9" s="762"/>
      <c r="D9" s="447" t="s">
        <v>143</v>
      </c>
      <c r="E9" s="424">
        <v>26262.95</v>
      </c>
      <c r="F9" s="424">
        <v>28894</v>
      </c>
      <c r="G9" s="424">
        <v>27162</v>
      </c>
      <c r="H9" s="424">
        <v>25691</v>
      </c>
      <c r="I9" s="424">
        <v>28885</v>
      </c>
      <c r="J9" s="424"/>
      <c r="K9" s="424"/>
      <c r="L9" s="424"/>
      <c r="M9" s="424"/>
      <c r="N9" s="424"/>
      <c r="O9" s="424"/>
      <c r="P9" s="571"/>
      <c r="Q9" s="453">
        <f t="shared" si="4"/>
        <v>136894.95000000001</v>
      </c>
      <c r="R9" s="453">
        <f>SUM('SUVI RENTABILITE 16-17 '!C8:G8)</f>
        <v>121737</v>
      </c>
      <c r="S9" s="457">
        <f t="shared" si="5"/>
        <v>27378.99</v>
      </c>
      <c r="T9" s="638">
        <f t="shared" si="2"/>
        <v>0.12432369312210502</v>
      </c>
      <c r="U9" s="614">
        <f t="shared" ref="U9:U12" si="6">(Q9-R9)/R9</f>
        <v>0.12451391113630213</v>
      </c>
      <c r="X9"/>
      <c r="Y9"/>
    </row>
    <row r="10" spans="1:25" s="1" customFormat="1" x14ac:dyDescent="0.25">
      <c r="A10" s="601" t="str">
        <f t="shared" si="0"/>
        <v>décembre</v>
      </c>
      <c r="B10" s="1" t="str">
        <f t="shared" si="1"/>
        <v>janvier</v>
      </c>
      <c r="C10" s="762"/>
      <c r="D10" s="447" t="s">
        <v>32</v>
      </c>
      <c r="E10" s="424">
        <v>11496</v>
      </c>
      <c r="F10" s="424">
        <v>12231</v>
      </c>
      <c r="G10" s="424">
        <v>15565</v>
      </c>
      <c r="H10" s="424">
        <v>12231</v>
      </c>
      <c r="I10" s="424">
        <v>13598</v>
      </c>
      <c r="J10" s="424"/>
      <c r="K10" s="424"/>
      <c r="L10" s="424"/>
      <c r="M10" s="424"/>
      <c r="N10" s="424"/>
      <c r="O10" s="424"/>
      <c r="P10" s="571"/>
      <c r="Q10" s="453">
        <f t="shared" si="4"/>
        <v>65121</v>
      </c>
      <c r="R10" s="453"/>
      <c r="S10" s="457">
        <f t="shared" si="5"/>
        <v>13024.2</v>
      </c>
      <c r="T10" s="638">
        <f t="shared" si="2"/>
        <v>0.11176518682037447</v>
      </c>
      <c r="U10" s="614"/>
      <c r="X10"/>
      <c r="Y10"/>
    </row>
    <row r="11" spans="1:25" s="1" customFormat="1" x14ac:dyDescent="0.25">
      <c r="A11" s="601" t="str">
        <f t="shared" si="0"/>
        <v>décembre</v>
      </c>
      <c r="B11" s="1" t="str">
        <f t="shared" si="1"/>
        <v>janvier</v>
      </c>
      <c r="C11" s="762"/>
      <c r="D11" s="447" t="s">
        <v>33</v>
      </c>
      <c r="E11" s="424">
        <v>0</v>
      </c>
      <c r="F11" s="424">
        <v>0</v>
      </c>
      <c r="G11" s="424"/>
      <c r="H11" s="424"/>
      <c r="I11" s="424"/>
      <c r="J11" s="424"/>
      <c r="K11" s="424"/>
      <c r="L11" s="424"/>
      <c r="M11" s="424"/>
      <c r="N11" s="424"/>
      <c r="O11" s="424"/>
      <c r="P11" s="571"/>
      <c r="Q11" s="453">
        <f t="shared" si="4"/>
        <v>0</v>
      </c>
      <c r="R11" s="453"/>
      <c r="S11" s="457">
        <f t="shared" si="5"/>
        <v>0</v>
      </c>
      <c r="T11" s="638" t="str">
        <f t="shared" si="2"/>
        <v/>
      </c>
      <c r="U11" s="614"/>
      <c r="X11"/>
      <c r="Y11"/>
    </row>
    <row r="12" spans="1:25" s="1" customFormat="1" x14ac:dyDescent="0.25">
      <c r="A12" s="601" t="str">
        <f t="shared" si="0"/>
        <v>décembre</v>
      </c>
      <c r="B12" s="1" t="str">
        <f t="shared" si="1"/>
        <v>janvier</v>
      </c>
      <c r="C12" s="762"/>
      <c r="D12" s="447" t="s">
        <v>34</v>
      </c>
      <c r="E12" s="424">
        <v>6137</v>
      </c>
      <c r="F12" s="424">
        <f>5298+2399</f>
        <v>7697</v>
      </c>
      <c r="G12" s="424">
        <f>5586+2536</f>
        <v>8122</v>
      </c>
      <c r="H12" s="424">
        <v>8648</v>
      </c>
      <c r="I12" s="424">
        <v>8492</v>
      </c>
      <c r="J12" s="424"/>
      <c r="K12" s="424"/>
      <c r="L12" s="424"/>
      <c r="M12" s="424"/>
      <c r="N12" s="424"/>
      <c r="O12" s="424"/>
      <c r="P12" s="571"/>
      <c r="Q12" s="453">
        <f t="shared" si="4"/>
        <v>39096</v>
      </c>
      <c r="R12" s="453">
        <f>SUM('SUVI RENTABILITE 16-17 '!C12:G12)</f>
        <v>51074</v>
      </c>
      <c r="S12" s="457">
        <f t="shared" si="5"/>
        <v>7819.2</v>
      </c>
      <c r="T12" s="638">
        <f t="shared" si="2"/>
        <v>-1.8038852913968548E-2</v>
      </c>
      <c r="U12" s="614">
        <f t="shared" si="6"/>
        <v>-0.2345224576105259</v>
      </c>
      <c r="X12"/>
      <c r="Y12"/>
    </row>
    <row r="13" spans="1:25" s="1" customFormat="1" x14ac:dyDescent="0.25">
      <c r="A13" s="601" t="str">
        <f t="shared" si="0"/>
        <v>décembre</v>
      </c>
      <c r="B13" s="1" t="str">
        <f t="shared" si="1"/>
        <v>janvier</v>
      </c>
      <c r="C13" s="762"/>
      <c r="D13" s="447" t="s">
        <v>35</v>
      </c>
      <c r="E13" s="452">
        <f>SUM(E8:E12)</f>
        <v>98951.72</v>
      </c>
      <c r="F13" s="452">
        <f t="shared" ref="F13:P13" si="7">SUM(F8:F12)</f>
        <v>145252</v>
      </c>
      <c r="G13" s="452">
        <f>SUM(G8:G12)</f>
        <v>140699</v>
      </c>
      <c r="H13" s="452">
        <f>SUM(H8:H12)</f>
        <v>185508</v>
      </c>
      <c r="I13" s="452">
        <f t="shared" si="7"/>
        <v>216836</v>
      </c>
      <c r="J13" s="452">
        <f t="shared" si="7"/>
        <v>0</v>
      </c>
      <c r="K13" s="452">
        <f t="shared" si="7"/>
        <v>0</v>
      </c>
      <c r="L13" s="452">
        <f t="shared" si="7"/>
        <v>0</v>
      </c>
      <c r="M13" s="452">
        <f t="shared" si="7"/>
        <v>0</v>
      </c>
      <c r="N13" s="452">
        <f t="shared" si="7"/>
        <v>0</v>
      </c>
      <c r="O13" s="452">
        <f t="shared" si="7"/>
        <v>0</v>
      </c>
      <c r="P13" s="569">
        <f t="shared" si="7"/>
        <v>0</v>
      </c>
      <c r="Q13" s="453">
        <f t="shared" si="4"/>
        <v>787246.72</v>
      </c>
      <c r="R13" s="453">
        <f>SUM('SUVI RENTABILITE 16-17 '!C13:G13)</f>
        <v>784882</v>
      </c>
      <c r="S13" s="457">
        <f t="shared" si="5"/>
        <v>65603.893333333326</v>
      </c>
      <c r="T13" s="638">
        <f t="shared" si="2"/>
        <v>0.16887681393794338</v>
      </c>
      <c r="U13" s="659">
        <f>(Q13-R13)/R13</f>
        <v>3.0128350503642229E-3</v>
      </c>
      <c r="X13"/>
      <c r="Y13"/>
    </row>
    <row r="14" spans="1:25" s="1" customFormat="1" ht="28.5" x14ac:dyDescent="0.25">
      <c r="A14" s="601" t="str">
        <f t="shared" si="0"/>
        <v>décembre</v>
      </c>
      <c r="B14" s="1" t="str">
        <f t="shared" si="1"/>
        <v>janvier</v>
      </c>
      <c r="C14" s="762"/>
      <c r="D14" s="449" t="s">
        <v>69</v>
      </c>
      <c r="E14" s="453">
        <f>E6-(E13)+E21</f>
        <v>37985.58</v>
      </c>
      <c r="F14" s="453">
        <f>F6-(F13)+F21</f>
        <v>23207</v>
      </c>
      <c r="G14" s="453">
        <f>G6-(G13)+G21</f>
        <v>-2122.5</v>
      </c>
      <c r="H14" s="453">
        <f>H6-(H13)+H21</f>
        <v>-78115.56</v>
      </c>
      <c r="I14" s="453">
        <f>I6-(I13)+I21</f>
        <v>-75130</v>
      </c>
      <c r="J14" s="453">
        <f t="shared" ref="J14:P14" si="8">J6-(J13)+J21</f>
        <v>0</v>
      </c>
      <c r="K14" s="453">
        <f t="shared" si="8"/>
        <v>0</v>
      </c>
      <c r="L14" s="453">
        <f t="shared" si="8"/>
        <v>0</v>
      </c>
      <c r="M14" s="453">
        <f t="shared" si="8"/>
        <v>0</v>
      </c>
      <c r="N14" s="453">
        <f t="shared" si="8"/>
        <v>0</v>
      </c>
      <c r="O14" s="453">
        <f t="shared" si="8"/>
        <v>0</v>
      </c>
      <c r="P14" s="572">
        <f t="shared" si="8"/>
        <v>0</v>
      </c>
      <c r="Q14" s="453">
        <f t="shared" si="4"/>
        <v>-94175.48</v>
      </c>
      <c r="R14" s="453"/>
      <c r="S14" s="457">
        <f>AVERAGEIF(E14:P14,"&lt;&gt;"&amp;"",E14:P14)</f>
        <v>-7847.956666666666</v>
      </c>
      <c r="T14" s="638">
        <f t="shared" si="2"/>
        <v>-3.8219786173202853E-2</v>
      </c>
      <c r="U14" s="614"/>
      <c r="X14"/>
      <c r="Y14"/>
    </row>
    <row r="15" spans="1:25" s="1" customFormat="1" ht="45" x14ac:dyDescent="0.25">
      <c r="A15" s="601" t="str">
        <f t="shared" si="0"/>
        <v>décembre</v>
      </c>
      <c r="B15" s="1" t="str">
        <f t="shared" si="1"/>
        <v>janvier</v>
      </c>
      <c r="C15" s="762"/>
      <c r="D15" s="449" t="s">
        <v>139</v>
      </c>
      <c r="E15" s="453">
        <f>E14-((-E110*E7+(E113*E33)))</f>
        <v>45151.093901528708</v>
      </c>
      <c r="F15" s="453">
        <f t="shared" ref="F15:G15" si="9">F14-((-F110*F7+(F113*F33)))</f>
        <v>28743.339622574022</v>
      </c>
      <c r="G15" s="453">
        <f t="shared" si="9"/>
        <v>11714.354394480064</v>
      </c>
      <c r="H15" s="453">
        <f>H14-((-H110*H7+(H113*H33)))</f>
        <v>-68468.806136743442</v>
      </c>
      <c r="I15" s="453"/>
      <c r="J15" s="453"/>
      <c r="K15" s="453"/>
      <c r="L15" s="453"/>
      <c r="M15" s="453"/>
      <c r="N15" s="453"/>
      <c r="O15" s="453"/>
      <c r="P15" s="572"/>
      <c r="Q15" s="453">
        <f t="shared" si="4"/>
        <v>17139.981781839349</v>
      </c>
      <c r="R15" s="453"/>
      <c r="S15" s="457">
        <f t="shared" si="5"/>
        <v>4284.9954454598374</v>
      </c>
      <c r="T15" s="638">
        <f t="shared" si="2"/>
        <v>-1</v>
      </c>
      <c r="U15" s="614"/>
      <c r="X15"/>
      <c r="Y15"/>
    </row>
    <row r="16" spans="1:25" s="1" customFormat="1" x14ac:dyDescent="0.25">
      <c r="A16" s="601" t="str">
        <f t="shared" si="0"/>
        <v>décembre</v>
      </c>
      <c r="B16" s="1" t="str">
        <f t="shared" si="1"/>
        <v>janvier</v>
      </c>
      <c r="C16" s="762"/>
      <c r="D16" s="447" t="s">
        <v>36</v>
      </c>
      <c r="E16" s="452">
        <f>E17*E90</f>
        <v>14560.577437783721</v>
      </c>
      <c r="F16" s="452">
        <f t="shared" ref="F16" si="10">F17*F90</f>
        <v>19734.169248417013</v>
      </c>
      <c r="G16" s="452">
        <f>(IFERROR(G17*G90,""))</f>
        <v>20046.631783645807</v>
      </c>
      <c r="H16" s="452">
        <f t="shared" ref="H16:P16" si="11">(IFERROR(H17*H90,""))</f>
        <v>35730.84331724573</v>
      </c>
      <c r="I16" s="452">
        <f>(IFERROR(I17*I90,""))</f>
        <v>30802.766161223084</v>
      </c>
      <c r="J16" s="452" t="str">
        <f t="shared" si="11"/>
        <v/>
      </c>
      <c r="K16" s="452" t="str">
        <f t="shared" si="11"/>
        <v/>
      </c>
      <c r="L16" s="452" t="str">
        <f t="shared" si="11"/>
        <v/>
      </c>
      <c r="M16" s="452" t="str">
        <f t="shared" si="11"/>
        <v/>
      </c>
      <c r="N16" s="452" t="str">
        <f t="shared" si="11"/>
        <v/>
      </c>
      <c r="O16" s="452" t="str">
        <f t="shared" si="11"/>
        <v/>
      </c>
      <c r="P16" s="569" t="str">
        <f t="shared" si="11"/>
        <v/>
      </c>
      <c r="Q16" s="453">
        <f t="shared" si="4"/>
        <v>120874.98794831536</v>
      </c>
      <c r="R16" s="453"/>
      <c r="S16" s="457">
        <f t="shared" si="5"/>
        <v>24174.997589663071</v>
      </c>
      <c r="T16" s="638">
        <f t="shared" si="2"/>
        <v>-0.13792221785160264</v>
      </c>
      <c r="U16" s="614"/>
      <c r="X16"/>
      <c r="Y16"/>
    </row>
    <row r="17" spans="1:25" s="1" customFormat="1" x14ac:dyDescent="0.25">
      <c r="A17" s="601" t="str">
        <f t="shared" si="0"/>
        <v>décembre</v>
      </c>
      <c r="B17" s="1" t="str">
        <f t="shared" si="1"/>
        <v>janvier</v>
      </c>
      <c r="C17" s="762"/>
      <c r="D17" s="447" t="s">
        <v>103</v>
      </c>
      <c r="E17" s="454">
        <f>E13/(E13+E39+E68+E90)</f>
        <v>0.23494332681375946</v>
      </c>
      <c r="F17" s="454">
        <f>F13/(F13+F39+F68+F90)</f>
        <v>0.26574068822688912</v>
      </c>
      <c r="G17" s="454">
        <f>IFERROR(G13/(G13+G39+G68+G90),"")</f>
        <v>0.2709260576493156</v>
      </c>
      <c r="H17" s="454">
        <f t="shared" ref="H17:P17" si="12">IFERROR(H13/(H13+H39+H68+H90),"")</f>
        <v>0.39474179786388996</v>
      </c>
      <c r="I17" s="454">
        <f>IFERROR(I13/(I13+I39+I68+I90),"")</f>
        <v>0.34803812439237869</v>
      </c>
      <c r="J17" s="454" t="str">
        <f t="shared" si="12"/>
        <v/>
      </c>
      <c r="K17" s="454" t="str">
        <f t="shared" si="12"/>
        <v/>
      </c>
      <c r="L17" s="454" t="str">
        <f t="shared" si="12"/>
        <v/>
      </c>
      <c r="M17" s="454" t="str">
        <f t="shared" si="12"/>
        <v/>
      </c>
      <c r="N17" s="454" t="str">
        <f t="shared" si="12"/>
        <v/>
      </c>
      <c r="O17" s="454" t="str">
        <f t="shared" si="12"/>
        <v/>
      </c>
      <c r="P17" s="573" t="str">
        <f t="shared" si="12"/>
        <v/>
      </c>
      <c r="Q17" s="453">
        <f t="shared" si="4"/>
        <v>1.5143899949462327</v>
      </c>
      <c r="R17" s="453"/>
      <c r="S17" s="457">
        <f t="shared" si="5"/>
        <v>0.30287799898924656</v>
      </c>
      <c r="T17" s="638">
        <f t="shared" si="2"/>
        <v>-0.11831448740478977</v>
      </c>
      <c r="U17" s="614"/>
      <c r="X17"/>
      <c r="Y17"/>
    </row>
    <row r="18" spans="1:25" s="1" customFormat="1" ht="30" x14ac:dyDescent="0.25">
      <c r="A18" s="601" t="str">
        <f t="shared" si="0"/>
        <v>décembre</v>
      </c>
      <c r="B18" s="1" t="str">
        <f t="shared" si="1"/>
        <v>janvier</v>
      </c>
      <c r="C18" s="762"/>
      <c r="D18" s="449" t="s">
        <v>70</v>
      </c>
      <c r="E18" s="455">
        <f>E15-E16</f>
        <v>30590.516463744985</v>
      </c>
      <c r="F18" s="455">
        <f t="shared" ref="F18" si="13">F15-F16</f>
        <v>9009.1703741570091</v>
      </c>
      <c r="G18" s="455">
        <f>IFERROR(G15-G16,"")</f>
        <v>-8332.2773891657434</v>
      </c>
      <c r="H18" s="455">
        <f t="shared" ref="H18:P18" si="14">IFERROR(H15-H16,"")</f>
        <v>-104199.64945398917</v>
      </c>
      <c r="I18" s="455">
        <f>IFERROR(I15-I16,"")</f>
        <v>-30802.766161223084</v>
      </c>
      <c r="J18" s="455" t="str">
        <f t="shared" si="14"/>
        <v/>
      </c>
      <c r="K18" s="455" t="str">
        <f t="shared" si="14"/>
        <v/>
      </c>
      <c r="L18" s="455" t="str">
        <f t="shared" si="14"/>
        <v/>
      </c>
      <c r="M18" s="455" t="str">
        <f t="shared" si="14"/>
        <v/>
      </c>
      <c r="N18" s="455" t="str">
        <f t="shared" si="14"/>
        <v/>
      </c>
      <c r="O18" s="455" t="str">
        <f t="shared" si="14"/>
        <v/>
      </c>
      <c r="P18" s="649" t="str">
        <f t="shared" si="14"/>
        <v/>
      </c>
      <c r="Q18" s="453">
        <f t="shared" si="4"/>
        <v>-103735.006166476</v>
      </c>
      <c r="R18" s="453"/>
      <c r="S18" s="457">
        <f t="shared" si="5"/>
        <v>-20747.001233295199</v>
      </c>
      <c r="T18" s="638">
        <f t="shared" si="2"/>
        <v>-0.70438704618843762</v>
      </c>
      <c r="U18" s="614"/>
      <c r="X18"/>
      <c r="Y18"/>
    </row>
    <row r="19" spans="1:25" s="1" customFormat="1" x14ac:dyDescent="0.25">
      <c r="A19" s="601" t="str">
        <f t="shared" si="0"/>
        <v>décembre</v>
      </c>
      <c r="B19" s="1" t="str">
        <f t="shared" si="1"/>
        <v>janvier</v>
      </c>
      <c r="C19" s="762"/>
      <c r="D19" s="450" t="s">
        <v>61</v>
      </c>
      <c r="E19" s="431">
        <v>453.06</v>
      </c>
      <c r="F19" s="431">
        <v>543</v>
      </c>
      <c r="G19" s="431">
        <v>637.27</v>
      </c>
      <c r="H19" s="431">
        <v>497.13</v>
      </c>
      <c r="I19" s="431"/>
      <c r="J19" s="431"/>
      <c r="K19" s="431"/>
      <c r="L19" s="431"/>
      <c r="M19" s="431"/>
      <c r="N19" s="431"/>
      <c r="O19" s="431"/>
      <c r="P19" s="432"/>
      <c r="Q19" s="459">
        <f>SUMIF(E19:P19,"&lt;&gt;"&amp;"",E19:P19)</f>
        <v>2130.46</v>
      </c>
      <c r="R19" s="622">
        <f>SUM('SUVI RENTABILITE 16-17 '!C19:G19)</f>
        <v>1815</v>
      </c>
      <c r="S19" s="460">
        <f t="shared" ref="S19:S23" si="15">AVERAGE(E19:P19)</f>
        <v>532.61500000000001</v>
      </c>
      <c r="T19" s="650">
        <f t="shared" si="2"/>
        <v>-1</v>
      </c>
      <c r="U19" s="660">
        <f>(Q19-R19)/R19</f>
        <v>0.17380716253443529</v>
      </c>
    </row>
    <row r="20" spans="1:25" s="1" customFormat="1" x14ac:dyDescent="0.25">
      <c r="A20" s="601" t="str">
        <f t="shared" si="0"/>
        <v>décembre</v>
      </c>
      <c r="B20" s="1" t="str">
        <f t="shared" si="1"/>
        <v>janvier</v>
      </c>
      <c r="C20" s="762"/>
      <c r="D20" s="451" t="s">
        <v>89</v>
      </c>
      <c r="E20" s="458">
        <f>E21/E19</f>
        <v>34.210259126826465</v>
      </c>
      <c r="F20" s="458">
        <f t="shared" ref="F20" si="16">F21/F19</f>
        <v>35.307550644567222</v>
      </c>
      <c r="G20" s="458">
        <f>IFERROR(G21/G19,"")</f>
        <v>34.337878764103131</v>
      </c>
      <c r="H20" s="458">
        <f t="shared" ref="H20:P20" si="17">IFERROR(H21/H19,"")</f>
        <v>35.017882646390277</v>
      </c>
      <c r="I20" s="458" t="str">
        <f t="shared" si="17"/>
        <v/>
      </c>
      <c r="J20" s="458" t="str">
        <f t="shared" si="17"/>
        <v/>
      </c>
      <c r="K20" s="458" t="str">
        <f t="shared" si="17"/>
        <v/>
      </c>
      <c r="L20" s="458" t="str">
        <f t="shared" si="17"/>
        <v/>
      </c>
      <c r="M20" s="458" t="str">
        <f t="shared" si="17"/>
        <v/>
      </c>
      <c r="N20" s="458" t="str">
        <f t="shared" si="17"/>
        <v/>
      </c>
      <c r="O20" s="458" t="str">
        <f t="shared" si="17"/>
        <v/>
      </c>
      <c r="P20" s="458" t="str">
        <f t="shared" si="17"/>
        <v/>
      </c>
      <c r="Q20" s="461">
        <f>Q21/Q19</f>
        <v>34.7165588652216</v>
      </c>
      <c r="R20" s="623">
        <f>R21/R19</f>
        <v>38.124435261707994</v>
      </c>
      <c r="S20" s="458">
        <f>AVERAGE(E20:R20)</f>
        <v>35.285760884802777</v>
      </c>
      <c r="T20" s="638" t="str">
        <f t="shared" si="2"/>
        <v/>
      </c>
      <c r="U20" s="659">
        <f>(Q20-R20)/R20</f>
        <v>-8.9388245965947438E-2</v>
      </c>
    </row>
    <row r="21" spans="1:25" s="1" customFormat="1" x14ac:dyDescent="0.25">
      <c r="A21" s="601" t="str">
        <f t="shared" si="0"/>
        <v>décembre</v>
      </c>
      <c r="B21" s="1" t="str">
        <f t="shared" si="1"/>
        <v>janvier</v>
      </c>
      <c r="C21" s="763"/>
      <c r="D21" s="451" t="s">
        <v>60</v>
      </c>
      <c r="E21" s="602">
        <v>15499.3</v>
      </c>
      <c r="F21" s="602">
        <v>19172</v>
      </c>
      <c r="G21" s="602">
        <v>21882.5</v>
      </c>
      <c r="H21" s="602">
        <v>17408.439999999999</v>
      </c>
      <c r="I21" s="602"/>
      <c r="J21" s="602"/>
      <c r="K21" s="602"/>
      <c r="L21" s="602"/>
      <c r="M21" s="602"/>
      <c r="N21" s="602"/>
      <c r="O21" s="602"/>
      <c r="P21" s="602"/>
      <c r="Q21" s="603">
        <f>SUMIF(E21:P21,"&lt;&gt;"&amp;"",E21:P21)</f>
        <v>73962.240000000005</v>
      </c>
      <c r="R21" s="624">
        <f>SUM('SUVI RENTABILITE 16-17 '!C21:F21)</f>
        <v>69195.850000000006</v>
      </c>
      <c r="S21" s="604">
        <f>AVERAGE(E21:P21)</f>
        <v>18490.560000000001</v>
      </c>
      <c r="T21" s="638">
        <f t="shared" si="2"/>
        <v>-1</v>
      </c>
      <c r="U21" s="659">
        <f>(Q21-R21)/R21</f>
        <v>6.8882599173216305E-2</v>
      </c>
    </row>
    <row r="22" spans="1:25" s="1" customFormat="1" x14ac:dyDescent="0.25">
      <c r="A22" s="601" t="str">
        <f t="shared" si="0"/>
        <v>décembre</v>
      </c>
      <c r="B22" s="1" t="str">
        <f t="shared" si="1"/>
        <v>janvier</v>
      </c>
      <c r="C22" s="764" t="s">
        <v>38</v>
      </c>
      <c r="D22" s="651" t="s">
        <v>39</v>
      </c>
      <c r="E22" s="605">
        <v>595</v>
      </c>
      <c r="F22" s="605">
        <v>735</v>
      </c>
      <c r="G22" s="605">
        <v>841</v>
      </c>
      <c r="H22" s="605">
        <v>564</v>
      </c>
      <c r="I22" s="605">
        <v>924</v>
      </c>
      <c r="J22" s="606"/>
      <c r="K22" s="605"/>
      <c r="L22" s="605"/>
      <c r="M22" s="605"/>
      <c r="N22" s="605"/>
      <c r="O22" s="605"/>
      <c r="P22" s="605"/>
      <c r="Q22" s="607">
        <f t="shared" ref="Q22:Q25" si="18">SUM(E22:P22)</f>
        <v>3659</v>
      </c>
      <c r="R22" s="607">
        <f>SUM('SUVI RENTABILITE 16-17 '!C22:G22)</f>
        <v>3086</v>
      </c>
      <c r="S22" s="608">
        <f t="shared" si="15"/>
        <v>731.8</v>
      </c>
      <c r="T22" s="652">
        <f t="shared" si="2"/>
        <v>0.63829787234042556</v>
      </c>
      <c r="U22" s="615">
        <f>(Q22-R22)/R22</f>
        <v>0.18567725210628647</v>
      </c>
    </row>
    <row r="23" spans="1:25" s="1" customFormat="1" x14ac:dyDescent="0.25">
      <c r="A23" s="601" t="str">
        <f t="shared" si="0"/>
        <v>décembre</v>
      </c>
      <c r="B23" s="1" t="str">
        <f t="shared" si="1"/>
        <v>janvier</v>
      </c>
      <c r="C23" s="765"/>
      <c r="D23" s="441" t="s">
        <v>40</v>
      </c>
      <c r="E23" s="463">
        <f t="shared" ref="E23:P23" si="19">E6/E2</f>
        <v>6071.9</v>
      </c>
      <c r="F23" s="463">
        <f t="shared" si="19"/>
        <v>6785.772727272727</v>
      </c>
      <c r="G23" s="463">
        <f t="shared" si="19"/>
        <v>5556.8571428571431</v>
      </c>
      <c r="H23" s="463">
        <f t="shared" si="19"/>
        <v>5293.1764705882351</v>
      </c>
      <c r="I23" s="463">
        <f t="shared" si="19"/>
        <v>7085.3</v>
      </c>
      <c r="J23" s="463">
        <f t="shared" si="19"/>
        <v>0</v>
      </c>
      <c r="K23" s="463">
        <f t="shared" si="19"/>
        <v>0</v>
      </c>
      <c r="L23" s="463">
        <f t="shared" si="19"/>
        <v>0</v>
      </c>
      <c r="M23" s="463">
        <f t="shared" si="19"/>
        <v>0</v>
      </c>
      <c r="N23" s="463">
        <f t="shared" si="19"/>
        <v>0</v>
      </c>
      <c r="O23" s="463">
        <f t="shared" si="19"/>
        <v>0</v>
      </c>
      <c r="P23" s="463">
        <f t="shared" si="19"/>
        <v>0</v>
      </c>
      <c r="Q23" s="442">
        <f t="shared" si="18"/>
        <v>30793.006340718101</v>
      </c>
      <c r="R23" s="625"/>
      <c r="S23" s="443">
        <f t="shared" si="15"/>
        <v>2566.0838617265085</v>
      </c>
      <c r="T23" s="639">
        <f t="shared" si="2"/>
        <v>0.33857241287339979</v>
      </c>
      <c r="U23" s="616"/>
    </row>
    <row r="24" spans="1:25" s="1" customFormat="1" x14ac:dyDescent="0.25">
      <c r="A24" s="601" t="str">
        <f t="shared" si="0"/>
        <v>décembre</v>
      </c>
      <c r="B24" s="1" t="str">
        <f t="shared" si="1"/>
        <v>janvier</v>
      </c>
      <c r="C24" s="765"/>
      <c r="D24" s="441" t="s">
        <v>41</v>
      </c>
      <c r="E24" s="463">
        <f>E6/E22</f>
        <v>204.09747899159663</v>
      </c>
      <c r="F24" s="463">
        <f t="shared" ref="F24" si="20">F6/F22</f>
        <v>203.11156462585035</v>
      </c>
      <c r="G24" s="463">
        <f>IFERROR(G6/G22,"")</f>
        <v>138.75624256837099</v>
      </c>
      <c r="H24" s="463">
        <f t="shared" ref="H24:P24" si="21">IFERROR(H6/H22,"")</f>
        <v>159.54609929078015</v>
      </c>
      <c r="I24" s="463">
        <f t="shared" si="21"/>
        <v>153.36147186147187</v>
      </c>
      <c r="J24" s="463" t="str">
        <f>IFERROR(J6/J22,"")</f>
        <v/>
      </c>
      <c r="K24" s="463" t="str">
        <f t="shared" si="21"/>
        <v/>
      </c>
      <c r="L24" s="463" t="str">
        <f t="shared" si="21"/>
        <v/>
      </c>
      <c r="M24" s="463" t="str">
        <f t="shared" si="21"/>
        <v/>
      </c>
      <c r="N24" s="463" t="str">
        <f t="shared" si="21"/>
        <v/>
      </c>
      <c r="O24" s="463" t="str">
        <f t="shared" si="21"/>
        <v/>
      </c>
      <c r="P24" s="463" t="str">
        <f t="shared" si="21"/>
        <v/>
      </c>
      <c r="Q24" s="442">
        <f t="shared" si="18"/>
        <v>858.87285733806993</v>
      </c>
      <c r="R24" s="625"/>
      <c r="S24" s="443">
        <f>AVERAGE(E24:H24)</f>
        <v>176.37784636914952</v>
      </c>
      <c r="T24" s="639">
        <f t="shared" si="2"/>
        <v>-3.8763889915205692E-2</v>
      </c>
      <c r="U24" s="616"/>
    </row>
    <row r="25" spans="1:25" s="1" customFormat="1" x14ac:dyDescent="0.25">
      <c r="A25" s="601" t="str">
        <f t="shared" si="0"/>
        <v>décembre</v>
      </c>
      <c r="B25" s="1" t="str">
        <f t="shared" si="1"/>
        <v>janvier</v>
      </c>
      <c r="C25" s="765"/>
      <c r="D25" s="441" t="s">
        <v>42</v>
      </c>
      <c r="E25" s="464">
        <f>(((E13-E8-E21)/E22)+E7)-(E110/E7)+(E113/E33)</f>
        <v>138.54358915172284</v>
      </c>
      <c r="F25" s="464">
        <f t="shared" ref="F25" si="22">(((F13-F8-F21)/F22)+F7)-(F110/F7)+(F113/F33)</f>
        <v>131.08045696959149</v>
      </c>
      <c r="G25" s="464">
        <f>IFERROR(((G13-G8-G21)/G22)+G7-(G110/G7)+(G113/G33),"")</f>
        <v>123.85338953642665</v>
      </c>
      <c r="H25" s="464">
        <f t="shared" ref="H25:P25" si="23">IFERROR(((H13-H8-H21)/H22)+H7-(H110/H7)+(H113/H33),"")</f>
        <v>140.92668932020845</v>
      </c>
      <c r="I25" s="464">
        <f t="shared" si="23"/>
        <v>145.21787929333016</v>
      </c>
      <c r="J25" s="464" t="str">
        <f>IFERROR(((J13-J8-J21)/J22)+J7-(J110/J7)+(J113/J33),"")</f>
        <v/>
      </c>
      <c r="K25" s="464" t="str">
        <f t="shared" si="23"/>
        <v/>
      </c>
      <c r="L25" s="464" t="str">
        <f t="shared" si="23"/>
        <v/>
      </c>
      <c r="M25" s="464" t="str">
        <f t="shared" si="23"/>
        <v/>
      </c>
      <c r="N25" s="464" t="str">
        <f t="shared" si="23"/>
        <v/>
      </c>
      <c r="O25" s="464" t="str">
        <f t="shared" si="23"/>
        <v/>
      </c>
      <c r="P25" s="464" t="str">
        <f t="shared" si="23"/>
        <v/>
      </c>
      <c r="Q25" s="442">
        <f t="shared" si="18"/>
        <v>679.62200427127959</v>
      </c>
      <c r="R25" s="625"/>
      <c r="S25" s="443">
        <f>AVERAGE(E25:H25)</f>
        <v>133.60103124448736</v>
      </c>
      <c r="T25" s="639">
        <f t="shared" si="2"/>
        <v>3.0449803325553325E-2</v>
      </c>
      <c r="U25" s="616"/>
    </row>
    <row r="26" spans="1:25" s="1" customFormat="1" x14ac:dyDescent="0.25">
      <c r="A26" s="601" t="str">
        <f t="shared" si="0"/>
        <v>décembre</v>
      </c>
      <c r="B26" s="1" t="str">
        <f t="shared" si="1"/>
        <v>janvier</v>
      </c>
      <c r="C26" s="765"/>
      <c r="D26" s="462" t="s">
        <v>144</v>
      </c>
      <c r="E26" s="440">
        <f>E24-E25</f>
        <v>65.55388983987379</v>
      </c>
      <c r="F26" s="440">
        <f t="shared" ref="F26" si="24">F24-F25</f>
        <v>72.031107656258854</v>
      </c>
      <c r="G26" s="440">
        <f>IFERROR(G24-G25,"")</f>
        <v>14.902853031944346</v>
      </c>
      <c r="H26" s="440">
        <f t="shared" ref="H26:P26" si="25">IFERROR(H24-H25,"")</f>
        <v>18.619409970571695</v>
      </c>
      <c r="I26" s="440">
        <f t="shared" si="25"/>
        <v>8.1435925681417132</v>
      </c>
      <c r="J26" s="440" t="str">
        <f t="shared" si="25"/>
        <v/>
      </c>
      <c r="K26" s="440" t="str">
        <f t="shared" si="25"/>
        <v/>
      </c>
      <c r="L26" s="440" t="str">
        <f t="shared" si="25"/>
        <v/>
      </c>
      <c r="M26" s="440" t="str">
        <f t="shared" si="25"/>
        <v/>
      </c>
      <c r="N26" s="440" t="str">
        <f t="shared" si="25"/>
        <v/>
      </c>
      <c r="O26" s="440" t="str">
        <f t="shared" si="25"/>
        <v/>
      </c>
      <c r="P26" s="440" t="str">
        <f t="shared" si="25"/>
        <v/>
      </c>
      <c r="Q26" s="444"/>
      <c r="R26" s="440"/>
      <c r="S26" s="445">
        <f>S24-S25</f>
        <v>42.776815124662164</v>
      </c>
      <c r="T26" s="639">
        <f t="shared" si="2"/>
        <v>-0.56262885982892019</v>
      </c>
      <c r="U26" s="616"/>
    </row>
    <row r="27" spans="1:25" s="1" customFormat="1" x14ac:dyDescent="0.25">
      <c r="A27" s="601" t="str">
        <f t="shared" si="0"/>
        <v>décembre</v>
      </c>
      <c r="B27" s="1" t="str">
        <f t="shared" si="1"/>
        <v>janvier</v>
      </c>
      <c r="C27" s="597"/>
      <c r="D27" s="653" t="s">
        <v>43</v>
      </c>
      <c r="E27" s="440">
        <f>E24-(((E13-E8-E21)/E22)+E7)-(E110/E7)+(E113/E33)-(E16/E22)</f>
        <v>42.618324303444822</v>
      </c>
      <c r="F27" s="440">
        <f t="shared" ref="F27" si="26">F24-(((F13-F8-F21)/F22)+F7)-(F110/F7)+(F113/F33)-(F16/F22)</f>
        <v>46.562278873643976</v>
      </c>
      <c r="G27" s="440">
        <f>IFERROR(G24-(((G13-G8-G21)/G22)+G7)-(G110/G7)+(G113/G33)-(G16/G22),"")</f>
        <v>-10.213139685182716</v>
      </c>
      <c r="H27" s="440">
        <f t="shared" ref="H27:P27" si="27">IFERROR(H24-(((H13-H8-H21)/H22)+H7)-(H110/H7)+(H113/H33)-(H16/H22),"")</f>
        <v>-46.389818447347189</v>
      </c>
      <c r="I27" s="440">
        <f t="shared" si="27"/>
        <v>-25.192734446168984</v>
      </c>
      <c r="J27" s="440" t="str">
        <f t="shared" si="27"/>
        <v/>
      </c>
      <c r="K27" s="440" t="str">
        <f t="shared" si="27"/>
        <v/>
      </c>
      <c r="L27" s="440" t="str">
        <f t="shared" si="27"/>
        <v/>
      </c>
      <c r="M27" s="440" t="str">
        <f t="shared" si="27"/>
        <v/>
      </c>
      <c r="N27" s="440" t="str">
        <f t="shared" si="27"/>
        <v/>
      </c>
      <c r="O27" s="440" t="str">
        <f t="shared" si="27"/>
        <v/>
      </c>
      <c r="P27" s="440" t="str">
        <f t="shared" si="27"/>
        <v/>
      </c>
      <c r="Q27" s="444"/>
      <c r="R27" s="440"/>
      <c r="S27" s="445"/>
      <c r="T27" s="639">
        <f t="shared" si="2"/>
        <v>-0.4569339719498377</v>
      </c>
      <c r="U27" s="616"/>
    </row>
    <row r="28" spans="1:25" s="1" customFormat="1" x14ac:dyDescent="0.25">
      <c r="A28" s="601" t="str">
        <f t="shared" si="0"/>
        <v>décembre</v>
      </c>
      <c r="B28" s="1" t="str">
        <f t="shared" si="1"/>
        <v>janvier</v>
      </c>
      <c r="C28" s="766" t="s">
        <v>93</v>
      </c>
      <c r="D28" s="654" t="s">
        <v>91</v>
      </c>
      <c r="E28" s="609">
        <v>1553</v>
      </c>
      <c r="F28" s="609">
        <v>1894.2</v>
      </c>
      <c r="G28" s="609">
        <v>1931.45</v>
      </c>
      <c r="H28" s="609">
        <v>1772.02</v>
      </c>
      <c r="I28" s="609">
        <v>1865.9</v>
      </c>
      <c r="J28" s="609"/>
      <c r="K28" s="609"/>
      <c r="L28" s="609"/>
      <c r="M28" s="609"/>
      <c r="N28" s="609"/>
      <c r="O28" s="609"/>
      <c r="P28" s="609"/>
      <c r="Q28" s="648">
        <f>SUM(E28:P28)</f>
        <v>9016.57</v>
      </c>
      <c r="R28" s="626">
        <f>SUM('SUVI RENTABILITE 16-17 '!C27:G27)</f>
        <v>8429</v>
      </c>
      <c r="S28" s="610"/>
      <c r="T28" s="655">
        <f t="shared" si="2"/>
        <v>5.2979086014830597E-2</v>
      </c>
      <c r="U28" s="617">
        <f>(Q28-R28)/R28</f>
        <v>6.970815043302879E-2</v>
      </c>
    </row>
    <row r="29" spans="1:25" s="1" customFormat="1" x14ac:dyDescent="0.25">
      <c r="A29" s="601" t="str">
        <f t="shared" si="0"/>
        <v>décembre</v>
      </c>
      <c r="B29" s="1" t="str">
        <f t="shared" si="1"/>
        <v>janvier</v>
      </c>
      <c r="C29" s="767"/>
      <c r="D29" s="32" t="s">
        <v>96</v>
      </c>
      <c r="E29" s="31">
        <f t="shared" ref="E29:F29" si="28">E6/E28</f>
        <v>78.195750160978747</v>
      </c>
      <c r="F29" s="31">
        <f t="shared" si="28"/>
        <v>78.812691373666979</v>
      </c>
      <c r="G29" s="31">
        <f>IFERROR(G6/G28,"")</f>
        <v>60.417820808201093</v>
      </c>
      <c r="H29" s="31">
        <f>IFERROR(H6/H28,"")</f>
        <v>50.780465231769391</v>
      </c>
      <c r="I29" s="31">
        <f t="shared" ref="I29:P29" si="29">IFERROR(I6/I28,"")</f>
        <v>75.945120317273165</v>
      </c>
      <c r="J29" s="31" t="str">
        <f t="shared" si="29"/>
        <v/>
      </c>
      <c r="K29" s="31" t="str">
        <f t="shared" si="29"/>
        <v/>
      </c>
      <c r="L29" s="31" t="str">
        <f t="shared" si="29"/>
        <v/>
      </c>
      <c r="M29" s="31" t="str">
        <f t="shared" si="29"/>
        <v/>
      </c>
      <c r="N29" s="31" t="str">
        <f t="shared" si="29"/>
        <v/>
      </c>
      <c r="O29" s="31" t="str">
        <f t="shared" si="29"/>
        <v/>
      </c>
      <c r="P29" s="31" t="str">
        <f t="shared" si="29"/>
        <v/>
      </c>
      <c r="Q29" s="110"/>
      <c r="R29" s="627"/>
      <c r="S29" s="111"/>
      <c r="T29" s="640">
        <f t="shared" si="2"/>
        <v>0.49555778921379801</v>
      </c>
      <c r="U29" s="618"/>
    </row>
    <row r="30" spans="1:25" s="1" customFormat="1" ht="15.75" thickBot="1" x14ac:dyDescent="0.3">
      <c r="A30" s="601" t="str">
        <f t="shared" si="0"/>
        <v>décembre</v>
      </c>
      <c r="B30" s="1" t="str">
        <f t="shared" si="1"/>
        <v>janvier</v>
      </c>
      <c r="C30" s="768"/>
      <c r="D30" s="33" t="s">
        <v>92</v>
      </c>
      <c r="E30" s="34">
        <f>(E13-E8)/E28</f>
        <v>28.265260785576302</v>
      </c>
      <c r="F30" s="34">
        <f t="shared" ref="F30" si="30">(F13-F8)/F28</f>
        <v>25.774469433006018</v>
      </c>
      <c r="G30" s="34">
        <f>IFERROR((G13-G8)/G28,"")</f>
        <v>26.326852882549378</v>
      </c>
      <c r="H30" s="34">
        <f>IFERROR((H13-H8)/H28,"")</f>
        <v>26.280741752350426</v>
      </c>
      <c r="I30" s="34">
        <f t="shared" ref="I30:P30" si="31">IFERROR((I13-I8)/I28,"")</f>
        <v>27.319256123050536</v>
      </c>
      <c r="J30" s="34" t="str">
        <f t="shared" si="31"/>
        <v/>
      </c>
      <c r="K30" s="34" t="str">
        <f t="shared" si="31"/>
        <v/>
      </c>
      <c r="L30" s="34" t="str">
        <f t="shared" si="31"/>
        <v/>
      </c>
      <c r="M30" s="34" t="str">
        <f t="shared" si="31"/>
        <v/>
      </c>
      <c r="N30" s="34" t="str">
        <f t="shared" si="31"/>
        <v/>
      </c>
      <c r="O30" s="34" t="str">
        <f t="shared" si="31"/>
        <v/>
      </c>
      <c r="P30" s="34" t="str">
        <f t="shared" si="31"/>
        <v/>
      </c>
      <c r="Q30" s="100">
        <f>(Q13-Q8)/Q28</f>
        <v>26.740983544740402</v>
      </c>
      <c r="R30" s="34">
        <f>('SUIVI RENTABILITE 17-18'!R13-'SUIVI RENTABILITE 17-18'!R8)/R28</f>
        <v>28.965239055641238</v>
      </c>
      <c r="S30" s="99">
        <f>AVERAGE(E30:P30)</f>
        <v>26.793316195306534</v>
      </c>
      <c r="T30" s="661">
        <f t="shared" si="2"/>
        <v>3.9516174257419122E-2</v>
      </c>
      <c r="U30" s="619">
        <f>(Q30-R30)/R30</f>
        <v>-7.6790511089106381E-2</v>
      </c>
    </row>
    <row r="31" spans="1:25" s="1" customFormat="1" ht="19.5" thickBot="1" x14ac:dyDescent="0.35">
      <c r="A31" s="601" t="str">
        <f t="shared" si="0"/>
        <v>décembre</v>
      </c>
      <c r="C31" s="787" t="s">
        <v>44</v>
      </c>
      <c r="D31" s="788"/>
      <c r="E31" s="788"/>
      <c r="F31" s="788"/>
      <c r="G31" s="788"/>
      <c r="H31" s="788"/>
      <c r="I31" s="788"/>
      <c r="J31" s="788"/>
      <c r="K31" s="788"/>
      <c r="L31" s="788"/>
      <c r="M31" s="788"/>
      <c r="N31" s="788"/>
      <c r="O31" s="788"/>
      <c r="P31" s="788"/>
      <c r="Q31" s="788"/>
      <c r="R31" s="788"/>
      <c r="S31" s="788"/>
      <c r="T31" s="788"/>
      <c r="U31" s="789"/>
    </row>
    <row r="32" spans="1:25" s="1" customFormat="1" x14ac:dyDescent="0.25">
      <c r="A32" s="601" t="str">
        <f t="shared" si="0"/>
        <v>décembre</v>
      </c>
      <c r="B32" s="1" t="str">
        <f t="shared" ref="B32:B63" si="32">$W$2</f>
        <v>janvier</v>
      </c>
      <c r="C32" s="769" t="s">
        <v>27</v>
      </c>
      <c r="D32" s="468" t="s">
        <v>62</v>
      </c>
      <c r="E32" s="423">
        <v>189678</v>
      </c>
      <c r="F32" s="423">
        <v>198658</v>
      </c>
      <c r="G32" s="423">
        <v>184051</v>
      </c>
      <c r="H32" s="423">
        <v>140134</v>
      </c>
      <c r="I32" s="423">
        <v>224388</v>
      </c>
      <c r="J32" s="423"/>
      <c r="K32" s="423"/>
      <c r="L32" s="423"/>
      <c r="M32" s="423"/>
      <c r="N32" s="423"/>
      <c r="O32" s="423"/>
      <c r="P32" s="423"/>
      <c r="Q32" s="479">
        <f>SUM(E32:P32)</f>
        <v>936909</v>
      </c>
      <c r="R32" s="480"/>
      <c r="S32" s="480">
        <f>AVERAGE(E32:P32)</f>
        <v>187381.8</v>
      </c>
      <c r="T32" s="641">
        <f t="shared" ref="T32:T56" si="33">IFERROR((VLOOKUP($W$2,A32:P32,HLOOKUP($W$2,$E$3:$P$4,2,FALSE))-VLOOKUP($W$3,A32:P32,HLOOKUP($W$3,$E$3:$P$4,2,FALSE)))/(VLOOKUP($W$3,A32:P32,HLOOKUP($W$3,$E$3:$P$4,2,FALSE))),"")</f>
        <v>0.60123881427776271</v>
      </c>
      <c r="U32" s="641"/>
    </row>
    <row r="33" spans="1:21" s="1" customFormat="1" x14ac:dyDescent="0.25">
      <c r="A33" s="601" t="str">
        <f t="shared" si="0"/>
        <v>décembre</v>
      </c>
      <c r="B33" s="1" t="str">
        <f t="shared" si="32"/>
        <v>janvier</v>
      </c>
      <c r="C33" s="770"/>
      <c r="D33" s="467" t="s">
        <v>28</v>
      </c>
      <c r="E33" s="472">
        <f t="shared" ref="E33:P33" si="34">$Q$34/$Q$114</f>
        <v>70.852187452923303</v>
      </c>
      <c r="F33" s="472">
        <f t="shared" si="34"/>
        <v>70.852187452923303</v>
      </c>
      <c r="G33" s="472">
        <f t="shared" si="34"/>
        <v>70.852187452923303</v>
      </c>
      <c r="H33" s="472">
        <f t="shared" si="34"/>
        <v>70.852187452923303</v>
      </c>
      <c r="I33" s="472">
        <f t="shared" si="34"/>
        <v>70.852187452923303</v>
      </c>
      <c r="J33" s="472">
        <f t="shared" si="34"/>
        <v>70.852187452923303</v>
      </c>
      <c r="K33" s="472">
        <f t="shared" si="34"/>
        <v>70.852187452923303</v>
      </c>
      <c r="L33" s="472">
        <f t="shared" si="34"/>
        <v>70.852187452923303</v>
      </c>
      <c r="M33" s="472">
        <f t="shared" si="34"/>
        <v>70.852187452923303</v>
      </c>
      <c r="N33" s="472">
        <f t="shared" si="34"/>
        <v>70.852187452923303</v>
      </c>
      <c r="O33" s="472">
        <f t="shared" si="34"/>
        <v>70.852187452923303</v>
      </c>
      <c r="P33" s="472">
        <f t="shared" si="34"/>
        <v>70.852187452923303</v>
      </c>
      <c r="Q33" s="477"/>
      <c r="R33" s="478"/>
      <c r="S33" s="478">
        <f>AVERAGE(E33:P33)</f>
        <v>70.852187452923303</v>
      </c>
      <c r="T33" s="641">
        <f t="shared" si="33"/>
        <v>0</v>
      </c>
      <c r="U33" s="641"/>
    </row>
    <row r="34" spans="1:21" s="1" customFormat="1" x14ac:dyDescent="0.25">
      <c r="A34" s="601" t="str">
        <f t="shared" si="0"/>
        <v>décembre</v>
      </c>
      <c r="B34" s="1" t="str">
        <f t="shared" si="32"/>
        <v>janvier</v>
      </c>
      <c r="C34" s="770"/>
      <c r="D34" s="468" t="s">
        <v>29</v>
      </c>
      <c r="E34" s="423">
        <v>140416</v>
      </c>
      <c r="F34" s="423">
        <v>179404</v>
      </c>
      <c r="G34" s="423">
        <v>169032</v>
      </c>
      <c r="H34" s="423">
        <v>81873</v>
      </c>
      <c r="I34" s="423">
        <v>154703</v>
      </c>
      <c r="J34" s="423"/>
      <c r="K34" s="423"/>
      <c r="L34" s="423"/>
      <c r="M34" s="423"/>
      <c r="N34" s="423"/>
      <c r="O34" s="423"/>
      <c r="P34" s="423"/>
      <c r="Q34" s="479">
        <f>SUM(E34:P34)</f>
        <v>725428</v>
      </c>
      <c r="R34" s="480"/>
      <c r="S34" s="480">
        <f>AVERAGE(E34:P34)</f>
        <v>145085.6</v>
      </c>
      <c r="T34" s="641">
        <f t="shared" si="33"/>
        <v>0.88954844698496449</v>
      </c>
      <c r="U34" s="641"/>
    </row>
    <row r="35" spans="1:21" s="1" customFormat="1" x14ac:dyDescent="0.25">
      <c r="A35" s="601" t="str">
        <f t="shared" si="0"/>
        <v>décembre</v>
      </c>
      <c r="B35" s="1" t="str">
        <f t="shared" si="32"/>
        <v>janvier</v>
      </c>
      <c r="C35" s="770"/>
      <c r="D35" s="467" t="s">
        <v>143</v>
      </c>
      <c r="E35" s="424">
        <v>31626.23</v>
      </c>
      <c r="F35" s="424">
        <v>33448</v>
      </c>
      <c r="G35" s="424">
        <v>32738</v>
      </c>
      <c r="H35" s="424">
        <v>29560</v>
      </c>
      <c r="I35" s="424">
        <v>33719</v>
      </c>
      <c r="J35" s="424"/>
      <c r="K35" s="424"/>
      <c r="L35" s="424"/>
      <c r="M35" s="424"/>
      <c r="N35" s="424"/>
      <c r="O35" s="424"/>
      <c r="P35" s="424"/>
      <c r="Q35" s="477">
        <f t="shared" ref="Q35:Q39" si="35">SUM(E35:P35)</f>
        <v>161091.22999999998</v>
      </c>
      <c r="R35" s="478"/>
      <c r="S35" s="478">
        <f>AVERAGE(E35:P35)</f>
        <v>32218.245999999996</v>
      </c>
      <c r="T35" s="641">
        <f t="shared" si="33"/>
        <v>0.14069688768606226</v>
      </c>
      <c r="U35" s="641"/>
    </row>
    <row r="36" spans="1:21" s="1" customFormat="1" x14ac:dyDescent="0.25">
      <c r="A36" s="601" t="str">
        <f t="shared" si="0"/>
        <v>décembre</v>
      </c>
      <c r="B36" s="1" t="str">
        <f t="shared" si="32"/>
        <v>janvier</v>
      </c>
      <c r="C36" s="770"/>
      <c r="D36" s="467" t="s">
        <v>32</v>
      </c>
      <c r="E36" s="424">
        <v>6420</v>
      </c>
      <c r="F36" s="424">
        <v>6217</v>
      </c>
      <c r="G36" s="424">
        <v>10349</v>
      </c>
      <c r="H36" s="424">
        <v>6217</v>
      </c>
      <c r="I36" s="424">
        <v>16090</v>
      </c>
      <c r="J36" s="424"/>
      <c r="K36" s="424"/>
      <c r="L36" s="424"/>
      <c r="M36" s="424"/>
      <c r="N36" s="424"/>
      <c r="O36" s="424"/>
      <c r="P36" s="424"/>
      <c r="Q36" s="477">
        <f t="shared" si="35"/>
        <v>45293</v>
      </c>
      <c r="R36" s="478"/>
      <c r="S36" s="478">
        <f t="shared" ref="S36:S42" si="36">AVERAGE(E36:P36)</f>
        <v>9058.6</v>
      </c>
      <c r="T36" s="641">
        <f t="shared" si="33"/>
        <v>1.5880649831108251</v>
      </c>
      <c r="U36" s="641"/>
    </row>
    <row r="37" spans="1:21" s="1" customFormat="1" x14ac:dyDescent="0.25">
      <c r="A37" s="601" t="str">
        <f t="shared" si="0"/>
        <v>décembre</v>
      </c>
      <c r="B37" s="1" t="str">
        <f t="shared" si="32"/>
        <v>janvier</v>
      </c>
      <c r="C37" s="770"/>
      <c r="D37" s="467" t="s">
        <v>33</v>
      </c>
      <c r="E37" s="424">
        <v>4208</v>
      </c>
      <c r="F37" s="424">
        <v>4003</v>
      </c>
      <c r="G37" s="424">
        <v>4003.2</v>
      </c>
      <c r="H37" s="424">
        <v>4003.2</v>
      </c>
      <c r="I37" s="424">
        <v>4003.2</v>
      </c>
      <c r="J37" s="424"/>
      <c r="K37" s="424"/>
      <c r="L37" s="424"/>
      <c r="M37" s="424"/>
      <c r="N37" s="424"/>
      <c r="O37" s="424"/>
      <c r="P37" s="424"/>
      <c r="Q37" s="477">
        <f t="shared" si="35"/>
        <v>20220.600000000002</v>
      </c>
      <c r="R37" s="478"/>
      <c r="S37" s="478">
        <f t="shared" si="36"/>
        <v>4044.1200000000003</v>
      </c>
      <c r="T37" s="641">
        <f t="shared" si="33"/>
        <v>0</v>
      </c>
      <c r="U37" s="641"/>
    </row>
    <row r="38" spans="1:21" s="1" customFormat="1" x14ac:dyDescent="0.25">
      <c r="A38" s="601" t="str">
        <f t="shared" ref="A38:A69" si="37">$W$3</f>
        <v>décembre</v>
      </c>
      <c r="B38" s="1" t="str">
        <f t="shared" si="32"/>
        <v>janvier</v>
      </c>
      <c r="C38" s="770"/>
      <c r="D38" s="467" t="s">
        <v>34</v>
      </c>
      <c r="E38" s="424">
        <v>13442</v>
      </c>
      <c r="F38" s="424">
        <v>12347</v>
      </c>
      <c r="G38" s="424">
        <f>7299+4346</f>
        <v>11645</v>
      </c>
      <c r="H38" s="424">
        <v>15756</v>
      </c>
      <c r="I38" s="424">
        <v>24132</v>
      </c>
      <c r="J38" s="424"/>
      <c r="K38" s="424"/>
      <c r="L38" s="424"/>
      <c r="M38" s="424"/>
      <c r="N38" s="424"/>
      <c r="O38" s="424"/>
      <c r="P38" s="424"/>
      <c r="Q38" s="477">
        <f t="shared" si="35"/>
        <v>77322</v>
      </c>
      <c r="R38" s="478"/>
      <c r="S38" s="478">
        <f t="shared" si="36"/>
        <v>15464.4</v>
      </c>
      <c r="T38" s="641">
        <f t="shared" si="33"/>
        <v>0.53160700685453166</v>
      </c>
      <c r="U38" s="641"/>
    </row>
    <row r="39" spans="1:21" s="1" customFormat="1" x14ac:dyDescent="0.25">
      <c r="A39" s="601" t="str">
        <f t="shared" si="37"/>
        <v>décembre</v>
      </c>
      <c r="B39" s="1" t="str">
        <f t="shared" si="32"/>
        <v>janvier</v>
      </c>
      <c r="C39" s="770"/>
      <c r="D39" s="467" t="s">
        <v>35</v>
      </c>
      <c r="E39" s="472">
        <f>SUM(E34:E38)</f>
        <v>196112.23</v>
      </c>
      <c r="F39" s="472">
        <f t="shared" ref="F39:P39" si="38">SUM(F34:F38)</f>
        <v>235419</v>
      </c>
      <c r="G39" s="472">
        <f t="shared" si="38"/>
        <v>227767.2</v>
      </c>
      <c r="H39" s="472">
        <f t="shared" si="38"/>
        <v>137409.20000000001</v>
      </c>
      <c r="I39" s="472">
        <f t="shared" si="38"/>
        <v>232647.2</v>
      </c>
      <c r="J39" s="472">
        <f t="shared" si="38"/>
        <v>0</v>
      </c>
      <c r="K39" s="472">
        <f t="shared" si="38"/>
        <v>0</v>
      </c>
      <c r="L39" s="472">
        <f t="shared" si="38"/>
        <v>0</v>
      </c>
      <c r="M39" s="472">
        <f t="shared" si="38"/>
        <v>0</v>
      </c>
      <c r="N39" s="472">
        <f t="shared" si="38"/>
        <v>0</v>
      </c>
      <c r="O39" s="472">
        <f t="shared" si="38"/>
        <v>0</v>
      </c>
      <c r="P39" s="472">
        <f t="shared" si="38"/>
        <v>0</v>
      </c>
      <c r="Q39" s="477">
        <f t="shared" si="35"/>
        <v>1029354.8299999998</v>
      </c>
      <c r="R39" s="478"/>
      <c r="S39" s="478">
        <f t="shared" si="36"/>
        <v>85779.569166666653</v>
      </c>
      <c r="T39" s="641">
        <f t="shared" si="33"/>
        <v>0.69309769651522601</v>
      </c>
      <c r="U39" s="641"/>
    </row>
    <row r="40" spans="1:21" s="1" customFormat="1" ht="28.5" x14ac:dyDescent="0.25">
      <c r="A40" s="601" t="str">
        <f t="shared" si="37"/>
        <v>décembre</v>
      </c>
      <c r="B40" s="1" t="str">
        <f t="shared" si="32"/>
        <v>janvier</v>
      </c>
      <c r="C40" s="770"/>
      <c r="D40" s="469" t="s">
        <v>69</v>
      </c>
      <c r="E40" s="473">
        <f>E32-E39+E47</f>
        <v>32335.339999999989</v>
      </c>
      <c r="F40" s="473">
        <f t="shared" ref="F40:K40" si="39">F32-F39+F47</f>
        <v>12068</v>
      </c>
      <c r="G40" s="473">
        <f t="shared" si="39"/>
        <v>12109.799999999988</v>
      </c>
      <c r="H40" s="473">
        <f t="shared" si="39"/>
        <v>49624.859999999986</v>
      </c>
      <c r="I40" s="473">
        <f t="shared" si="39"/>
        <v>-8259.2000000000116</v>
      </c>
      <c r="J40" s="473">
        <f t="shared" si="39"/>
        <v>0</v>
      </c>
      <c r="K40" s="473">
        <f t="shared" si="39"/>
        <v>0</v>
      </c>
      <c r="L40" s="473">
        <f>L32-L39</f>
        <v>0</v>
      </c>
      <c r="M40" s="473">
        <f>M32-M39</f>
        <v>0</v>
      </c>
      <c r="N40" s="473">
        <f>N32-N39</f>
        <v>0</v>
      </c>
      <c r="O40" s="473">
        <f>O32-O39</f>
        <v>0</v>
      </c>
      <c r="P40" s="473">
        <f>P32-P39</f>
        <v>0</v>
      </c>
      <c r="Q40" s="479">
        <f>SUM(E40:P40)</f>
        <v>97878.799999999959</v>
      </c>
      <c r="R40" s="480"/>
      <c r="S40" s="480">
        <f t="shared" si="36"/>
        <v>8156.566666666663</v>
      </c>
      <c r="T40" s="641">
        <f t="shared" si="33"/>
        <v>-1.1664327113466924</v>
      </c>
      <c r="U40" s="641"/>
    </row>
    <row r="41" spans="1:21" s="1" customFormat="1" ht="45" x14ac:dyDescent="0.25">
      <c r="A41" s="601" t="str">
        <f t="shared" si="37"/>
        <v>décembre</v>
      </c>
      <c r="B41" s="1" t="str">
        <f t="shared" si="32"/>
        <v>janvier</v>
      </c>
      <c r="C41" s="770"/>
      <c r="D41" s="469" t="s">
        <v>139</v>
      </c>
      <c r="E41" s="473">
        <f>E40-((-E33*E113)+(E7*E110))</f>
        <v>25169.826098471283</v>
      </c>
      <c r="F41" s="473">
        <f t="shared" ref="F41:G41" si="40">F40+((+F110*F7)-(F113*F33))</f>
        <v>17604.339622574022</v>
      </c>
      <c r="G41" s="473">
        <f t="shared" si="40"/>
        <v>25946.654394480051</v>
      </c>
      <c r="H41" s="473">
        <f>H40+((+H110*H7)-(H113*H33))</f>
        <v>59271.613863256542</v>
      </c>
      <c r="I41" s="473"/>
      <c r="J41" s="473"/>
      <c r="K41" s="473"/>
      <c r="L41" s="473"/>
      <c r="M41" s="473"/>
      <c r="N41" s="473"/>
      <c r="O41" s="473"/>
      <c r="P41" s="473"/>
      <c r="Q41" s="479"/>
      <c r="R41" s="480"/>
      <c r="S41" s="480"/>
      <c r="T41" s="641">
        <f t="shared" si="33"/>
        <v>-1</v>
      </c>
      <c r="U41" s="641"/>
    </row>
    <row r="42" spans="1:21" s="1" customFormat="1" x14ac:dyDescent="0.25">
      <c r="A42" s="601" t="str">
        <f t="shared" si="37"/>
        <v>décembre</v>
      </c>
      <c r="B42" s="1" t="str">
        <f t="shared" si="32"/>
        <v>janvier</v>
      </c>
      <c r="C42" s="770"/>
      <c r="D42" s="467" t="s">
        <v>36</v>
      </c>
      <c r="E42" s="472">
        <f>E43*E90</f>
        <v>28857.581368079827</v>
      </c>
      <c r="F42" s="472">
        <f t="shared" ref="F42:H42" si="41">F43*F90</f>
        <v>31984.402213347043</v>
      </c>
      <c r="G42" s="472">
        <f t="shared" si="41"/>
        <v>32452.008832983971</v>
      </c>
      <c r="H42" s="472">
        <f t="shared" si="41"/>
        <v>26466.495221489542</v>
      </c>
      <c r="I42" s="556">
        <f>IFERROR((I43*$I$90),"")</f>
        <v>33048.835523913462</v>
      </c>
      <c r="J42" s="556" t="str">
        <f t="shared" ref="J42:P42" si="42">IFERROR((J43*$I$90),"")</f>
        <v/>
      </c>
      <c r="K42" s="556" t="str">
        <f>IFERROR((K43*$I$90),"")</f>
        <v/>
      </c>
      <c r="L42" s="556" t="str">
        <f t="shared" si="42"/>
        <v/>
      </c>
      <c r="M42" s="556" t="str">
        <f t="shared" si="42"/>
        <v/>
      </c>
      <c r="N42" s="556" t="str">
        <f t="shared" si="42"/>
        <v/>
      </c>
      <c r="O42" s="556" t="str">
        <f t="shared" si="42"/>
        <v/>
      </c>
      <c r="P42" s="556" t="str">
        <f t="shared" si="42"/>
        <v/>
      </c>
      <c r="Q42" s="477">
        <f>SUM(E42:H42)</f>
        <v>119760.48763590038</v>
      </c>
      <c r="R42" s="478"/>
      <c r="S42" s="478">
        <f t="shared" si="36"/>
        <v>30561.86463196277</v>
      </c>
      <c r="T42" s="641">
        <f t="shared" si="33"/>
        <v>0.24870464514996948</v>
      </c>
      <c r="U42" s="641"/>
    </row>
    <row r="43" spans="1:21" s="1" customFormat="1" x14ac:dyDescent="0.25">
      <c r="A43" s="601" t="str">
        <f t="shared" si="37"/>
        <v>décembre</v>
      </c>
      <c r="B43" s="1" t="str">
        <f t="shared" si="32"/>
        <v>janvier</v>
      </c>
      <c r="C43" s="770"/>
      <c r="D43" s="467" t="s">
        <v>37</v>
      </c>
      <c r="E43" s="474">
        <f>E39/(E39+E13+E68+E90)</f>
        <v>0.46563374285020176</v>
      </c>
      <c r="F43" s="474">
        <f t="shared" ref="F43:H43" si="43">F39/(F39+F13+F68+F90)</f>
        <v>0.43070255199023771</v>
      </c>
      <c r="G43" s="474">
        <f t="shared" si="43"/>
        <v>0.43858214740561907</v>
      </c>
      <c r="H43" s="474">
        <f t="shared" si="43"/>
        <v>0.29239253644607688</v>
      </c>
      <c r="I43" s="474">
        <f>IFERROR(I39/(I13+I39+I68+I90),"")</f>
        <v>0.37341629218920569</v>
      </c>
      <c r="J43" s="474" t="str">
        <f t="shared" ref="J43:P43" si="44">IFERROR(J39/(J13+J39+J68+J90),"")</f>
        <v/>
      </c>
      <c r="K43" s="474" t="str">
        <f t="shared" si="44"/>
        <v/>
      </c>
      <c r="L43" s="474" t="str">
        <f t="shared" si="44"/>
        <v/>
      </c>
      <c r="M43" s="474" t="str">
        <f t="shared" si="44"/>
        <v/>
      </c>
      <c r="N43" s="474" t="str">
        <f t="shared" si="44"/>
        <v/>
      </c>
      <c r="O43" s="474" t="str">
        <f t="shared" si="44"/>
        <v/>
      </c>
      <c r="P43" s="474" t="str">
        <f t="shared" si="44"/>
        <v/>
      </c>
      <c r="Q43" s="481"/>
      <c r="R43" s="474"/>
      <c r="S43" s="478"/>
      <c r="T43" s="641">
        <f t="shared" si="33"/>
        <v>0.27710610102413213</v>
      </c>
      <c r="U43" s="641"/>
    </row>
    <row r="44" spans="1:21" s="1" customFormat="1" ht="30" x14ac:dyDescent="0.25">
      <c r="A44" s="601" t="str">
        <f t="shared" si="37"/>
        <v>décembre</v>
      </c>
      <c r="B44" s="1" t="str">
        <f t="shared" si="32"/>
        <v>janvier</v>
      </c>
      <c r="C44" s="770"/>
      <c r="D44" s="469" t="s">
        <v>70</v>
      </c>
      <c r="E44" s="475">
        <f>E41-E42</f>
        <v>-3687.755269608544</v>
      </c>
      <c r="F44" s="475">
        <f t="shared" ref="F44:H44" si="45">F41-F42</f>
        <v>-14380.062590773021</v>
      </c>
      <c r="G44" s="475">
        <f t="shared" si="45"/>
        <v>-6505.3544385039204</v>
      </c>
      <c r="H44" s="475">
        <f t="shared" si="45"/>
        <v>32805.118641766996</v>
      </c>
      <c r="I44" s="475">
        <f>IFERROR(I15-I16,"")</f>
        <v>-30802.766161223084</v>
      </c>
      <c r="J44" s="475" t="str">
        <f t="shared" ref="J44:P44" si="46">IFERROR(J15-J16,"")</f>
        <v/>
      </c>
      <c r="K44" s="475" t="str">
        <f t="shared" si="46"/>
        <v/>
      </c>
      <c r="L44" s="475" t="str">
        <f t="shared" si="46"/>
        <v/>
      </c>
      <c r="M44" s="475" t="str">
        <f t="shared" si="46"/>
        <v/>
      </c>
      <c r="N44" s="475" t="str">
        <f t="shared" si="46"/>
        <v/>
      </c>
      <c r="O44" s="475" t="str">
        <f t="shared" si="46"/>
        <v/>
      </c>
      <c r="P44" s="475" t="str">
        <f t="shared" si="46"/>
        <v/>
      </c>
      <c r="Q44" s="479">
        <f>SUM(E44:H44)</f>
        <v>8231.9463428815106</v>
      </c>
      <c r="R44" s="480"/>
      <c r="S44" s="480"/>
      <c r="T44" s="641">
        <f t="shared" si="33"/>
        <v>-1.9389621936012589</v>
      </c>
      <c r="U44" s="641"/>
    </row>
    <row r="45" spans="1:21" s="1" customFormat="1" x14ac:dyDescent="0.25">
      <c r="A45" s="601" t="str">
        <f t="shared" si="37"/>
        <v>décembre</v>
      </c>
      <c r="B45" s="1" t="str">
        <f t="shared" si="32"/>
        <v>janvier</v>
      </c>
      <c r="C45" s="770"/>
      <c r="D45" s="470" t="s">
        <v>61</v>
      </c>
      <c r="E45" s="425">
        <v>1121.76</v>
      </c>
      <c r="F45" s="425">
        <v>1364</v>
      </c>
      <c r="G45" s="425">
        <v>1617</v>
      </c>
      <c r="H45" s="425">
        <v>1285.46</v>
      </c>
      <c r="I45" s="425">
        <v>2036.67</v>
      </c>
      <c r="J45" s="425"/>
      <c r="K45" s="425"/>
      <c r="L45" s="425"/>
      <c r="M45" s="425"/>
      <c r="N45" s="425"/>
      <c r="O45" s="425"/>
      <c r="P45" s="425"/>
      <c r="Q45" s="482">
        <f t="shared" ref="Q45:Q51" si="47">SUM(E45:P45)</f>
        <v>7424.89</v>
      </c>
      <c r="R45" s="483"/>
      <c r="S45" s="483">
        <f t="shared" ref="S45:S49" si="48">AVERAGE(E45:P45)</f>
        <v>1484.9780000000001</v>
      </c>
      <c r="T45" s="662">
        <f t="shared" si="33"/>
        <v>0.58439002380470806</v>
      </c>
      <c r="U45" s="662"/>
    </row>
    <row r="46" spans="1:21" s="1" customFormat="1" x14ac:dyDescent="0.25">
      <c r="A46" s="601" t="str">
        <f t="shared" si="37"/>
        <v>décembre</v>
      </c>
      <c r="B46" s="1" t="str">
        <f t="shared" si="32"/>
        <v>janvier</v>
      </c>
      <c r="C46" s="770"/>
      <c r="D46" s="471" t="s">
        <v>89</v>
      </c>
      <c r="E46" s="476">
        <f>E47/E45</f>
        <v>34.561376765083438</v>
      </c>
      <c r="F46" s="476">
        <f t="shared" ref="F46:I46" si="49">F47/F45</f>
        <v>35.798387096774192</v>
      </c>
      <c r="G46" s="476">
        <f t="shared" si="49"/>
        <v>34.524427952999382</v>
      </c>
      <c r="H46" s="476">
        <f t="shared" si="49"/>
        <v>36.485040374651874</v>
      </c>
      <c r="I46" s="476">
        <f t="shared" si="49"/>
        <v>0</v>
      </c>
      <c r="J46" s="476" t="str">
        <f>IFERROR(J47/J45,"")</f>
        <v/>
      </c>
      <c r="K46" s="476" t="str">
        <f t="shared" ref="K46:P46" si="50">IFERROR(K47/K45,"")</f>
        <v/>
      </c>
      <c r="L46" s="476" t="str">
        <f t="shared" si="50"/>
        <v/>
      </c>
      <c r="M46" s="476" t="str">
        <f t="shared" si="50"/>
        <v/>
      </c>
      <c r="N46" s="476" t="str">
        <f t="shared" si="50"/>
        <v/>
      </c>
      <c r="O46" s="476" t="str">
        <f t="shared" si="50"/>
        <v/>
      </c>
      <c r="P46" s="476" t="str">
        <f t="shared" si="50"/>
        <v/>
      </c>
      <c r="Q46" s="484"/>
      <c r="R46" s="628"/>
      <c r="S46" s="485">
        <f>AVERAGE(E46:H46)</f>
        <v>35.342308047377223</v>
      </c>
      <c r="T46" s="641">
        <f t="shared" si="33"/>
        <v>-1</v>
      </c>
      <c r="U46" s="641"/>
    </row>
    <row r="47" spans="1:21" s="1" customFormat="1" x14ac:dyDescent="0.25">
      <c r="A47" s="601" t="str">
        <f t="shared" si="37"/>
        <v>décembre</v>
      </c>
      <c r="B47" s="1" t="str">
        <f t="shared" si="32"/>
        <v>janvier</v>
      </c>
      <c r="C47" s="771"/>
      <c r="D47" s="471" t="s">
        <v>60</v>
      </c>
      <c r="E47" s="435">
        <v>38769.57</v>
      </c>
      <c r="F47" s="435">
        <v>48829</v>
      </c>
      <c r="G47" s="435">
        <v>55826</v>
      </c>
      <c r="H47" s="435">
        <v>46900.06</v>
      </c>
      <c r="I47" s="435"/>
      <c r="J47" s="435"/>
      <c r="K47" s="435"/>
      <c r="L47" s="435"/>
      <c r="M47" s="435"/>
      <c r="N47" s="435"/>
      <c r="O47" s="435"/>
      <c r="P47" s="435"/>
      <c r="Q47" s="486">
        <f t="shared" si="47"/>
        <v>190324.63</v>
      </c>
      <c r="R47" s="487"/>
      <c r="S47" s="487">
        <f t="shared" si="48"/>
        <v>47581.157500000001</v>
      </c>
      <c r="T47" s="641">
        <f t="shared" si="33"/>
        <v>-1</v>
      </c>
      <c r="U47" s="641"/>
    </row>
    <row r="48" spans="1:21" s="1" customFormat="1" x14ac:dyDescent="0.25">
      <c r="A48" s="601" t="str">
        <f t="shared" si="37"/>
        <v>décembre</v>
      </c>
      <c r="B48" s="1" t="str">
        <f t="shared" si="32"/>
        <v>janvier</v>
      </c>
      <c r="C48" s="772" t="s">
        <v>38</v>
      </c>
      <c r="D48" s="488" t="s">
        <v>39</v>
      </c>
      <c r="E48" s="427">
        <v>1133</v>
      </c>
      <c r="F48" s="427">
        <v>1171</v>
      </c>
      <c r="G48" s="427">
        <v>1256</v>
      </c>
      <c r="H48" s="427">
        <v>817</v>
      </c>
      <c r="I48" s="427">
        <v>1302</v>
      </c>
      <c r="J48" s="428"/>
      <c r="K48" s="427"/>
      <c r="L48" s="427"/>
      <c r="M48" s="427"/>
      <c r="N48" s="427"/>
      <c r="O48" s="427"/>
      <c r="P48" s="427"/>
      <c r="Q48" s="491">
        <f t="shared" si="47"/>
        <v>5679</v>
      </c>
      <c r="R48" s="492"/>
      <c r="S48" s="492">
        <f t="shared" si="48"/>
        <v>1135.8</v>
      </c>
      <c r="T48" s="642">
        <f t="shared" si="33"/>
        <v>0.59363525091799263</v>
      </c>
      <c r="U48" s="642"/>
    </row>
    <row r="49" spans="1:21" s="1" customFormat="1" x14ac:dyDescent="0.25">
      <c r="A49" s="601" t="str">
        <f t="shared" si="37"/>
        <v>décembre</v>
      </c>
      <c r="B49" s="1" t="str">
        <f t="shared" si="32"/>
        <v>janvier</v>
      </c>
      <c r="C49" s="773"/>
      <c r="D49" s="489" t="s">
        <v>40</v>
      </c>
      <c r="E49" s="465">
        <f t="shared" ref="E49:P49" si="51">E32/E2</f>
        <v>9483.9</v>
      </c>
      <c r="F49" s="465">
        <f t="shared" si="51"/>
        <v>9029.9090909090901</v>
      </c>
      <c r="G49" s="465">
        <f t="shared" si="51"/>
        <v>8764.3333333333339</v>
      </c>
      <c r="H49" s="465">
        <f t="shared" si="51"/>
        <v>8243.176470588236</v>
      </c>
      <c r="I49" s="465">
        <f t="shared" si="51"/>
        <v>11219.4</v>
      </c>
      <c r="J49" s="465">
        <f t="shared" si="51"/>
        <v>0</v>
      </c>
      <c r="K49" s="465">
        <f t="shared" si="51"/>
        <v>0</v>
      </c>
      <c r="L49" s="465">
        <f t="shared" si="51"/>
        <v>0</v>
      </c>
      <c r="M49" s="465">
        <f t="shared" si="51"/>
        <v>0</v>
      </c>
      <c r="N49" s="465">
        <f t="shared" si="51"/>
        <v>0</v>
      </c>
      <c r="O49" s="465">
        <f t="shared" si="51"/>
        <v>0</v>
      </c>
      <c r="P49" s="465">
        <f t="shared" si="51"/>
        <v>0</v>
      </c>
      <c r="Q49" s="493">
        <f t="shared" si="47"/>
        <v>46740.718894830665</v>
      </c>
      <c r="R49" s="494"/>
      <c r="S49" s="494">
        <f t="shared" si="48"/>
        <v>3895.0599079025556</v>
      </c>
      <c r="T49" s="642">
        <f t="shared" si="33"/>
        <v>0.36105299213609815</v>
      </c>
      <c r="U49" s="642"/>
    </row>
    <row r="50" spans="1:21" s="1" customFormat="1" x14ac:dyDescent="0.25">
      <c r="A50" s="601" t="str">
        <f t="shared" si="37"/>
        <v>décembre</v>
      </c>
      <c r="B50" s="1" t="str">
        <f t="shared" si="32"/>
        <v>janvier</v>
      </c>
      <c r="C50" s="773"/>
      <c r="D50" s="489" t="s">
        <v>41</v>
      </c>
      <c r="E50" s="465">
        <f>E32/E48</f>
        <v>167.41218005295676</v>
      </c>
      <c r="F50" s="465">
        <f>F32/F48</f>
        <v>169.64816396242529</v>
      </c>
      <c r="G50" s="465">
        <f t="shared" ref="G50:I50" si="52">G32/G48</f>
        <v>146.53742038216561</v>
      </c>
      <c r="H50" s="465">
        <f t="shared" si="52"/>
        <v>171.52264381884945</v>
      </c>
      <c r="I50" s="465">
        <f t="shared" si="52"/>
        <v>172.34101382488478</v>
      </c>
      <c r="J50" s="465" t="str">
        <f>IFERROR(J32/J48,"")</f>
        <v/>
      </c>
      <c r="K50" s="465" t="str">
        <f t="shared" ref="K50:P50" si="53">IFERROR(K32/K48,"")</f>
        <v/>
      </c>
      <c r="L50" s="465" t="str">
        <f t="shared" si="53"/>
        <v/>
      </c>
      <c r="M50" s="465" t="str">
        <f t="shared" si="53"/>
        <v/>
      </c>
      <c r="N50" s="465" t="str">
        <f t="shared" si="53"/>
        <v/>
      </c>
      <c r="O50" s="465" t="str">
        <f t="shared" si="53"/>
        <v/>
      </c>
      <c r="P50" s="465" t="str">
        <f t="shared" si="53"/>
        <v/>
      </c>
      <c r="Q50" s="493">
        <f t="shared" si="47"/>
        <v>827.46142204128182</v>
      </c>
      <c r="R50" s="494"/>
      <c r="S50" s="494">
        <f>AVERAGE(E50:I50)</f>
        <v>165.49228440825635</v>
      </c>
      <c r="T50" s="642">
        <f t="shared" si="33"/>
        <v>4.7712068087036024E-3</v>
      </c>
      <c r="U50" s="642"/>
    </row>
    <row r="51" spans="1:21" s="1" customFormat="1" x14ac:dyDescent="0.25">
      <c r="A51" s="601" t="str">
        <f t="shared" si="37"/>
        <v>décembre</v>
      </c>
      <c r="B51" s="1" t="str">
        <f t="shared" si="32"/>
        <v>janvier</v>
      </c>
      <c r="C51" s="773"/>
      <c r="D51" s="489" t="s">
        <v>45</v>
      </c>
      <c r="E51" s="465">
        <f>((E39-E34-E47)/E48+E33)-(E113/E33)+(E110/E7)</f>
        <v>85.023873121143765</v>
      </c>
      <c r="F51" s="465">
        <f t="shared" ref="F51:I51" si="54">((F39-F34-F47)/F48+F33)-(F113/F33)+(F110/F7)</f>
        <v>76.298632267732771</v>
      </c>
      <c r="G51" s="465">
        <f t="shared" si="54"/>
        <v>73.808095419474029</v>
      </c>
      <c r="H51" s="465">
        <f t="shared" si="54"/>
        <v>82.251072920911028</v>
      </c>
      <c r="I51" s="465">
        <f t="shared" si="54"/>
        <v>130.71716441144866</v>
      </c>
      <c r="J51" s="557" t="str">
        <f>IFERROR((J39-J34-J47)/J48+J33-(J113/J33)+(J110/J7),"")</f>
        <v/>
      </c>
      <c r="K51" s="557" t="str">
        <f t="shared" ref="K51:P51" si="55">IFERROR((K39-K34-K47)/K48+K33-(K113/K33)+(K110/K7),"")</f>
        <v/>
      </c>
      <c r="L51" s="557" t="str">
        <f t="shared" si="55"/>
        <v/>
      </c>
      <c r="M51" s="557" t="str">
        <f t="shared" si="55"/>
        <v/>
      </c>
      <c r="N51" s="557" t="str">
        <f t="shared" si="55"/>
        <v/>
      </c>
      <c r="O51" s="557" t="str">
        <f t="shared" si="55"/>
        <v/>
      </c>
      <c r="P51" s="557" t="str">
        <f t="shared" si="55"/>
        <v/>
      </c>
      <c r="Q51" s="493">
        <f t="shared" si="47"/>
        <v>448.09883814071026</v>
      </c>
      <c r="R51" s="494"/>
      <c r="S51" s="494">
        <f>AVERAGE(E51:I51)</f>
        <v>89.619767628142057</v>
      </c>
      <c r="T51" s="642">
        <f t="shared" si="33"/>
        <v>0.5892457054893433</v>
      </c>
      <c r="U51" s="642"/>
    </row>
    <row r="52" spans="1:21" s="1" customFormat="1" x14ac:dyDescent="0.25">
      <c r="A52" s="601" t="str">
        <f t="shared" si="37"/>
        <v>décembre</v>
      </c>
      <c r="B52" s="1" t="str">
        <f t="shared" si="32"/>
        <v>janvier</v>
      </c>
      <c r="C52" s="773"/>
      <c r="D52" s="490" t="s">
        <v>144</v>
      </c>
      <c r="E52" s="466">
        <f>E50-E51</f>
        <v>82.388306931812991</v>
      </c>
      <c r="F52" s="466">
        <f t="shared" ref="F52:I52" si="56">F50-F51</f>
        <v>93.349531694692516</v>
      </c>
      <c r="G52" s="466">
        <f t="shared" si="56"/>
        <v>72.729324962691578</v>
      </c>
      <c r="H52" s="466">
        <f t="shared" si="56"/>
        <v>89.271570897938417</v>
      </c>
      <c r="I52" s="466">
        <f t="shared" si="56"/>
        <v>41.623849413436119</v>
      </c>
      <c r="J52" s="466" t="str">
        <f>IFERROR(J50-J51,"")</f>
        <v/>
      </c>
      <c r="K52" s="466" t="str">
        <f t="shared" ref="K52:P52" si="57">IFERROR(K50-K51,"")</f>
        <v/>
      </c>
      <c r="L52" s="466" t="str">
        <f t="shared" si="57"/>
        <v/>
      </c>
      <c r="M52" s="466" t="str">
        <f t="shared" si="57"/>
        <v/>
      </c>
      <c r="N52" s="466" t="str">
        <f t="shared" si="57"/>
        <v/>
      </c>
      <c r="O52" s="466" t="str">
        <f t="shared" si="57"/>
        <v/>
      </c>
      <c r="P52" s="466" t="str">
        <f t="shared" si="57"/>
        <v/>
      </c>
      <c r="Q52" s="495"/>
      <c r="R52" s="496"/>
      <c r="S52" s="496">
        <f>S50-S51</f>
        <v>75.872516780114296</v>
      </c>
      <c r="T52" s="642">
        <f t="shared" si="33"/>
        <v>-0.53373902806052942</v>
      </c>
      <c r="U52" s="642"/>
    </row>
    <row r="53" spans="1:21" s="1" customFormat="1" x14ac:dyDescent="0.25">
      <c r="A53" s="601" t="str">
        <f t="shared" si="37"/>
        <v>décembre</v>
      </c>
      <c r="B53" s="1" t="str">
        <f t="shared" si="32"/>
        <v>janvier</v>
      </c>
      <c r="C53" s="598"/>
      <c r="D53" s="490" t="s">
        <v>43</v>
      </c>
      <c r="E53" s="466">
        <f>E50-((E39-E34-E47)/E48+E33)-(E113/E33)+(E110/E7)-(E42/E48)</f>
        <v>55.382250758916008</v>
      </c>
      <c r="F53" s="466">
        <f t="shared" ref="F53:H53" si="58">F50-((F39-F34-F47)/F48+F33)-(F113/F33)+(F110/F7)-(F42/F48)</f>
        <v>64.655399792845145</v>
      </c>
      <c r="G53" s="466">
        <f t="shared" si="58"/>
        <v>48.171070168894943</v>
      </c>
      <c r="H53" s="466">
        <f t="shared" si="58"/>
        <v>58.533509249471322</v>
      </c>
      <c r="I53" s="466">
        <f>IFERROR(I50-((I39-I34-I47)/I48+I33)-(I113/I33)+(I110/I7)-(I42/I48),"")</f>
        <v>16.240719210737609</v>
      </c>
      <c r="J53" s="466" t="str">
        <f>IFERROR(J50-((J39-J34-J47)/J48+J33)-(J113/J33)+(J110/J7)-(J42/J48),"")</f>
        <v/>
      </c>
      <c r="K53" s="466" t="str">
        <f t="shared" ref="K53:P53" si="59">IFERROR(K50-((K39-K34-K47)/K48+K33)-(K113/K33)+(K110/K7)-(K42/K48),"")</f>
        <v/>
      </c>
      <c r="L53" s="466" t="str">
        <f t="shared" si="59"/>
        <v/>
      </c>
      <c r="M53" s="466" t="str">
        <f t="shared" si="59"/>
        <v/>
      </c>
      <c r="N53" s="466" t="str">
        <f t="shared" si="59"/>
        <v/>
      </c>
      <c r="O53" s="466" t="str">
        <f t="shared" si="59"/>
        <v/>
      </c>
      <c r="P53" s="466" t="str">
        <f t="shared" si="59"/>
        <v/>
      </c>
      <c r="Q53" s="495"/>
      <c r="R53" s="496"/>
      <c r="S53" s="496">
        <f>AVERAGE(E53:H53)</f>
        <v>56.685557492531856</v>
      </c>
      <c r="T53" s="642">
        <f t="shared" si="33"/>
        <v>-0.72253979952715208</v>
      </c>
      <c r="U53" s="642"/>
    </row>
    <row r="54" spans="1:21" s="1" customFormat="1" ht="30" customHeight="1" x14ac:dyDescent="0.25">
      <c r="A54" s="601" t="str">
        <f t="shared" si="37"/>
        <v>décembre</v>
      </c>
      <c r="B54" s="1" t="str">
        <f t="shared" si="32"/>
        <v>janvier</v>
      </c>
      <c r="C54" s="774" t="s">
        <v>93</v>
      </c>
      <c r="D54" s="95" t="s">
        <v>91</v>
      </c>
      <c r="E54" s="429">
        <v>1994.92</v>
      </c>
      <c r="F54" s="429">
        <v>2048.52</v>
      </c>
      <c r="G54" s="429">
        <v>1958.22</v>
      </c>
      <c r="H54" s="429">
        <v>1905.39</v>
      </c>
      <c r="I54" s="429"/>
      <c r="J54" s="429"/>
      <c r="K54" s="429"/>
      <c r="L54" s="429"/>
      <c r="M54" s="429"/>
      <c r="N54" s="429"/>
      <c r="O54" s="429"/>
      <c r="P54" s="429"/>
      <c r="Q54" s="574"/>
      <c r="R54" s="575"/>
      <c r="S54" s="575"/>
      <c r="T54" s="642">
        <f t="shared" si="33"/>
        <v>-1</v>
      </c>
      <c r="U54" s="642"/>
    </row>
    <row r="55" spans="1:21" s="1" customFormat="1" ht="18.75" customHeight="1" x14ac:dyDescent="0.25">
      <c r="A55" s="601" t="str">
        <f t="shared" si="37"/>
        <v>décembre</v>
      </c>
      <c r="B55" s="1" t="str">
        <f t="shared" si="32"/>
        <v>janvier</v>
      </c>
      <c r="C55" s="775"/>
      <c r="D55" s="93" t="s">
        <v>96</v>
      </c>
      <c r="E55" s="35">
        <f t="shared" ref="E55:H55" si="60">E32/E54</f>
        <v>95.080504481382704</v>
      </c>
      <c r="F55" s="35">
        <f t="shared" si="60"/>
        <v>96.976353660203472</v>
      </c>
      <c r="G55" s="35">
        <f t="shared" si="60"/>
        <v>93.988928720981292</v>
      </c>
      <c r="H55" s="35">
        <f t="shared" si="60"/>
        <v>73.546098174127081</v>
      </c>
      <c r="I55" s="35" t="str">
        <f>IFERROR(I32/I54,"")</f>
        <v/>
      </c>
      <c r="J55" s="35" t="str">
        <f t="shared" ref="J55:P55" si="61">IFERROR(J32/J54,"")</f>
        <v/>
      </c>
      <c r="K55" s="35" t="str">
        <f t="shared" si="61"/>
        <v/>
      </c>
      <c r="L55" s="35" t="str">
        <f t="shared" si="61"/>
        <v/>
      </c>
      <c r="M55" s="35" t="str">
        <f t="shared" si="61"/>
        <v/>
      </c>
      <c r="N55" s="35" t="str">
        <f t="shared" si="61"/>
        <v/>
      </c>
      <c r="O55" s="35" t="str">
        <f t="shared" si="61"/>
        <v/>
      </c>
      <c r="P55" s="35" t="str">
        <f t="shared" si="61"/>
        <v/>
      </c>
      <c r="Q55" s="495">
        <f>AVERAGE(E55:P55)</f>
        <v>89.89797125917363</v>
      </c>
      <c r="R55" s="496"/>
      <c r="S55" s="496"/>
      <c r="T55" s="642" t="str">
        <f t="shared" si="33"/>
        <v/>
      </c>
      <c r="U55" s="642"/>
    </row>
    <row r="56" spans="1:21" s="1" customFormat="1" ht="15.75" thickBot="1" x14ac:dyDescent="0.3">
      <c r="A56" s="601" t="str">
        <f t="shared" si="37"/>
        <v>décembre</v>
      </c>
      <c r="B56" s="1" t="str">
        <f t="shared" si="32"/>
        <v>janvier</v>
      </c>
      <c r="C56" s="776"/>
      <c r="D56" s="436" t="s">
        <v>92</v>
      </c>
      <c r="E56" s="437">
        <f t="shared" ref="E56:H56" si="62">(E39-E34)/E54</f>
        <v>27.919029334509659</v>
      </c>
      <c r="F56" s="437">
        <f t="shared" si="62"/>
        <v>27.344131372893603</v>
      </c>
      <c r="G56" s="437">
        <f t="shared" si="62"/>
        <v>29.994178386493861</v>
      </c>
      <c r="H56" s="437">
        <f t="shared" si="62"/>
        <v>29.146893811765576</v>
      </c>
      <c r="I56" s="437" t="str">
        <f>IFERROR(I39-I34/I54,"")</f>
        <v/>
      </c>
      <c r="J56" s="437" t="str">
        <f t="shared" ref="J56:P56" si="63">IFERROR(J39-J34/J54,"")</f>
        <v/>
      </c>
      <c r="K56" s="437" t="str">
        <f t="shared" si="63"/>
        <v/>
      </c>
      <c r="L56" s="437" t="str">
        <f t="shared" si="63"/>
        <v/>
      </c>
      <c r="M56" s="437" t="str">
        <f t="shared" si="63"/>
        <v/>
      </c>
      <c r="N56" s="437" t="str">
        <f t="shared" si="63"/>
        <v/>
      </c>
      <c r="O56" s="437" t="str">
        <f t="shared" si="63"/>
        <v/>
      </c>
      <c r="P56" s="437" t="str">
        <f t="shared" si="63"/>
        <v/>
      </c>
      <c r="Q56" s="576">
        <f>AVERAGE(E56:P56)</f>
        <v>28.601058226415674</v>
      </c>
      <c r="R56" s="629"/>
      <c r="S56" s="577">
        <f>AVERAGE(E56:Q56)</f>
        <v>28.60105822641567</v>
      </c>
      <c r="T56" s="642" t="str">
        <f t="shared" si="33"/>
        <v/>
      </c>
      <c r="U56" s="642"/>
    </row>
    <row r="57" spans="1:21" s="1" customFormat="1" ht="19.5" customHeight="1" x14ac:dyDescent="0.3">
      <c r="A57" s="601" t="str">
        <f t="shared" si="37"/>
        <v>décembre</v>
      </c>
      <c r="B57" s="1" t="str">
        <f t="shared" si="32"/>
        <v>janvier</v>
      </c>
      <c r="C57" s="790" t="s">
        <v>46</v>
      </c>
      <c r="D57" s="791"/>
      <c r="E57" s="791"/>
      <c r="F57" s="791"/>
      <c r="G57" s="791"/>
      <c r="H57" s="791"/>
      <c r="I57" s="791"/>
      <c r="J57" s="791"/>
      <c r="K57" s="791"/>
      <c r="L57" s="791"/>
      <c r="M57" s="791"/>
      <c r="N57" s="791"/>
      <c r="O57" s="791"/>
      <c r="P57" s="791"/>
      <c r="Q57" s="791"/>
      <c r="R57" s="791"/>
      <c r="S57" s="791"/>
      <c r="T57" s="791"/>
      <c r="U57" s="791"/>
    </row>
    <row r="58" spans="1:21" s="1" customFormat="1" ht="18.75" x14ac:dyDescent="0.3">
      <c r="A58" s="601" t="str">
        <f t="shared" si="37"/>
        <v>décembre</v>
      </c>
      <c r="B58" s="1" t="str">
        <f t="shared" si="32"/>
        <v>janvier</v>
      </c>
      <c r="C58" s="596" t="s">
        <v>74</v>
      </c>
      <c r="D58" s="242" t="s">
        <v>68</v>
      </c>
      <c r="E58" s="600">
        <f t="shared" ref="E58:P58" si="64">$S$50*0.6+$S$24*0.4</f>
        <v>169.84650919261361</v>
      </c>
      <c r="F58" s="430">
        <f t="shared" si="64"/>
        <v>169.84650919261361</v>
      </c>
      <c r="G58" s="430">
        <f t="shared" si="64"/>
        <v>169.84650919261361</v>
      </c>
      <c r="H58" s="430">
        <f t="shared" si="64"/>
        <v>169.84650919261361</v>
      </c>
      <c r="I58" s="430">
        <f t="shared" si="64"/>
        <v>169.84650919261361</v>
      </c>
      <c r="J58" s="430">
        <f t="shared" si="64"/>
        <v>169.84650919261361</v>
      </c>
      <c r="K58" s="430">
        <f t="shared" si="64"/>
        <v>169.84650919261361</v>
      </c>
      <c r="L58" s="430">
        <f t="shared" si="64"/>
        <v>169.84650919261361</v>
      </c>
      <c r="M58" s="430">
        <f t="shared" si="64"/>
        <v>169.84650919261361</v>
      </c>
      <c r="N58" s="430">
        <f t="shared" si="64"/>
        <v>169.84650919261361</v>
      </c>
      <c r="O58" s="430">
        <f t="shared" si="64"/>
        <v>169.84650919261361</v>
      </c>
      <c r="P58" s="430">
        <f t="shared" si="64"/>
        <v>169.84650919261361</v>
      </c>
      <c r="Q58" s="311"/>
      <c r="R58" s="312"/>
      <c r="S58" s="312"/>
      <c r="T58" s="643">
        <f t="shared" ref="T58:T83" si="65">IFERROR((VLOOKUP($W$2,A58:P58,HLOOKUP($W$2,$E$3:$P$4,2,FALSE))-VLOOKUP($W$3,A58:P58,HLOOKUP($W$3,$E$3:$P$4,2,FALSE)))/(VLOOKUP($W$3,A58:P58,HLOOKUP($W$3,$E$3:$P$4,2,FALSE))),"")</f>
        <v>0</v>
      </c>
      <c r="U58" s="643"/>
    </row>
    <row r="59" spans="1:21" s="1" customFormat="1" ht="18.75" x14ac:dyDescent="0.3">
      <c r="A59" s="601" t="str">
        <f t="shared" si="37"/>
        <v>décembre</v>
      </c>
      <c r="B59" s="1" t="str">
        <f t="shared" si="32"/>
        <v>janvier</v>
      </c>
      <c r="C59" s="596" t="s">
        <v>75</v>
      </c>
      <c r="D59" s="242" t="s">
        <v>67</v>
      </c>
      <c r="E59" s="310">
        <f t="shared" ref="E59:P59" si="66">E58*E76</f>
        <v>92726.003228615489</v>
      </c>
      <c r="F59" s="310">
        <f t="shared" si="66"/>
        <v>128344.51467139847</v>
      </c>
      <c r="G59" s="310">
        <f t="shared" si="66"/>
        <v>119701.02581858636</v>
      </c>
      <c r="H59" s="310">
        <f t="shared" si="66"/>
        <v>51123.799266976697</v>
      </c>
      <c r="I59" s="310">
        <f t="shared" si="66"/>
        <v>96613.789824034408</v>
      </c>
      <c r="J59" s="310">
        <f t="shared" si="66"/>
        <v>0</v>
      </c>
      <c r="K59" s="310">
        <f t="shared" si="66"/>
        <v>0</v>
      </c>
      <c r="L59" s="310">
        <f t="shared" si="66"/>
        <v>0</v>
      </c>
      <c r="M59" s="310">
        <f t="shared" si="66"/>
        <v>0</v>
      </c>
      <c r="N59" s="310">
        <f t="shared" si="66"/>
        <v>0</v>
      </c>
      <c r="O59" s="310">
        <f t="shared" si="66"/>
        <v>0</v>
      </c>
      <c r="P59" s="310">
        <f t="shared" si="66"/>
        <v>0</v>
      </c>
      <c r="Q59" s="311"/>
      <c r="R59" s="312"/>
      <c r="S59" s="312"/>
      <c r="T59" s="643">
        <f t="shared" si="65"/>
        <v>0.88980066445182737</v>
      </c>
      <c r="U59" s="643"/>
    </row>
    <row r="60" spans="1:21" s="1" customFormat="1" ht="15" customHeight="1" outlineLevel="1" x14ac:dyDescent="0.25">
      <c r="A60" s="601" t="str">
        <f t="shared" si="37"/>
        <v>décembre</v>
      </c>
      <c r="B60" s="1" t="str">
        <f t="shared" si="32"/>
        <v>janvier</v>
      </c>
      <c r="C60" s="596" t="s">
        <v>76</v>
      </c>
      <c r="D60" s="231" t="s">
        <v>62</v>
      </c>
      <c r="E60" s="423">
        <f t="shared" ref="E60:P60" si="67">E94-E32-E6</f>
        <v>94432.57</v>
      </c>
      <c r="F60" s="423">
        <f t="shared" si="67"/>
        <v>201498</v>
      </c>
      <c r="G60" s="423">
        <f t="shared" si="67"/>
        <v>185405</v>
      </c>
      <c r="H60" s="423">
        <f t="shared" si="67"/>
        <v>112693.70000000001</v>
      </c>
      <c r="I60" s="423">
        <f t="shared" si="67"/>
        <v>131657</v>
      </c>
      <c r="J60" s="423">
        <f t="shared" si="67"/>
        <v>0</v>
      </c>
      <c r="K60" s="423">
        <f t="shared" si="67"/>
        <v>0</v>
      </c>
      <c r="L60" s="423">
        <f t="shared" si="67"/>
        <v>0</v>
      </c>
      <c r="M60" s="423">
        <f t="shared" si="67"/>
        <v>0</v>
      </c>
      <c r="N60" s="423">
        <f t="shared" si="67"/>
        <v>0</v>
      </c>
      <c r="O60" s="423">
        <f t="shared" si="67"/>
        <v>0</v>
      </c>
      <c r="P60" s="423">
        <f t="shared" si="67"/>
        <v>0</v>
      </c>
      <c r="Q60" s="240">
        <f t="shared" ref="Q60:Q70" si="68">SUM(E60:P60)</f>
        <v>725686.27</v>
      </c>
      <c r="R60" s="241"/>
      <c r="S60" s="241">
        <f>AVERAGE(E60:P60)</f>
        <v>60473.855833333335</v>
      </c>
      <c r="T60" s="643">
        <f t="shared" si="65"/>
        <v>0.16827293806131122</v>
      </c>
      <c r="U60" s="643"/>
    </row>
    <row r="61" spans="1:21" s="1" customFormat="1" x14ac:dyDescent="0.25">
      <c r="A61" s="601" t="str">
        <f t="shared" si="37"/>
        <v>décembre</v>
      </c>
      <c r="B61" s="1" t="str">
        <f t="shared" si="32"/>
        <v>janvier</v>
      </c>
      <c r="C61" s="596"/>
      <c r="D61" s="313" t="s">
        <v>66</v>
      </c>
      <c r="E61" s="424">
        <f t="shared" ref="E61:L61" si="69">-1*(IF(E60&lt;0,E60,0))</f>
        <v>0</v>
      </c>
      <c r="F61" s="424">
        <f t="shared" si="69"/>
        <v>0</v>
      </c>
      <c r="G61" s="424">
        <f t="shared" si="69"/>
        <v>0</v>
      </c>
      <c r="H61" s="424">
        <f t="shared" si="69"/>
        <v>0</v>
      </c>
      <c r="I61" s="424">
        <f t="shared" si="69"/>
        <v>0</v>
      </c>
      <c r="J61" s="424">
        <f t="shared" si="69"/>
        <v>0</v>
      </c>
      <c r="K61" s="424">
        <f t="shared" si="69"/>
        <v>0</v>
      </c>
      <c r="L61" s="424">
        <f t="shared" si="69"/>
        <v>0</v>
      </c>
      <c r="M61" s="423"/>
      <c r="N61" s="423"/>
      <c r="O61" s="423"/>
      <c r="P61" s="423"/>
      <c r="Q61" s="240"/>
      <c r="R61" s="241"/>
      <c r="S61" s="241"/>
      <c r="T61" s="643" t="str">
        <f t="shared" si="65"/>
        <v/>
      </c>
      <c r="U61" s="643"/>
    </row>
    <row r="62" spans="1:21" s="1" customFormat="1" x14ac:dyDescent="0.25">
      <c r="A62" s="601" t="str">
        <f t="shared" si="37"/>
        <v>décembre</v>
      </c>
      <c r="B62" s="1" t="str">
        <f t="shared" si="32"/>
        <v>janvier</v>
      </c>
      <c r="C62" s="596"/>
      <c r="D62" s="313" t="s">
        <v>65</v>
      </c>
      <c r="E62" s="423">
        <v>10871</v>
      </c>
      <c r="F62" s="423">
        <v>28984</v>
      </c>
      <c r="G62" s="423">
        <v>13377</v>
      </c>
      <c r="H62" s="423">
        <v>2165</v>
      </c>
      <c r="I62" s="423">
        <v>2144</v>
      </c>
      <c r="J62" s="423"/>
      <c r="K62" s="423"/>
      <c r="L62" s="423"/>
      <c r="M62" s="423"/>
      <c r="N62" s="423"/>
      <c r="O62" s="423"/>
      <c r="P62" s="423"/>
      <c r="Q62" s="240">
        <f t="shared" si="68"/>
        <v>57541</v>
      </c>
      <c r="R62" s="241"/>
      <c r="S62" s="241">
        <f>AVERAGE(E62:P62)</f>
        <v>11508.2</v>
      </c>
      <c r="T62" s="643">
        <f t="shared" si="65"/>
        <v>-9.6997690531177832E-3</v>
      </c>
      <c r="U62" s="643"/>
    </row>
    <row r="63" spans="1:21" s="1" customFormat="1" x14ac:dyDescent="0.25">
      <c r="A63" s="601" t="str">
        <f t="shared" si="37"/>
        <v>décembre</v>
      </c>
      <c r="B63" s="1" t="str">
        <f t="shared" si="32"/>
        <v>janvier</v>
      </c>
      <c r="C63" s="596"/>
      <c r="D63" s="231"/>
      <c r="E63" s="423"/>
      <c r="F63" s="423"/>
      <c r="G63" s="423"/>
      <c r="H63" s="423"/>
      <c r="I63" s="423"/>
      <c r="J63" s="423"/>
      <c r="K63" s="423"/>
      <c r="L63" s="423"/>
      <c r="M63" s="423"/>
      <c r="N63" s="423"/>
      <c r="O63" s="423"/>
      <c r="P63" s="423"/>
      <c r="Q63" s="240"/>
      <c r="R63" s="241"/>
      <c r="S63" s="241"/>
      <c r="T63" s="643" t="str">
        <f t="shared" si="65"/>
        <v/>
      </c>
      <c r="U63" s="643"/>
    </row>
    <row r="64" spans="1:21" s="1" customFormat="1" x14ac:dyDescent="0.25">
      <c r="A64" s="601" t="str">
        <f t="shared" si="37"/>
        <v>décembre</v>
      </c>
      <c r="B64" s="1" t="str">
        <f t="shared" ref="B64:B95" si="70">$W$2</f>
        <v>janvier</v>
      </c>
      <c r="C64" s="596"/>
      <c r="D64" s="242" t="s">
        <v>143</v>
      </c>
      <c r="E64" s="424">
        <v>25224.92</v>
      </c>
      <c r="F64" s="424">
        <v>28274</v>
      </c>
      <c r="G64" s="424">
        <v>28436</v>
      </c>
      <c r="H64" s="424">
        <v>25050</v>
      </c>
      <c r="I64" s="424">
        <v>48456</v>
      </c>
      <c r="J64" s="424"/>
      <c r="K64" s="424"/>
      <c r="L64" s="424"/>
      <c r="M64" s="424"/>
      <c r="N64" s="424"/>
      <c r="O64" s="424"/>
      <c r="P64" s="424"/>
      <c r="Q64" s="244">
        <f t="shared" si="68"/>
        <v>155440.91999999998</v>
      </c>
      <c r="R64" s="245"/>
      <c r="S64" s="245">
        <f>AVERAGE(E64:P64)</f>
        <v>31088.183999999997</v>
      </c>
      <c r="T64" s="643">
        <f t="shared" si="65"/>
        <v>0.93437125748502992</v>
      </c>
      <c r="U64" s="643"/>
    </row>
    <row r="65" spans="1:21" s="1" customFormat="1" x14ac:dyDescent="0.25">
      <c r="A65" s="601" t="str">
        <f t="shared" si="37"/>
        <v>décembre</v>
      </c>
      <c r="B65" s="1" t="str">
        <f t="shared" si="70"/>
        <v>janvier</v>
      </c>
      <c r="C65" s="596"/>
      <c r="D65" s="242" t="s">
        <v>32</v>
      </c>
      <c r="E65" s="424">
        <v>12979</v>
      </c>
      <c r="F65" s="424">
        <v>13379</v>
      </c>
      <c r="G65" s="424">
        <v>13379</v>
      </c>
      <c r="H65" s="424">
        <v>13372</v>
      </c>
      <c r="I65" s="424">
        <v>16089</v>
      </c>
      <c r="J65" s="424"/>
      <c r="K65" s="424"/>
      <c r="L65" s="424"/>
      <c r="M65" s="424"/>
      <c r="N65" s="424"/>
      <c r="O65" s="424"/>
      <c r="P65" s="424"/>
      <c r="Q65" s="244">
        <f t="shared" si="68"/>
        <v>69198</v>
      </c>
      <c r="R65" s="245"/>
      <c r="S65" s="245">
        <f t="shared" ref="S65:S70" si="71">AVERAGE(E65:P65)</f>
        <v>13839.6</v>
      </c>
      <c r="T65" s="643">
        <f t="shared" si="65"/>
        <v>0.20318576129225246</v>
      </c>
      <c r="U65" s="643"/>
    </row>
    <row r="66" spans="1:21" s="1" customFormat="1" x14ac:dyDescent="0.25">
      <c r="A66" s="601" t="str">
        <f t="shared" si="37"/>
        <v>décembre</v>
      </c>
      <c r="B66" s="1" t="str">
        <f t="shared" si="70"/>
        <v>janvier</v>
      </c>
      <c r="C66" s="596"/>
      <c r="D66" s="242" t="s">
        <v>33</v>
      </c>
      <c r="E66" s="424">
        <v>4678</v>
      </c>
      <c r="F66" s="424">
        <v>4557</v>
      </c>
      <c r="G66" s="424">
        <v>4557</v>
      </c>
      <c r="H66" s="424">
        <v>4557.5</v>
      </c>
      <c r="I66" s="424">
        <v>4557.5</v>
      </c>
      <c r="J66" s="424"/>
      <c r="K66" s="424"/>
      <c r="L66" s="424"/>
      <c r="M66" s="424"/>
      <c r="N66" s="424"/>
      <c r="O66" s="424"/>
      <c r="P66" s="424"/>
      <c r="Q66" s="244">
        <f t="shared" si="68"/>
        <v>22907</v>
      </c>
      <c r="R66" s="245"/>
      <c r="S66" s="245">
        <f t="shared" si="71"/>
        <v>4581.3999999999996</v>
      </c>
      <c r="T66" s="643">
        <f t="shared" si="65"/>
        <v>0</v>
      </c>
      <c r="U66" s="643"/>
    </row>
    <row r="67" spans="1:21" s="1" customFormat="1" x14ac:dyDescent="0.25">
      <c r="A67" s="601" t="str">
        <f t="shared" si="37"/>
        <v>décembre</v>
      </c>
      <c r="B67" s="1" t="str">
        <f t="shared" si="70"/>
        <v>janvier</v>
      </c>
      <c r="C67" s="596"/>
      <c r="D67" s="242" t="s">
        <v>34</v>
      </c>
      <c r="E67" s="599">
        <v>10381</v>
      </c>
      <c r="F67" s="599">
        <v>16467</v>
      </c>
      <c r="G67" s="599">
        <f>14221+2897</f>
        <v>17118</v>
      </c>
      <c r="H67" s="599">
        <v>11369</v>
      </c>
      <c r="I67" s="599">
        <v>13790</v>
      </c>
      <c r="J67" s="599"/>
      <c r="K67" s="599"/>
      <c r="L67" s="599"/>
      <c r="M67" s="599"/>
      <c r="N67" s="599"/>
      <c r="O67" s="599"/>
      <c r="P67" s="599"/>
      <c r="Q67" s="244">
        <f t="shared" si="68"/>
        <v>69125</v>
      </c>
      <c r="R67" s="245"/>
      <c r="S67" s="245">
        <f t="shared" si="71"/>
        <v>13825</v>
      </c>
      <c r="T67" s="643">
        <f t="shared" si="65"/>
        <v>0.21294748878529335</v>
      </c>
      <c r="U67" s="643"/>
    </row>
    <row r="68" spans="1:21" s="1" customFormat="1" x14ac:dyDescent="0.25">
      <c r="A68" s="601" t="str">
        <f t="shared" si="37"/>
        <v>décembre</v>
      </c>
      <c r="B68" s="1" t="str">
        <f t="shared" si="70"/>
        <v>janvier</v>
      </c>
      <c r="C68" s="596"/>
      <c r="D68" s="242" t="s">
        <v>35</v>
      </c>
      <c r="E68" s="243">
        <f t="shared" ref="E68:P68" si="72">SUM(E62:E67)</f>
        <v>64133.919999999998</v>
      </c>
      <c r="F68" s="243">
        <f t="shared" si="72"/>
        <v>91661</v>
      </c>
      <c r="G68" s="243">
        <f t="shared" si="72"/>
        <v>76867</v>
      </c>
      <c r="H68" s="243">
        <f t="shared" si="72"/>
        <v>56513.5</v>
      </c>
      <c r="I68" s="243">
        <f t="shared" si="72"/>
        <v>85036.5</v>
      </c>
      <c r="J68" s="243">
        <f t="shared" si="72"/>
        <v>0</v>
      </c>
      <c r="K68" s="243">
        <f t="shared" si="72"/>
        <v>0</v>
      </c>
      <c r="L68" s="243">
        <f t="shared" si="72"/>
        <v>0</v>
      </c>
      <c r="M68" s="243">
        <f t="shared" si="72"/>
        <v>0</v>
      </c>
      <c r="N68" s="243">
        <f t="shared" si="72"/>
        <v>0</v>
      </c>
      <c r="O68" s="243">
        <f t="shared" si="72"/>
        <v>0</v>
      </c>
      <c r="P68" s="243">
        <f t="shared" si="72"/>
        <v>0</v>
      </c>
      <c r="Q68" s="244">
        <f t="shared" si="68"/>
        <v>374211.92</v>
      </c>
      <c r="R68" s="245"/>
      <c r="S68" s="245">
        <f t="shared" si="71"/>
        <v>31184.326666666664</v>
      </c>
      <c r="T68" s="643">
        <f t="shared" si="65"/>
        <v>0.50471126368035957</v>
      </c>
      <c r="U68" s="643"/>
    </row>
    <row r="69" spans="1:21" s="1" customFormat="1" ht="28.5" x14ac:dyDescent="0.25">
      <c r="A69" s="601" t="str">
        <f t="shared" si="37"/>
        <v>décembre</v>
      </c>
      <c r="B69" s="1" t="str">
        <f t="shared" si="70"/>
        <v>janvier</v>
      </c>
      <c r="C69" s="596"/>
      <c r="D69" s="497" t="s">
        <v>69</v>
      </c>
      <c r="E69" s="239">
        <f>E60-E68+E70+E75</f>
        <v>53021.247500000005</v>
      </c>
      <c r="F69" s="239">
        <f t="shared" ref="F69:P69" si="73">F60-F68+F70+F75</f>
        <v>137901.05000000002</v>
      </c>
      <c r="G69" s="239">
        <f t="shared" si="73"/>
        <v>135280.65</v>
      </c>
      <c r="H69" s="239">
        <f t="shared" si="73"/>
        <v>89455.950000000012</v>
      </c>
      <c r="I69" s="239">
        <f t="shared" si="73"/>
        <v>77596.899999999994</v>
      </c>
      <c r="J69" s="239">
        <f t="shared" si="73"/>
        <v>0</v>
      </c>
      <c r="K69" s="239">
        <f t="shared" si="73"/>
        <v>0</v>
      </c>
      <c r="L69" s="239">
        <f t="shared" si="73"/>
        <v>0</v>
      </c>
      <c r="M69" s="239">
        <f t="shared" si="73"/>
        <v>0</v>
      </c>
      <c r="N69" s="239">
        <f t="shared" si="73"/>
        <v>0</v>
      </c>
      <c r="O69" s="239">
        <f t="shared" si="73"/>
        <v>0</v>
      </c>
      <c r="P69" s="239">
        <f t="shared" si="73"/>
        <v>0</v>
      </c>
      <c r="Q69" s="240">
        <f>SUM(E69:P69)</f>
        <v>493255.79749999999</v>
      </c>
      <c r="R69" s="241"/>
      <c r="S69" s="241">
        <f>AVERAGE(E69:M69)</f>
        <v>54806.19972222222</v>
      </c>
      <c r="T69" s="643">
        <f t="shared" si="65"/>
        <v>-0.13256859940562943</v>
      </c>
      <c r="U69" s="643"/>
    </row>
    <row r="70" spans="1:21" s="1" customFormat="1" x14ac:dyDescent="0.25">
      <c r="A70" s="601" t="str">
        <f t="shared" ref="A70:A104" si="74">$W$3</f>
        <v>décembre</v>
      </c>
      <c r="B70" s="1" t="str">
        <f t="shared" si="70"/>
        <v>janvier</v>
      </c>
      <c r="C70" s="596"/>
      <c r="D70" s="242" t="s">
        <v>36</v>
      </c>
      <c r="E70" s="243">
        <f>E71*E90</f>
        <v>21691.197499999998</v>
      </c>
      <c r="F70" s="243">
        <f t="shared" ref="F70:K70" si="75">F71*F90</f>
        <v>25991.35</v>
      </c>
      <c r="G70" s="243">
        <f t="shared" si="75"/>
        <v>25897.55</v>
      </c>
      <c r="H70" s="243">
        <f t="shared" si="75"/>
        <v>31680.949999999997</v>
      </c>
      <c r="I70" s="243">
        <f t="shared" si="75"/>
        <v>30976.399999999998</v>
      </c>
      <c r="J70" s="243">
        <f t="shared" si="75"/>
        <v>0</v>
      </c>
      <c r="K70" s="243">
        <f t="shared" si="75"/>
        <v>0</v>
      </c>
      <c r="L70" s="243">
        <f>L71*L90</f>
        <v>0</v>
      </c>
      <c r="M70" s="243">
        <f>M71*M90</f>
        <v>0</v>
      </c>
      <c r="N70" s="243">
        <f>N71*N90</f>
        <v>0</v>
      </c>
      <c r="O70" s="243">
        <f>O71*O90</f>
        <v>0</v>
      </c>
      <c r="P70" s="243">
        <f>P71*P90</f>
        <v>0</v>
      </c>
      <c r="Q70" s="244">
        <f t="shared" si="68"/>
        <v>136237.44750000001</v>
      </c>
      <c r="R70" s="245"/>
      <c r="S70" s="245">
        <f t="shared" si="71"/>
        <v>11353.120625000001</v>
      </c>
      <c r="T70" s="643">
        <f t="shared" si="65"/>
        <v>-2.2238916446634314E-2</v>
      </c>
      <c r="U70" s="643"/>
    </row>
    <row r="71" spans="1:21" s="1" customFormat="1" x14ac:dyDescent="0.25">
      <c r="A71" s="601" t="str">
        <f t="shared" si="74"/>
        <v>décembre</v>
      </c>
      <c r="B71" s="1" t="str">
        <f t="shared" si="70"/>
        <v>janvier</v>
      </c>
      <c r="C71" s="596"/>
      <c r="D71" s="242" t="s">
        <v>37</v>
      </c>
      <c r="E71" s="250">
        <v>0.35</v>
      </c>
      <c r="F71" s="250">
        <v>0.35</v>
      </c>
      <c r="G71" s="250">
        <v>0.35</v>
      </c>
      <c r="H71" s="250">
        <v>0.35</v>
      </c>
      <c r="I71" s="250">
        <v>0.35</v>
      </c>
      <c r="J71" s="250">
        <v>0.35</v>
      </c>
      <c r="K71" s="250">
        <v>0.35</v>
      </c>
      <c r="L71" s="250">
        <v>0.35</v>
      </c>
      <c r="M71" s="250">
        <v>0.35</v>
      </c>
      <c r="N71" s="250">
        <v>0.35</v>
      </c>
      <c r="O71" s="250">
        <v>0.35</v>
      </c>
      <c r="P71" s="250">
        <v>0.35</v>
      </c>
      <c r="Q71" s="251"/>
      <c r="R71" s="250"/>
      <c r="S71" s="245"/>
      <c r="T71" s="643">
        <f t="shared" si="65"/>
        <v>0</v>
      </c>
      <c r="U71" s="643"/>
    </row>
    <row r="72" spans="1:21" s="1" customFormat="1" ht="30" x14ac:dyDescent="0.25">
      <c r="A72" s="601" t="str">
        <f t="shared" si="74"/>
        <v>décembre</v>
      </c>
      <c r="B72" s="1" t="str">
        <f t="shared" si="70"/>
        <v>janvier</v>
      </c>
      <c r="C72" s="596"/>
      <c r="D72" s="497" t="s">
        <v>71</v>
      </c>
      <c r="E72" s="578">
        <f t="shared" ref="E72:K72" si="76">E69-E70</f>
        <v>31330.050000000007</v>
      </c>
      <c r="F72" s="578">
        <f t="shared" si="76"/>
        <v>111909.70000000001</v>
      </c>
      <c r="G72" s="578">
        <f t="shared" si="76"/>
        <v>109383.09999999999</v>
      </c>
      <c r="H72" s="578">
        <f t="shared" si="76"/>
        <v>57775.000000000015</v>
      </c>
      <c r="I72" s="578">
        <f t="shared" si="76"/>
        <v>46620.5</v>
      </c>
      <c r="J72" s="578">
        <f t="shared" si="76"/>
        <v>0</v>
      </c>
      <c r="K72" s="578">
        <f t="shared" si="76"/>
        <v>0</v>
      </c>
      <c r="L72" s="578">
        <f>L69-L70</f>
        <v>0</v>
      </c>
      <c r="M72" s="578">
        <f>M69-M70</f>
        <v>0</v>
      </c>
      <c r="N72" s="578">
        <f>N69-N70</f>
        <v>0</v>
      </c>
      <c r="O72" s="578">
        <f>O69-O70</f>
        <v>0</v>
      </c>
      <c r="P72" s="578">
        <f>P69-P70</f>
        <v>0</v>
      </c>
      <c r="Q72" s="240">
        <f>SUM(E72:P72)</f>
        <v>357018.35000000003</v>
      </c>
      <c r="R72" s="241"/>
      <c r="S72" s="241">
        <f>AVERAGE(E72:P72)</f>
        <v>29751.529166666671</v>
      </c>
      <c r="T72" s="643">
        <f t="shared" si="65"/>
        <v>-0.19306793595845975</v>
      </c>
      <c r="U72" s="643"/>
    </row>
    <row r="73" spans="1:21" s="1" customFormat="1" ht="15" customHeight="1" x14ac:dyDescent="0.25">
      <c r="A73" s="601" t="str">
        <f t="shared" si="74"/>
        <v>décembre</v>
      </c>
      <c r="B73" s="1" t="str">
        <f t="shared" si="70"/>
        <v>janvier</v>
      </c>
      <c r="C73" s="777" t="s">
        <v>38</v>
      </c>
      <c r="D73" s="580" t="s">
        <v>61</v>
      </c>
      <c r="E73" s="428">
        <v>97.2</v>
      </c>
      <c r="F73" s="428">
        <v>113.4</v>
      </c>
      <c r="G73" s="428">
        <v>48.6</v>
      </c>
      <c r="H73" s="428">
        <v>64.8</v>
      </c>
      <c r="I73" s="428"/>
      <c r="J73" s="428"/>
      <c r="K73" s="428"/>
      <c r="L73" s="428"/>
      <c r="M73" s="428"/>
      <c r="N73" s="428"/>
      <c r="O73" s="428"/>
      <c r="P73" s="428"/>
      <c r="Q73" s="581">
        <f>SUM(E73:P73)</f>
        <v>324.00000000000006</v>
      </c>
      <c r="R73" s="56"/>
      <c r="S73" s="56">
        <f>AVERAGE(E73:P73)</f>
        <v>81.000000000000014</v>
      </c>
      <c r="T73" s="644">
        <f t="shared" si="65"/>
        <v>-1</v>
      </c>
      <c r="U73" s="644"/>
    </row>
    <row r="74" spans="1:21" s="1" customFormat="1" ht="15" customHeight="1" x14ac:dyDescent="0.25">
      <c r="A74" s="601" t="str">
        <f t="shared" si="74"/>
        <v>décembre</v>
      </c>
      <c r="B74" s="1" t="str">
        <f t="shared" si="70"/>
        <v>janvier</v>
      </c>
      <c r="C74" s="778"/>
      <c r="D74" s="498" t="s">
        <v>89</v>
      </c>
      <c r="E74" s="500">
        <f>E75/E73</f>
        <v>10.611111111111112</v>
      </c>
      <c r="F74" s="500">
        <f t="shared" ref="F74:H74" si="77">F75/F73</f>
        <v>18.277777777777775</v>
      </c>
      <c r="G74" s="500">
        <f t="shared" si="77"/>
        <v>17.388888888888889</v>
      </c>
      <c r="H74" s="500">
        <f t="shared" si="77"/>
        <v>24.611111111111111</v>
      </c>
      <c r="I74" s="500" t="str">
        <f>IFERROR(I75/I73,"")</f>
        <v/>
      </c>
      <c r="J74" s="500" t="str">
        <f t="shared" ref="J74:P74" si="78">IFERROR(J75/J73,"")</f>
        <v/>
      </c>
      <c r="K74" s="500" t="str">
        <f t="shared" si="78"/>
        <v/>
      </c>
      <c r="L74" s="500" t="str">
        <f t="shared" si="78"/>
        <v/>
      </c>
      <c r="M74" s="500" t="str">
        <f t="shared" si="78"/>
        <v/>
      </c>
      <c r="N74" s="500" t="str">
        <f t="shared" si="78"/>
        <v/>
      </c>
      <c r="O74" s="500" t="str">
        <f t="shared" si="78"/>
        <v/>
      </c>
      <c r="P74" s="500" t="str">
        <f t="shared" si="78"/>
        <v/>
      </c>
      <c r="Q74" s="501"/>
      <c r="R74" s="40"/>
      <c r="S74" s="502">
        <f>AVERAGE(E74:P74)</f>
        <v>17.722222222222221</v>
      </c>
      <c r="T74" s="644" t="str">
        <f t="shared" si="65"/>
        <v/>
      </c>
      <c r="U74" s="644"/>
    </row>
    <row r="75" spans="1:21" s="1" customFormat="1" x14ac:dyDescent="0.25">
      <c r="A75" s="601" t="str">
        <f t="shared" si="74"/>
        <v>décembre</v>
      </c>
      <c r="B75" s="1" t="str">
        <f t="shared" si="70"/>
        <v>janvier</v>
      </c>
      <c r="C75" s="778"/>
      <c r="D75" s="579" t="s">
        <v>60</v>
      </c>
      <c r="E75" s="424">
        <v>1031.4000000000001</v>
      </c>
      <c r="F75" s="424">
        <v>2072.6999999999998</v>
      </c>
      <c r="G75" s="424">
        <v>845.1</v>
      </c>
      <c r="H75" s="424">
        <v>1594.8</v>
      </c>
      <c r="I75" s="424"/>
      <c r="J75" s="424"/>
      <c r="K75" s="424"/>
      <c r="L75" s="424"/>
      <c r="M75" s="424"/>
      <c r="N75" s="424"/>
      <c r="O75" s="424"/>
      <c r="P75" s="424"/>
      <c r="Q75" s="503">
        <f>SUM(E75:P75)</f>
        <v>5544</v>
      </c>
      <c r="R75" s="504"/>
      <c r="S75" s="504">
        <f>AVERAGE(E75:P75)</f>
        <v>1386</v>
      </c>
      <c r="T75" s="644">
        <f t="shared" si="65"/>
        <v>-1</v>
      </c>
      <c r="U75" s="644"/>
    </row>
    <row r="76" spans="1:21" s="1" customFormat="1" x14ac:dyDescent="0.25">
      <c r="A76" s="601" t="str">
        <f t="shared" si="74"/>
        <v>décembre</v>
      </c>
      <c r="B76" s="1" t="str">
        <f t="shared" si="70"/>
        <v>janvier</v>
      </c>
      <c r="C76" s="778"/>
      <c r="D76" s="580" t="s">
        <v>140</v>
      </c>
      <c r="E76" s="428">
        <v>545.94000000000005</v>
      </c>
      <c r="F76" s="428">
        <v>755.65</v>
      </c>
      <c r="G76" s="428">
        <v>704.76</v>
      </c>
      <c r="H76" s="428">
        <v>301</v>
      </c>
      <c r="I76" s="428">
        <v>568.83000000000004</v>
      </c>
      <c r="J76" s="428"/>
      <c r="K76" s="428"/>
      <c r="L76" s="428"/>
      <c r="M76" s="428"/>
      <c r="N76" s="428"/>
      <c r="O76" s="428"/>
      <c r="P76" s="428"/>
      <c r="Q76" s="583">
        <f>SUM(E76:P76)</f>
        <v>2876.1800000000003</v>
      </c>
      <c r="R76" s="584"/>
      <c r="S76" s="584">
        <f>AVERAGE(E76:P76)</f>
        <v>575.2360000000001</v>
      </c>
      <c r="T76" s="644">
        <f t="shared" si="65"/>
        <v>0.88980066445182737</v>
      </c>
      <c r="U76" s="644"/>
    </row>
    <row r="77" spans="1:21" s="1" customFormat="1" x14ac:dyDescent="0.25">
      <c r="A77" s="601" t="str">
        <f t="shared" si="74"/>
        <v>décembre</v>
      </c>
      <c r="B77" s="1" t="str">
        <f t="shared" si="70"/>
        <v>janvier</v>
      </c>
      <c r="C77" s="778"/>
      <c r="D77" s="498" t="s">
        <v>40</v>
      </c>
      <c r="E77" s="507">
        <f t="shared" ref="E77:P77" si="79">E60/E2</f>
        <v>4721.6285000000007</v>
      </c>
      <c r="F77" s="507">
        <f t="shared" si="79"/>
        <v>9159</v>
      </c>
      <c r="G77" s="507">
        <f t="shared" si="79"/>
        <v>8828.8095238095229</v>
      </c>
      <c r="H77" s="507">
        <f t="shared" si="79"/>
        <v>6629.0411764705887</v>
      </c>
      <c r="I77" s="507">
        <f t="shared" si="79"/>
        <v>6582.85</v>
      </c>
      <c r="J77" s="507">
        <f t="shared" si="79"/>
        <v>0</v>
      </c>
      <c r="K77" s="507">
        <f t="shared" si="79"/>
        <v>0</v>
      </c>
      <c r="L77" s="507">
        <f t="shared" si="79"/>
        <v>0</v>
      </c>
      <c r="M77" s="507">
        <f t="shared" si="79"/>
        <v>0</v>
      </c>
      <c r="N77" s="507">
        <f t="shared" si="79"/>
        <v>0</v>
      </c>
      <c r="O77" s="507">
        <f t="shared" si="79"/>
        <v>0</v>
      </c>
      <c r="P77" s="507">
        <f t="shared" si="79"/>
        <v>0</v>
      </c>
      <c r="Q77" s="503"/>
      <c r="R77" s="504"/>
      <c r="S77" s="504"/>
      <c r="T77" s="644">
        <f t="shared" si="65"/>
        <v>-6.9680026478853817E-3</v>
      </c>
      <c r="U77" s="644"/>
    </row>
    <row r="78" spans="1:21" s="1" customFormat="1" x14ac:dyDescent="0.25">
      <c r="A78" s="601" t="str">
        <f t="shared" si="74"/>
        <v>décembre</v>
      </c>
      <c r="B78" s="1" t="str">
        <f t="shared" si="70"/>
        <v>janvier</v>
      </c>
      <c r="C78" s="778"/>
      <c r="D78" s="498" t="s">
        <v>41</v>
      </c>
      <c r="E78" s="507">
        <f t="shared" ref="E78:I78" si="80">E60/E76</f>
        <v>172.97243286808074</v>
      </c>
      <c r="F78" s="507">
        <f>F60/F76</f>
        <v>266.65519751207569</v>
      </c>
      <c r="G78" s="507">
        <f t="shared" si="80"/>
        <v>263.07537317668425</v>
      </c>
      <c r="H78" s="507">
        <f t="shared" si="80"/>
        <v>374.39767441860471</v>
      </c>
      <c r="I78" s="507">
        <f t="shared" si="80"/>
        <v>231.45227923984316</v>
      </c>
      <c r="J78" s="507" t="str">
        <f>IFERROR(J60/J76,"")</f>
        <v/>
      </c>
      <c r="K78" s="507" t="str">
        <f t="shared" ref="K78:P78" si="81">IFERROR(K60/K76,"")</f>
        <v/>
      </c>
      <c r="L78" s="507" t="str">
        <f t="shared" si="81"/>
        <v/>
      </c>
      <c r="M78" s="507" t="str">
        <f t="shared" si="81"/>
        <v/>
      </c>
      <c r="N78" s="507" t="str">
        <f t="shared" si="81"/>
        <v/>
      </c>
      <c r="O78" s="507" t="str">
        <f t="shared" si="81"/>
        <v/>
      </c>
      <c r="P78" s="507" t="str">
        <f t="shared" si="81"/>
        <v/>
      </c>
      <c r="Q78" s="503">
        <f>SUM(E78:P78)</f>
        <v>1308.5529572152886</v>
      </c>
      <c r="R78" s="504"/>
      <c r="S78" s="504">
        <f>AVERAGE(E78:P78)</f>
        <v>261.71059144305775</v>
      </c>
      <c r="T78" s="644">
        <f t="shared" si="65"/>
        <v>-0.38180096978630762</v>
      </c>
      <c r="U78" s="644"/>
    </row>
    <row r="79" spans="1:21" s="1" customFormat="1" x14ac:dyDescent="0.25">
      <c r="A79" s="601" t="str">
        <f t="shared" si="74"/>
        <v>décembre</v>
      </c>
      <c r="B79" s="1" t="str">
        <f t="shared" si="70"/>
        <v>janvier</v>
      </c>
      <c r="C79" s="778"/>
      <c r="D79" s="498" t="s">
        <v>42</v>
      </c>
      <c r="E79" s="507">
        <f>(E68-$S$75)/E76</f>
        <v>114.93556068432427</v>
      </c>
      <c r="F79" s="507">
        <f t="shared" ref="F79:I79" si="82">(F68-$S$75)/F76</f>
        <v>119.46668431151988</v>
      </c>
      <c r="G79" s="507">
        <f t="shared" si="82"/>
        <v>107.10170838299562</v>
      </c>
      <c r="H79" s="507">
        <f t="shared" si="82"/>
        <v>183.14784053156146</v>
      </c>
      <c r="I79" s="507">
        <f t="shared" si="82"/>
        <v>147.05711724065185</v>
      </c>
      <c r="J79" s="507" t="str">
        <f>IFERROR(J68-$S$75/J76,"")</f>
        <v/>
      </c>
      <c r="K79" s="507" t="str">
        <f t="shared" ref="K79:P79" si="83">IFERROR(K68-$S$75/K76,"")</f>
        <v/>
      </c>
      <c r="L79" s="507" t="str">
        <f t="shared" si="83"/>
        <v/>
      </c>
      <c r="M79" s="507" t="str">
        <f t="shared" si="83"/>
        <v/>
      </c>
      <c r="N79" s="507" t="str">
        <f t="shared" si="83"/>
        <v/>
      </c>
      <c r="O79" s="507" t="str">
        <f t="shared" si="83"/>
        <v/>
      </c>
      <c r="P79" s="507" t="str">
        <f t="shared" si="83"/>
        <v/>
      </c>
      <c r="Q79" s="503">
        <f>AVERAGE(E79:P79)</f>
        <v>134.34178223021064</v>
      </c>
      <c r="R79" s="504"/>
      <c r="S79" s="504">
        <f>AVERAGE(E79:P79)</f>
        <v>134.34178223021064</v>
      </c>
      <c r="T79" s="644">
        <f t="shared" si="65"/>
        <v>-0.19705786967600186</v>
      </c>
      <c r="U79" s="644"/>
    </row>
    <row r="80" spans="1:21" s="1" customFormat="1" x14ac:dyDescent="0.25">
      <c r="A80" s="601" t="str">
        <f t="shared" si="74"/>
        <v>décembre</v>
      </c>
      <c r="B80" s="1" t="str">
        <f t="shared" si="70"/>
        <v>janvier</v>
      </c>
      <c r="C80" s="778"/>
      <c r="D80" s="499" t="s">
        <v>43</v>
      </c>
      <c r="E80" s="508">
        <f>E78-E79</f>
        <v>58.036872183756472</v>
      </c>
      <c r="F80" s="508">
        <f>F78-F79</f>
        <v>147.1885132005558</v>
      </c>
      <c r="G80" s="508">
        <f t="shared" ref="G80:H80" si="84">G78-G79</f>
        <v>155.97366479368861</v>
      </c>
      <c r="H80" s="508">
        <f t="shared" si="84"/>
        <v>191.24983388704325</v>
      </c>
      <c r="I80" s="508">
        <f>I78-I79</f>
        <v>84.395161999191316</v>
      </c>
      <c r="J80" s="508" t="str">
        <f>IFERROR(J78-J79,"")</f>
        <v/>
      </c>
      <c r="K80" s="508" t="str">
        <f t="shared" ref="K80:P80" si="85">IFERROR(K78-K79,"")</f>
        <v/>
      </c>
      <c r="L80" s="508" t="str">
        <f t="shared" si="85"/>
        <v/>
      </c>
      <c r="M80" s="508" t="str">
        <f t="shared" si="85"/>
        <v/>
      </c>
      <c r="N80" s="508" t="str">
        <f t="shared" si="85"/>
        <v/>
      </c>
      <c r="O80" s="508" t="str">
        <f t="shared" si="85"/>
        <v/>
      </c>
      <c r="P80" s="508" t="str">
        <f t="shared" si="85"/>
        <v/>
      </c>
      <c r="Q80" s="505"/>
      <c r="R80" s="506"/>
      <c r="S80" s="506">
        <f>AVERAGE(E80:P80)</f>
        <v>127.3688092128471</v>
      </c>
      <c r="T80" s="644">
        <f t="shared" si="65"/>
        <v>-0.5587177239116603</v>
      </c>
      <c r="U80" s="644"/>
    </row>
    <row r="81" spans="1:21" s="1" customFormat="1" x14ac:dyDescent="0.25">
      <c r="A81" s="601" t="str">
        <f t="shared" si="74"/>
        <v>décembre</v>
      </c>
      <c r="B81" s="1" t="str">
        <f t="shared" si="70"/>
        <v>janvier</v>
      </c>
      <c r="C81" s="755" t="s">
        <v>95</v>
      </c>
      <c r="D81" s="582" t="s">
        <v>91</v>
      </c>
      <c r="E81" s="429">
        <v>1355.62</v>
      </c>
      <c r="F81" s="429">
        <v>1880.85</v>
      </c>
      <c r="G81" s="429">
        <v>2243.62</v>
      </c>
      <c r="H81" s="429">
        <v>1841.64</v>
      </c>
      <c r="I81" s="429">
        <v>1880.98</v>
      </c>
      <c r="J81" s="429"/>
      <c r="K81" s="429"/>
      <c r="L81" s="429"/>
      <c r="M81" s="429"/>
      <c r="N81" s="429"/>
      <c r="O81" s="429"/>
      <c r="P81" s="429"/>
      <c r="Q81" s="513"/>
      <c r="R81" s="514"/>
      <c r="S81" s="514"/>
      <c r="T81" s="645">
        <f t="shared" si="65"/>
        <v>2.1361395278121628E-2</v>
      </c>
      <c r="U81" s="645"/>
    </row>
    <row r="82" spans="1:21" s="1" customFormat="1" x14ac:dyDescent="0.25">
      <c r="A82" s="601" t="str">
        <f t="shared" si="74"/>
        <v>décembre</v>
      </c>
      <c r="B82" s="1" t="str">
        <f t="shared" si="70"/>
        <v>janvier</v>
      </c>
      <c r="C82" s="756"/>
      <c r="D82" s="509" t="s">
        <v>96</v>
      </c>
      <c r="E82" s="511">
        <f t="shared" ref="E82:I82" si="86">E60/E81</f>
        <v>69.660059603723766</v>
      </c>
      <c r="F82" s="511">
        <f t="shared" si="86"/>
        <v>107.13135018741526</v>
      </c>
      <c r="G82" s="511">
        <f t="shared" si="86"/>
        <v>82.636542730052327</v>
      </c>
      <c r="H82" s="511">
        <f t="shared" si="86"/>
        <v>61.192035359788015</v>
      </c>
      <c r="I82" s="511">
        <f t="shared" si="86"/>
        <v>69.993833001945788</v>
      </c>
      <c r="J82" s="511" t="str">
        <f>IFERROR(J60/J81,"")</f>
        <v/>
      </c>
      <c r="K82" s="511" t="str">
        <f t="shared" ref="K82:P82" si="87">IFERROR(K60/K81,"")</f>
        <v/>
      </c>
      <c r="L82" s="511" t="str">
        <f t="shared" si="87"/>
        <v/>
      </c>
      <c r="M82" s="511" t="str">
        <f t="shared" si="87"/>
        <v/>
      </c>
      <c r="N82" s="511" t="str">
        <f t="shared" si="87"/>
        <v/>
      </c>
      <c r="O82" s="511" t="str">
        <f t="shared" si="87"/>
        <v/>
      </c>
      <c r="P82" s="511" t="str">
        <f t="shared" si="87"/>
        <v/>
      </c>
      <c r="Q82" s="515">
        <f>AVERAGE(E82:P82)</f>
        <v>78.122764176585036</v>
      </c>
      <c r="R82" s="516"/>
      <c r="S82" s="516"/>
      <c r="T82" s="645">
        <f t="shared" si="65"/>
        <v>0.14383894228074365</v>
      </c>
      <c r="U82" s="645"/>
    </row>
    <row r="83" spans="1:21" s="1" customFormat="1" ht="15.75" thickBot="1" x14ac:dyDescent="0.3">
      <c r="A83" s="601" t="str">
        <f t="shared" si="74"/>
        <v>décembre</v>
      </c>
      <c r="B83" s="1" t="str">
        <f t="shared" si="70"/>
        <v>janvier</v>
      </c>
      <c r="C83" s="757"/>
      <c r="D83" s="510" t="s">
        <v>92</v>
      </c>
      <c r="E83" s="512">
        <f>(E68-E62)/E81</f>
        <v>39.290450126141543</v>
      </c>
      <c r="F83" s="512">
        <f>(F68-F62)/F81</f>
        <v>33.32376319217375</v>
      </c>
      <c r="G83" s="512">
        <f t="shared" ref="G83:I83" si="88">(G68-G62)/G81</f>
        <v>28.298018381009264</v>
      </c>
      <c r="H83" s="512">
        <f t="shared" si="88"/>
        <v>29.510925045068525</v>
      </c>
      <c r="I83" s="512">
        <f t="shared" si="88"/>
        <v>44.068783293814924</v>
      </c>
      <c r="J83" s="512" t="str">
        <f>IFERROR(J68-J62/J81,"")</f>
        <v/>
      </c>
      <c r="K83" s="512" t="str">
        <f t="shared" ref="K83:P83" si="89">IFERROR(K68-K62/K81,"")</f>
        <v/>
      </c>
      <c r="L83" s="512" t="str">
        <f t="shared" si="89"/>
        <v/>
      </c>
      <c r="M83" s="512" t="str">
        <f t="shared" si="89"/>
        <v/>
      </c>
      <c r="N83" s="512" t="str">
        <f t="shared" si="89"/>
        <v/>
      </c>
      <c r="O83" s="512" t="str">
        <f t="shared" si="89"/>
        <v/>
      </c>
      <c r="P83" s="512" t="str">
        <f t="shared" si="89"/>
        <v/>
      </c>
      <c r="Q83" s="517">
        <f>AVERAGE(E83:P83)</f>
        <v>34.8983880076416</v>
      </c>
      <c r="R83" s="630"/>
      <c r="S83" s="518">
        <f>AVERAGE(E83:O83)</f>
        <v>34.8983880076416</v>
      </c>
      <c r="T83" s="645">
        <f t="shared" si="65"/>
        <v>0.49330402983010235</v>
      </c>
      <c r="U83" s="645"/>
    </row>
    <row r="84" spans="1:21" s="1" customFormat="1" ht="21.75" thickBot="1" x14ac:dyDescent="0.4">
      <c r="A84" s="601" t="str">
        <f t="shared" si="74"/>
        <v>décembre</v>
      </c>
      <c r="B84" s="1" t="str">
        <f t="shared" si="70"/>
        <v>janvier</v>
      </c>
      <c r="C84" s="792" t="s">
        <v>47</v>
      </c>
      <c r="D84" s="793"/>
      <c r="E84" s="793"/>
      <c r="F84" s="793"/>
      <c r="G84" s="793"/>
      <c r="H84" s="793"/>
      <c r="I84" s="793"/>
      <c r="J84" s="793"/>
      <c r="K84" s="793"/>
      <c r="L84" s="793"/>
      <c r="M84" s="793"/>
      <c r="N84" s="793"/>
      <c r="O84" s="793"/>
      <c r="P84" s="793"/>
      <c r="Q84" s="793"/>
      <c r="R84" s="793"/>
      <c r="S84" s="793"/>
      <c r="T84" s="793"/>
      <c r="U84" s="793"/>
    </row>
    <row r="85" spans="1:21" s="1" customFormat="1" x14ac:dyDescent="0.25">
      <c r="A85" s="601" t="str">
        <f t="shared" si="74"/>
        <v>décembre</v>
      </c>
      <c r="B85" s="1" t="str">
        <f t="shared" si="70"/>
        <v>janvier</v>
      </c>
      <c r="C85" s="521"/>
      <c r="D85" s="519" t="s">
        <v>143</v>
      </c>
      <c r="E85" s="433">
        <v>29090.85</v>
      </c>
      <c r="F85" s="433">
        <v>28020</v>
      </c>
      <c r="G85" s="433">
        <v>31568</v>
      </c>
      <c r="H85" s="433">
        <v>27520</v>
      </c>
      <c r="I85" s="433">
        <v>29261</v>
      </c>
      <c r="J85" s="433"/>
      <c r="K85" s="433"/>
      <c r="L85" s="433"/>
      <c r="M85" s="433"/>
      <c r="N85" s="433"/>
      <c r="O85" s="433"/>
      <c r="P85" s="433"/>
      <c r="Q85" s="524">
        <f t="shared" ref="Q85:Q90" si="90">SUM(E85:P85)</f>
        <v>145459.85</v>
      </c>
      <c r="R85" s="631"/>
      <c r="S85" s="525"/>
      <c r="T85" s="620">
        <f t="shared" ref="T85:T92" si="91">IFERROR((VLOOKUP($W$2,A85:P85,HLOOKUP($W$2,$E$3:$P$4,2,FALSE))-VLOOKUP($W$3,A85:P85,HLOOKUP($W$3,$E$3:$P$4,2,FALSE)))/(VLOOKUP($W$3,A85:P85,HLOOKUP($W$3,$E$3:$P$4,2,FALSE))),"")</f>
        <v>6.3263081395348836E-2</v>
      </c>
      <c r="U85" s="620"/>
    </row>
    <row r="86" spans="1:21" s="1" customFormat="1" x14ac:dyDescent="0.25">
      <c r="A86" s="601" t="str">
        <f t="shared" si="74"/>
        <v>décembre</v>
      </c>
      <c r="B86" s="1" t="str">
        <f t="shared" si="70"/>
        <v>janvier</v>
      </c>
      <c r="C86" s="522"/>
      <c r="D86" s="519" t="s">
        <v>31</v>
      </c>
      <c r="E86" s="424">
        <v>9117</v>
      </c>
      <c r="F86" s="424">
        <v>15998</v>
      </c>
      <c r="G86" s="424">
        <v>13675</v>
      </c>
      <c r="H86" s="424">
        <v>13771</v>
      </c>
      <c r="I86" s="424">
        <v>14543</v>
      </c>
      <c r="J86" s="424"/>
      <c r="K86" s="424"/>
      <c r="L86" s="424"/>
      <c r="M86" s="424"/>
      <c r="N86" s="424"/>
      <c r="O86" s="424"/>
      <c r="P86" s="424"/>
      <c r="Q86" s="526">
        <f t="shared" si="90"/>
        <v>67104</v>
      </c>
      <c r="R86" s="632"/>
      <c r="S86" s="519"/>
      <c r="T86" s="620">
        <f t="shared" si="91"/>
        <v>5.6059835887008934E-2</v>
      </c>
      <c r="U86" s="620"/>
    </row>
    <row r="87" spans="1:21" s="1" customFormat="1" x14ac:dyDescent="0.25">
      <c r="A87" s="601" t="str">
        <f t="shared" si="74"/>
        <v>décembre</v>
      </c>
      <c r="B87" s="1" t="str">
        <f t="shared" si="70"/>
        <v>janvier</v>
      </c>
      <c r="C87" s="522"/>
      <c r="D87" s="519" t="s">
        <v>32</v>
      </c>
      <c r="E87" s="424">
        <v>620</v>
      </c>
      <c r="F87" s="424">
        <v>620</v>
      </c>
      <c r="G87" s="424">
        <v>620</v>
      </c>
      <c r="H87" s="424">
        <v>1998</v>
      </c>
      <c r="I87" s="424">
        <v>619</v>
      </c>
      <c r="J87" s="424"/>
      <c r="K87" s="424"/>
      <c r="L87" s="424"/>
      <c r="M87" s="424"/>
      <c r="N87" s="424"/>
      <c r="O87" s="424"/>
      <c r="P87" s="424"/>
      <c r="Q87" s="526">
        <f t="shared" si="90"/>
        <v>4477</v>
      </c>
      <c r="R87" s="632"/>
      <c r="S87" s="519"/>
      <c r="T87" s="620">
        <f t="shared" si="91"/>
        <v>-0.69019019019019023</v>
      </c>
      <c r="U87" s="620"/>
    </row>
    <row r="88" spans="1:21" s="1" customFormat="1" x14ac:dyDescent="0.25">
      <c r="A88" s="601" t="str">
        <f t="shared" si="74"/>
        <v>décembre</v>
      </c>
      <c r="B88" s="1" t="str">
        <f t="shared" si="70"/>
        <v>janvier</v>
      </c>
      <c r="C88" s="522"/>
      <c r="D88" s="519" t="s">
        <v>33</v>
      </c>
      <c r="E88" s="424">
        <v>1295</v>
      </c>
      <c r="F88" s="424">
        <v>3079</v>
      </c>
      <c r="G88" s="424">
        <v>1378</v>
      </c>
      <c r="H88" s="424">
        <v>1378</v>
      </c>
      <c r="I88" s="424">
        <v>1378</v>
      </c>
      <c r="J88" s="424"/>
      <c r="K88" s="424"/>
      <c r="L88" s="424"/>
      <c r="M88" s="424"/>
      <c r="N88" s="424"/>
      <c r="O88" s="424"/>
      <c r="P88" s="424"/>
      <c r="Q88" s="526">
        <f t="shared" si="90"/>
        <v>8508</v>
      </c>
      <c r="R88" s="632"/>
      <c r="S88" s="519"/>
      <c r="T88" s="620">
        <f t="shared" si="91"/>
        <v>0</v>
      </c>
      <c r="U88" s="620"/>
    </row>
    <row r="89" spans="1:21" s="1" customFormat="1" x14ac:dyDescent="0.25">
      <c r="A89" s="601" t="str">
        <f t="shared" si="74"/>
        <v>décembre</v>
      </c>
      <c r="B89" s="1" t="str">
        <f t="shared" si="70"/>
        <v>janvier</v>
      </c>
      <c r="C89" s="522"/>
      <c r="D89" s="519" t="s">
        <v>34</v>
      </c>
      <c r="E89" s="424">
        <v>21852</v>
      </c>
      <c r="F89" s="424">
        <v>26544</v>
      </c>
      <c r="G89" s="424">
        <f>26101+651</f>
        <v>26752</v>
      </c>
      <c r="H89" s="424">
        <v>45850</v>
      </c>
      <c r="I89" s="424">
        <v>42703</v>
      </c>
      <c r="J89" s="424"/>
      <c r="K89" s="424"/>
      <c r="L89" s="424"/>
      <c r="M89" s="424"/>
      <c r="N89" s="424"/>
      <c r="O89" s="424"/>
      <c r="P89" s="424"/>
      <c r="Q89" s="526">
        <f t="shared" si="90"/>
        <v>163701</v>
      </c>
      <c r="R89" s="632"/>
      <c r="S89" s="519"/>
      <c r="T89" s="620">
        <f t="shared" si="91"/>
        <v>-6.8636859323882221E-2</v>
      </c>
      <c r="U89" s="620"/>
    </row>
    <row r="90" spans="1:21" s="1" customFormat="1" x14ac:dyDescent="0.25">
      <c r="A90" s="601" t="str">
        <f t="shared" si="74"/>
        <v>décembre</v>
      </c>
      <c r="B90" s="1" t="str">
        <f t="shared" si="70"/>
        <v>janvier</v>
      </c>
      <c r="C90" s="522"/>
      <c r="D90" s="519" t="s">
        <v>35</v>
      </c>
      <c r="E90" s="523">
        <f>SUM(E85:E89)</f>
        <v>61974.85</v>
      </c>
      <c r="F90" s="523">
        <f t="shared" ref="F90:P90" si="92">SUM(F85:F89)</f>
        <v>74261</v>
      </c>
      <c r="G90" s="523">
        <f t="shared" si="92"/>
        <v>73993</v>
      </c>
      <c r="H90" s="523">
        <f t="shared" si="92"/>
        <v>90517</v>
      </c>
      <c r="I90" s="523">
        <f t="shared" si="92"/>
        <v>88504</v>
      </c>
      <c r="J90" s="523">
        <f t="shared" si="92"/>
        <v>0</v>
      </c>
      <c r="K90" s="523">
        <f t="shared" si="92"/>
        <v>0</v>
      </c>
      <c r="L90" s="523">
        <f t="shared" si="92"/>
        <v>0</v>
      </c>
      <c r="M90" s="523">
        <f t="shared" si="92"/>
        <v>0</v>
      </c>
      <c r="N90" s="523">
        <f t="shared" si="92"/>
        <v>0</v>
      </c>
      <c r="O90" s="523">
        <f t="shared" si="92"/>
        <v>0</v>
      </c>
      <c r="P90" s="523">
        <f t="shared" si="92"/>
        <v>0</v>
      </c>
      <c r="Q90" s="526">
        <f t="shared" si="90"/>
        <v>389249.85</v>
      </c>
      <c r="R90" s="632"/>
      <c r="S90" s="519"/>
      <c r="T90" s="620">
        <f t="shared" si="91"/>
        <v>-2.2238916446634335E-2</v>
      </c>
      <c r="U90" s="620"/>
    </row>
    <row r="91" spans="1:21" s="1" customFormat="1" x14ac:dyDescent="0.25">
      <c r="A91" s="601" t="str">
        <f t="shared" si="74"/>
        <v>décembre</v>
      </c>
      <c r="B91" s="1" t="str">
        <f t="shared" si="70"/>
        <v>janvier</v>
      </c>
      <c r="C91" s="781" t="s">
        <v>95</v>
      </c>
      <c r="D91" s="520" t="s">
        <v>91</v>
      </c>
      <c r="E91" s="613">
        <v>1380.59</v>
      </c>
      <c r="F91" s="434">
        <v>1275.3399999999999</v>
      </c>
      <c r="G91" s="434">
        <v>1278.3399999999999</v>
      </c>
      <c r="H91" s="434">
        <v>1263.8399999999999</v>
      </c>
      <c r="I91" s="434">
        <v>1252.75</v>
      </c>
      <c r="J91" s="434"/>
      <c r="K91" s="434"/>
      <c r="L91" s="434"/>
      <c r="M91" s="434"/>
      <c r="N91" s="434"/>
      <c r="O91" s="434"/>
      <c r="P91" s="434"/>
      <c r="Q91" s="527"/>
      <c r="R91" s="633"/>
      <c r="S91" s="528"/>
      <c r="T91" s="620">
        <f t="shared" si="91"/>
        <v>-8.7748449170780476E-3</v>
      </c>
      <c r="U91" s="620"/>
    </row>
    <row r="92" spans="1:21" s="1" customFormat="1" x14ac:dyDescent="0.25">
      <c r="A92" s="601" t="str">
        <f t="shared" si="74"/>
        <v>décembre</v>
      </c>
      <c r="B92" s="1" t="str">
        <f t="shared" si="70"/>
        <v>janvier</v>
      </c>
      <c r="C92" s="782"/>
      <c r="D92" s="558" t="s">
        <v>92</v>
      </c>
      <c r="E92" s="523">
        <f>E90/E91</f>
        <v>44.890119441687979</v>
      </c>
      <c r="F92" s="523">
        <f t="shared" ref="F92:I92" si="93">F90/F91</f>
        <v>58.228393996894951</v>
      </c>
      <c r="G92" s="523">
        <f t="shared" si="93"/>
        <v>57.882097094669653</v>
      </c>
      <c r="H92" s="523">
        <f t="shared" si="93"/>
        <v>71.620616533738456</v>
      </c>
      <c r="I92" s="523">
        <f t="shared" si="93"/>
        <v>70.647774895230498</v>
      </c>
      <c r="J92" s="523" t="str">
        <f>IFERROR(J90/J91,"")</f>
        <v/>
      </c>
      <c r="K92" s="523" t="str">
        <f t="shared" ref="K92:P92" si="94">IFERROR(K90/K91,"")</f>
        <v/>
      </c>
      <c r="L92" s="523" t="str">
        <f t="shared" si="94"/>
        <v/>
      </c>
      <c r="M92" s="523" t="str">
        <f t="shared" si="94"/>
        <v/>
      </c>
      <c r="N92" s="523" t="str">
        <f t="shared" si="94"/>
        <v/>
      </c>
      <c r="O92" s="523" t="str">
        <f t="shared" si="94"/>
        <v/>
      </c>
      <c r="P92" s="523" t="str">
        <f t="shared" si="94"/>
        <v/>
      </c>
      <c r="Q92" s="526"/>
      <c r="R92" s="632"/>
      <c r="S92" s="559">
        <f>AVERAGE(E92:P92)</f>
        <v>60.653800392444303</v>
      </c>
      <c r="T92" s="620">
        <f t="shared" si="91"/>
        <v>-1.3583262551917297E-2</v>
      </c>
      <c r="U92" s="620"/>
    </row>
    <row r="93" spans="1:21" s="1" customFormat="1" ht="21.75" thickBot="1" x14ac:dyDescent="0.4">
      <c r="A93" s="601" t="str">
        <f t="shared" si="74"/>
        <v>décembre</v>
      </c>
      <c r="B93" s="1" t="str">
        <f t="shared" si="70"/>
        <v>janvier</v>
      </c>
      <c r="C93" s="753" t="s">
        <v>0</v>
      </c>
      <c r="D93" s="754"/>
      <c r="E93" s="754"/>
      <c r="F93" s="754"/>
      <c r="G93" s="754"/>
      <c r="H93" s="754"/>
      <c r="I93" s="754"/>
      <c r="J93" s="754"/>
      <c r="K93" s="754"/>
      <c r="L93" s="754"/>
      <c r="M93" s="754"/>
      <c r="N93" s="754"/>
      <c r="O93" s="754"/>
      <c r="P93" s="754"/>
      <c r="Q93" s="754"/>
      <c r="R93" s="754"/>
      <c r="S93" s="754"/>
      <c r="T93" s="754"/>
      <c r="U93" s="754"/>
    </row>
    <row r="94" spans="1:21" s="1" customFormat="1" x14ac:dyDescent="0.25">
      <c r="A94" s="601" t="str">
        <f t="shared" si="74"/>
        <v>décembre</v>
      </c>
      <c r="B94" s="1" t="str">
        <f t="shared" si="70"/>
        <v>janvier</v>
      </c>
      <c r="C94" s="529"/>
      <c r="D94" s="530" t="s">
        <v>64</v>
      </c>
      <c r="E94" s="531">
        <f>431689-E97</f>
        <v>405548.57</v>
      </c>
      <c r="F94" s="531">
        <f>605013-F97</f>
        <v>549443</v>
      </c>
      <c r="G94" s="531">
        <f>560343-G97</f>
        <v>486150</v>
      </c>
      <c r="H94" s="531">
        <f>408715-H97</f>
        <v>342811.7</v>
      </c>
      <c r="I94" s="531">
        <f>497751-I97</f>
        <v>497751</v>
      </c>
      <c r="J94" s="531"/>
      <c r="K94" s="531"/>
      <c r="L94" s="531"/>
      <c r="M94" s="531"/>
      <c r="N94" s="531"/>
      <c r="O94" s="531"/>
      <c r="P94" s="531"/>
      <c r="Q94" s="532">
        <f t="shared" ref="Q94:Q102" si="95">SUM(E94:P94)</f>
        <v>2281704.27</v>
      </c>
      <c r="R94" s="531"/>
      <c r="S94" s="533">
        <f t="shared" ref="S94:S102" si="96">AVERAGE(E94:J94)</f>
        <v>456340.85399999999</v>
      </c>
      <c r="T94" s="621">
        <f>IFERROR((VLOOKUP($W$2,A94:P94,HLOOKUP($W$2,$E$3:$P$4,2,FALSE))-VLOOKUP($W$3,A94:P94,HLOOKUP($W$3,$E$3:$P$4,2,FALSE)))/(VLOOKUP($W$3,A94:P94,HLOOKUP($W$3,$E$3:$P$4,2,FALSE))),"")</f>
        <v>0.45196619601956406</v>
      </c>
      <c r="U94" s="621"/>
    </row>
    <row r="95" spans="1:21" s="1" customFormat="1" x14ac:dyDescent="0.25">
      <c r="A95" s="601" t="str">
        <f t="shared" si="74"/>
        <v>décembre</v>
      </c>
      <c r="B95" s="1" t="str">
        <f t="shared" si="70"/>
        <v>janvier</v>
      </c>
      <c r="C95" s="534"/>
      <c r="D95" s="535" t="s">
        <v>90</v>
      </c>
      <c r="E95" s="536">
        <f t="shared" ref="E95:P95" si="97">E73+E45+E19</f>
        <v>1672.02</v>
      </c>
      <c r="F95" s="536">
        <f t="shared" si="97"/>
        <v>2020.4</v>
      </c>
      <c r="G95" s="536">
        <f t="shared" si="97"/>
        <v>2302.87</v>
      </c>
      <c r="H95" s="536">
        <f t="shared" si="97"/>
        <v>1847.3899999999999</v>
      </c>
      <c r="I95" s="536">
        <f>I73+I45+I19</f>
        <v>2036.67</v>
      </c>
      <c r="J95" s="536">
        <f t="shared" si="97"/>
        <v>0</v>
      </c>
      <c r="K95" s="536">
        <f t="shared" si="97"/>
        <v>0</v>
      </c>
      <c r="L95" s="536">
        <f t="shared" si="97"/>
        <v>0</v>
      </c>
      <c r="M95" s="536">
        <f t="shared" si="97"/>
        <v>0</v>
      </c>
      <c r="N95" s="536">
        <f t="shared" si="97"/>
        <v>0</v>
      </c>
      <c r="O95" s="536">
        <f t="shared" si="97"/>
        <v>0</v>
      </c>
      <c r="P95" s="536">
        <f t="shared" si="97"/>
        <v>0</v>
      </c>
      <c r="Q95" s="537">
        <f>SUM(E95:P95)</f>
        <v>9879.35</v>
      </c>
      <c r="R95" s="634"/>
      <c r="S95" s="538">
        <f>AVERAGE(E95:P95)</f>
        <v>823.2791666666667</v>
      </c>
      <c r="T95" s="621">
        <f>IFERROR((VLOOKUP($W$2,A95:P95,HLOOKUP($W$2,$E$3:$P$4,2,FALSE))-VLOOKUP($W$3,A95:P95,HLOOKUP($W$3,$E$3:$P$4,2,FALSE)))/(VLOOKUP($W$3,A95:P95,HLOOKUP($W$3,$E$3:$P$4,2,FALSE))),"")</f>
        <v>0.10245806245568083</v>
      </c>
      <c r="U95" s="621"/>
    </row>
    <row r="96" spans="1:21" s="1" customFormat="1" x14ac:dyDescent="0.25">
      <c r="A96" s="601" t="str">
        <f t="shared" si="74"/>
        <v>décembre</v>
      </c>
      <c r="B96" s="1" t="str">
        <f t="shared" ref="B96:B104" si="98">$W$2</f>
        <v>janvier</v>
      </c>
      <c r="C96" s="534"/>
      <c r="D96" s="535" t="s">
        <v>89</v>
      </c>
      <c r="E96" s="539">
        <f>E97/E95</f>
        <v>15.634041458834226</v>
      </c>
      <c r="F96" s="539">
        <f t="shared" ref="F96:I96" si="99">F97/F95</f>
        <v>27.504454563452779</v>
      </c>
      <c r="G96" s="539">
        <f t="shared" si="99"/>
        <v>32.217624095150832</v>
      </c>
      <c r="H96" s="539">
        <f t="shared" si="99"/>
        <v>35.673734295411371</v>
      </c>
      <c r="I96" s="539">
        <f t="shared" si="99"/>
        <v>0</v>
      </c>
      <c r="J96" s="539" t="str">
        <f>IFERROR(K97/J95,"")</f>
        <v/>
      </c>
      <c r="K96" s="539" t="str">
        <f t="shared" ref="K96:P96" si="100">IFERROR(L97/K95,"")</f>
        <v/>
      </c>
      <c r="L96" s="539" t="str">
        <f t="shared" si="100"/>
        <v/>
      </c>
      <c r="M96" s="539" t="str">
        <f t="shared" si="100"/>
        <v/>
      </c>
      <c r="N96" s="539" t="str">
        <f t="shared" si="100"/>
        <v/>
      </c>
      <c r="O96" s="539" t="str">
        <f t="shared" si="100"/>
        <v/>
      </c>
      <c r="P96" s="539" t="str">
        <f t="shared" si="100"/>
        <v/>
      </c>
      <c r="Q96" s="540"/>
      <c r="R96" s="635"/>
      <c r="S96" s="541">
        <f>AVERAGE(E96:Q96)</f>
        <v>22.20597088256984</v>
      </c>
      <c r="T96" s="621">
        <f>IFERROR((VLOOKUP($W$2,A96:P96,HLOOKUP($W$2,$E$3:$P$4,2,FALSE))-VLOOKUP($W$3,A96:P96,HLOOKUP($W$3,$E$3:$P$4,2,FALSE)))/(VLOOKUP($W$3,A96:P96,HLOOKUP($W$3,$E$3:$P$4,2,FALSE))),"")</f>
        <v>-1</v>
      </c>
      <c r="U96" s="621"/>
    </row>
    <row r="97" spans="1:21" s="1" customFormat="1" x14ac:dyDescent="0.25">
      <c r="A97" s="601" t="str">
        <f t="shared" si="74"/>
        <v>décembre</v>
      </c>
      <c r="B97" s="1" t="str">
        <f t="shared" si="98"/>
        <v>janvier</v>
      </c>
      <c r="C97" s="534"/>
      <c r="D97" s="542" t="s">
        <v>60</v>
      </c>
      <c r="E97" s="543">
        <v>26140.43</v>
      </c>
      <c r="F97" s="543">
        <v>55570</v>
      </c>
      <c r="G97" s="543">
        <v>74193</v>
      </c>
      <c r="H97" s="543">
        <f>H75+H47+H21</f>
        <v>65903.3</v>
      </c>
      <c r="I97" s="543">
        <f>I75+I47+I21</f>
        <v>0</v>
      </c>
      <c r="J97" s="543">
        <f>J75+J47+J21</f>
        <v>0</v>
      </c>
      <c r="K97" s="543"/>
      <c r="L97" s="543">
        <f>L75+L47+L21</f>
        <v>0</v>
      </c>
      <c r="M97" s="543">
        <f>M75+M47+M21</f>
        <v>0</v>
      </c>
      <c r="N97" s="543">
        <f>N75+N47+N21</f>
        <v>0</v>
      </c>
      <c r="O97" s="543">
        <f>O75+O47+O21</f>
        <v>0</v>
      </c>
      <c r="P97" s="543">
        <f>P75+P47+P21</f>
        <v>0</v>
      </c>
      <c r="Q97" s="544">
        <f t="shared" si="95"/>
        <v>221806.72999999998</v>
      </c>
      <c r="R97" s="543"/>
      <c r="S97" s="545">
        <f t="shared" si="96"/>
        <v>36967.78833333333</v>
      </c>
      <c r="T97" s="621">
        <f>IFERROR((VLOOKUP($W$2,A97:P97,HLOOKUP($W$2,$E$3:$P$4,2,FALSE))-VLOOKUP($W$3,A97:P97,HLOOKUP($W$3,$E$3:$P$4,2,FALSE)))/(VLOOKUP($W$3,A97:P97,HLOOKUP($W$3,$E$3:$P$4,2,FALSE))),"")</f>
        <v>-1</v>
      </c>
      <c r="U97" s="621"/>
    </row>
    <row r="98" spans="1:21" s="1" customFormat="1" ht="30.75" thickBot="1" x14ac:dyDescent="0.3">
      <c r="A98" s="601" t="str">
        <f t="shared" si="74"/>
        <v>décembre</v>
      </c>
      <c r="B98" s="1" t="str">
        <f t="shared" si="98"/>
        <v>janvier</v>
      </c>
      <c r="C98" s="546"/>
      <c r="D98" s="547" t="s">
        <v>72</v>
      </c>
      <c r="E98" s="548">
        <f>E94+E97-(E13+E39+E68+E90)</f>
        <v>10516.280000000028</v>
      </c>
      <c r="F98" s="548">
        <f t="shared" ref="F98:P98" si="101">F94+F97-(F13+F39+F68+F90)</f>
        <v>58420</v>
      </c>
      <c r="G98" s="548">
        <f t="shared" si="101"/>
        <v>41016.799999999988</v>
      </c>
      <c r="H98" s="548">
        <f t="shared" si="101"/>
        <v>-61232.700000000012</v>
      </c>
      <c r="I98" s="548">
        <f t="shared" si="101"/>
        <v>-125272.69999999995</v>
      </c>
      <c r="J98" s="548">
        <f t="shared" si="101"/>
        <v>0</v>
      </c>
      <c r="K98" s="548">
        <f t="shared" si="101"/>
        <v>0</v>
      </c>
      <c r="L98" s="548">
        <f t="shared" si="101"/>
        <v>0</v>
      </c>
      <c r="M98" s="548">
        <f t="shared" si="101"/>
        <v>0</v>
      </c>
      <c r="N98" s="548">
        <f t="shared" si="101"/>
        <v>0</v>
      </c>
      <c r="O98" s="548">
        <f t="shared" si="101"/>
        <v>0</v>
      </c>
      <c r="P98" s="548">
        <f t="shared" si="101"/>
        <v>0</v>
      </c>
      <c r="Q98" s="549">
        <f>SUM(E98:P98)</f>
        <v>-76552.319999999949</v>
      </c>
      <c r="R98" s="548"/>
      <c r="S98" s="550">
        <f t="shared" si="96"/>
        <v>-12758.719999999992</v>
      </c>
      <c r="T98" s="621">
        <f>IFERROR((VLOOKUP($W$2,A98:P98,HLOOKUP($W$2,$E$3:$P$4,2,FALSE))-VLOOKUP($W$3,A98:P98,HLOOKUP($W$3,$E$3:$P$4,2,FALSE)))/(VLOOKUP($W$3,A98:P98,HLOOKUP($W$3,$E$3:$P$4,2,FALSE))),"")</f>
        <v>1.045846418661923</v>
      </c>
      <c r="U98" s="621"/>
    </row>
    <row r="99" spans="1:21" s="1" customFormat="1" hidden="1" x14ac:dyDescent="0.25">
      <c r="A99" s="601" t="str">
        <f t="shared" si="74"/>
        <v>décembre</v>
      </c>
      <c r="B99" s="1" t="str">
        <f t="shared" si="98"/>
        <v>janvier</v>
      </c>
      <c r="C99" s="534"/>
      <c r="D99" s="542" t="s">
        <v>48</v>
      </c>
      <c r="E99" s="543">
        <v>25034</v>
      </c>
      <c r="F99" s="543">
        <v>25034</v>
      </c>
      <c r="G99" s="543">
        <v>25034</v>
      </c>
      <c r="H99" s="543">
        <v>25034</v>
      </c>
      <c r="I99" s="543">
        <v>25034</v>
      </c>
      <c r="J99" s="543">
        <v>25034</v>
      </c>
      <c r="K99" s="543">
        <v>25034</v>
      </c>
      <c r="L99" s="543">
        <v>25034</v>
      </c>
      <c r="M99" s="543">
        <v>25034</v>
      </c>
      <c r="N99" s="543">
        <v>25034</v>
      </c>
      <c r="O99" s="543">
        <v>25034</v>
      </c>
      <c r="P99" s="543">
        <v>25034</v>
      </c>
      <c r="Q99" s="544">
        <f t="shared" si="95"/>
        <v>300408</v>
      </c>
      <c r="R99" s="543"/>
      <c r="S99" s="545">
        <f t="shared" si="96"/>
        <v>25034</v>
      </c>
      <c r="T99" s="646"/>
      <c r="U99" s="646"/>
    </row>
    <row r="100" spans="1:21" s="1" customFormat="1" hidden="1" x14ac:dyDescent="0.25">
      <c r="A100" s="601" t="str">
        <f t="shared" si="74"/>
        <v>décembre</v>
      </c>
      <c r="B100" s="1" t="str">
        <f t="shared" si="98"/>
        <v>janvier</v>
      </c>
      <c r="C100" s="534"/>
      <c r="D100" s="542" t="s">
        <v>49</v>
      </c>
      <c r="E100" s="543"/>
      <c r="F100" s="543"/>
      <c r="G100" s="543"/>
      <c r="H100" s="543"/>
      <c r="I100" s="543"/>
      <c r="J100" s="543"/>
      <c r="K100" s="543"/>
      <c r="L100" s="543"/>
      <c r="M100" s="543"/>
      <c r="N100" s="543"/>
      <c r="O100" s="543"/>
      <c r="P100" s="543"/>
      <c r="Q100" s="544">
        <f t="shared" si="95"/>
        <v>0</v>
      </c>
      <c r="R100" s="543"/>
      <c r="S100" s="545" t="e">
        <f t="shared" si="96"/>
        <v>#DIV/0!</v>
      </c>
      <c r="T100" s="646"/>
      <c r="U100" s="646"/>
    </row>
    <row r="101" spans="1:21" s="1" customFormat="1" hidden="1" x14ac:dyDescent="0.25">
      <c r="A101" s="601" t="str">
        <f t="shared" si="74"/>
        <v>décembre</v>
      </c>
      <c r="B101" s="1" t="str">
        <f t="shared" si="98"/>
        <v>janvier</v>
      </c>
      <c r="C101" s="534"/>
      <c r="D101" s="542" t="s">
        <v>50</v>
      </c>
      <c r="E101" s="543">
        <v>3600</v>
      </c>
      <c r="F101" s="543">
        <v>3600</v>
      </c>
      <c r="G101" s="543">
        <v>3600</v>
      </c>
      <c r="H101" s="543">
        <v>3600</v>
      </c>
      <c r="I101" s="543">
        <v>3600</v>
      </c>
      <c r="J101" s="543">
        <v>3600</v>
      </c>
      <c r="K101" s="543">
        <v>3600</v>
      </c>
      <c r="L101" s="543">
        <v>3600</v>
      </c>
      <c r="M101" s="543">
        <v>3600</v>
      </c>
      <c r="N101" s="543">
        <v>3600</v>
      </c>
      <c r="O101" s="543">
        <v>3600</v>
      </c>
      <c r="P101" s="543">
        <v>3600</v>
      </c>
      <c r="Q101" s="544">
        <f t="shared" si="95"/>
        <v>43200</v>
      </c>
      <c r="R101" s="543"/>
      <c r="S101" s="545">
        <f t="shared" si="96"/>
        <v>3600</v>
      </c>
      <c r="T101" s="646"/>
      <c r="U101" s="646"/>
    </row>
    <row r="102" spans="1:21" s="1" customFormat="1" hidden="1" x14ac:dyDescent="0.25">
      <c r="A102" s="601" t="str">
        <f t="shared" si="74"/>
        <v>décembre</v>
      </c>
      <c r="B102" s="1" t="str">
        <f t="shared" si="98"/>
        <v>janvier</v>
      </c>
      <c r="C102" s="534"/>
      <c r="D102" s="542" t="s">
        <v>51</v>
      </c>
      <c r="E102" s="543">
        <f>(8066+2066)/12</f>
        <v>844.33333333333337</v>
      </c>
      <c r="F102" s="543">
        <f t="shared" ref="F102:P102" si="102">(8066+2066)/12</f>
        <v>844.33333333333337</v>
      </c>
      <c r="G102" s="543">
        <f t="shared" si="102"/>
        <v>844.33333333333337</v>
      </c>
      <c r="H102" s="543">
        <f t="shared" si="102"/>
        <v>844.33333333333337</v>
      </c>
      <c r="I102" s="543">
        <f t="shared" si="102"/>
        <v>844.33333333333337</v>
      </c>
      <c r="J102" s="543">
        <f t="shared" si="102"/>
        <v>844.33333333333337</v>
      </c>
      <c r="K102" s="543">
        <f t="shared" si="102"/>
        <v>844.33333333333337</v>
      </c>
      <c r="L102" s="543">
        <f t="shared" si="102"/>
        <v>844.33333333333337</v>
      </c>
      <c r="M102" s="543">
        <f t="shared" si="102"/>
        <v>844.33333333333337</v>
      </c>
      <c r="N102" s="543">
        <f t="shared" si="102"/>
        <v>844.33333333333337</v>
      </c>
      <c r="O102" s="543">
        <f t="shared" si="102"/>
        <v>844.33333333333337</v>
      </c>
      <c r="P102" s="543">
        <f t="shared" si="102"/>
        <v>844.33333333333337</v>
      </c>
      <c r="Q102" s="544">
        <f t="shared" si="95"/>
        <v>10132</v>
      </c>
      <c r="R102" s="543"/>
      <c r="S102" s="545">
        <f t="shared" si="96"/>
        <v>844.33333333333337</v>
      </c>
      <c r="T102" s="646"/>
      <c r="U102" s="646"/>
    </row>
    <row r="103" spans="1:21" s="1" customFormat="1" x14ac:dyDescent="0.25">
      <c r="A103" s="601" t="str">
        <f t="shared" si="74"/>
        <v>décembre</v>
      </c>
      <c r="B103" s="1" t="str">
        <f t="shared" si="98"/>
        <v>janvier</v>
      </c>
      <c r="C103" s="534"/>
      <c r="D103" s="551" t="s">
        <v>141</v>
      </c>
      <c r="E103" s="552">
        <f>E98/(E94+E97)</f>
        <v>2.4360778245449913E-2</v>
      </c>
      <c r="F103" s="552">
        <f t="shared" ref="F103:H103" si="103">F98/(F94+F97)</f>
        <v>9.6559908630062488E-2</v>
      </c>
      <c r="G103" s="552">
        <f t="shared" si="103"/>
        <v>7.3199451050517256E-2</v>
      </c>
      <c r="H103" s="552">
        <f t="shared" si="103"/>
        <v>-0.14981759906047004</v>
      </c>
      <c r="I103" s="552">
        <f>IFERROR(I98/(I94+I97),"")</f>
        <v>-0.25167744514827683</v>
      </c>
      <c r="J103" s="552" t="str">
        <f t="shared" ref="J103:P103" si="104">IFERROR(J98/(J94+J97),"")</f>
        <v/>
      </c>
      <c r="K103" s="552" t="str">
        <f t="shared" si="104"/>
        <v/>
      </c>
      <c r="L103" s="552" t="str">
        <f t="shared" si="104"/>
        <v/>
      </c>
      <c r="M103" s="552" t="str">
        <f t="shared" si="104"/>
        <v/>
      </c>
      <c r="N103" s="552" t="str">
        <f t="shared" si="104"/>
        <v/>
      </c>
      <c r="O103" s="552" t="str">
        <f t="shared" si="104"/>
        <v/>
      </c>
      <c r="P103" s="552" t="str">
        <f t="shared" si="104"/>
        <v/>
      </c>
      <c r="Q103" s="540"/>
      <c r="R103" s="635"/>
      <c r="S103" s="553">
        <f>AVERAGE(E103:G103)</f>
        <v>6.4706712642009889E-2</v>
      </c>
      <c r="T103" s="621">
        <f>IFERROR((VLOOKUP($W$2,A103:P103,HLOOKUP($W$2,$E$3:$P$4,2,FALSE))-VLOOKUP($W$3,A103:P103,HLOOKUP($W$3,$E$3:$P$4,2,FALSE)))/(VLOOKUP($W$3,A103:P103,HLOOKUP($W$3,$E$3:$P$4,2,FALSE))),"")</f>
        <v>0.67989239399500501</v>
      </c>
      <c r="U103" s="621"/>
    </row>
    <row r="104" spans="1:21" s="1" customFormat="1" ht="15.75" thickBot="1" x14ac:dyDescent="0.3">
      <c r="A104" s="601" t="str">
        <f t="shared" si="74"/>
        <v>décembre</v>
      </c>
      <c r="B104" s="1" t="str">
        <f t="shared" si="98"/>
        <v>janvier</v>
      </c>
      <c r="C104" s="546"/>
      <c r="D104" s="554" t="s">
        <v>53</v>
      </c>
      <c r="E104" s="555">
        <f t="shared" ref="E104:I104" si="105">E98/(E76*1.75+E48+E22)</f>
        <v>3.9190204945600735</v>
      </c>
      <c r="F104" s="555">
        <f t="shared" si="105"/>
        <v>18.095721161105971</v>
      </c>
      <c r="G104" s="555">
        <f t="shared" si="105"/>
        <v>12.316136839292199</v>
      </c>
      <c r="H104" s="555">
        <f t="shared" si="105"/>
        <v>-32.096815620495356</v>
      </c>
      <c r="I104" s="555">
        <f t="shared" si="105"/>
        <v>-38.887023788182489</v>
      </c>
      <c r="J104" s="555" t="str">
        <f>IFERROR(J98/(J76*1.75)+J48+J22,"")</f>
        <v/>
      </c>
      <c r="K104" s="555" t="str">
        <f t="shared" ref="K104:O104" si="106">IFERROR(K98/(K76*1.75)+K48+K22,"")</f>
        <v/>
      </c>
      <c r="L104" s="555" t="str">
        <f t="shared" si="106"/>
        <v/>
      </c>
      <c r="M104" s="555" t="str">
        <f t="shared" si="106"/>
        <v/>
      </c>
      <c r="N104" s="555" t="str">
        <f t="shared" si="106"/>
        <v/>
      </c>
      <c r="O104" s="555" t="str">
        <f t="shared" si="106"/>
        <v/>
      </c>
      <c r="P104" s="555" t="str">
        <f>IFERROR(P98/(P76*1.75)+P48+P22,"")</f>
        <v/>
      </c>
      <c r="Q104" s="750">
        <f>AVERAGE(E104:G104)</f>
        <v>11.44362616498608</v>
      </c>
      <c r="R104" s="750"/>
      <c r="S104" s="750"/>
      <c r="T104" s="621">
        <f>IFERROR((VLOOKUP($W$2,A104:P104,HLOOKUP($W$2,$E$3:$P$4,2,FALSE))-VLOOKUP($W$3,A104:P104,HLOOKUP($W$3,$E$3:$P$4,2,FALSE)))/(VLOOKUP($W$3,A104:P104,HLOOKUP($W$3,$E$3:$P$4,2,FALSE))),"")</f>
        <v>0.21155395126958512</v>
      </c>
      <c r="U104" s="621"/>
    </row>
    <row r="105" spans="1:21" s="1" customFormat="1" hidden="1" outlineLevel="1" x14ac:dyDescent="0.25"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101"/>
      <c r="R105" s="21"/>
      <c r="S105" s="21"/>
      <c r="T105" s="21"/>
      <c r="U105" s="21"/>
    </row>
    <row r="106" spans="1:21" s="1" customFormat="1" ht="16.5" hidden="1" outlineLevel="1" thickBot="1" x14ac:dyDescent="0.3">
      <c r="C106" s="717" t="s">
        <v>77</v>
      </c>
      <c r="D106" s="718"/>
      <c r="E106" s="718"/>
      <c r="F106" s="718"/>
      <c r="G106" s="718"/>
      <c r="H106" s="718"/>
      <c r="I106" s="718"/>
      <c r="J106" s="718"/>
      <c r="K106" s="718"/>
      <c r="L106" s="718"/>
      <c r="M106" s="718"/>
      <c r="N106" s="718"/>
      <c r="O106" s="718"/>
      <c r="P106" s="718"/>
      <c r="Q106" s="718"/>
      <c r="R106" s="718"/>
      <c r="S106" s="718"/>
      <c r="T106" s="719"/>
      <c r="U106" s="636"/>
    </row>
    <row r="107" spans="1:21" s="1" customFormat="1" ht="15.75" hidden="1" outlineLevel="1" x14ac:dyDescent="0.25">
      <c r="C107" s="87"/>
      <c r="D107" s="89" t="s">
        <v>87</v>
      </c>
      <c r="E107" s="135">
        <v>1748.63</v>
      </c>
      <c r="F107" s="107">
        <v>1804.117</v>
      </c>
      <c r="G107" s="107">
        <v>1617.68</v>
      </c>
      <c r="H107" s="107">
        <v>901.52</v>
      </c>
      <c r="I107" s="107"/>
      <c r="J107" s="107"/>
      <c r="K107" s="107"/>
      <c r="L107" s="107"/>
      <c r="M107" s="107"/>
      <c r="N107" s="107"/>
      <c r="O107" s="107"/>
      <c r="P107" s="107"/>
      <c r="Q107" s="102"/>
      <c r="R107" s="636"/>
      <c r="S107" s="24">
        <f>AVERAGE(E107:O107)</f>
        <v>1517.98675</v>
      </c>
      <c r="T107" s="636"/>
      <c r="U107" s="636"/>
    </row>
    <row r="108" spans="1:21" s="1" customFormat="1" hidden="1" outlineLevel="1" x14ac:dyDescent="0.25">
      <c r="C108" s="27"/>
      <c r="D108" s="21" t="s">
        <v>54</v>
      </c>
      <c r="E108" s="20">
        <f>1762.629</f>
        <v>1762.6289999999999</v>
      </c>
      <c r="F108" s="108">
        <v>1804.117</v>
      </c>
      <c r="G108" s="108">
        <v>1729</v>
      </c>
      <c r="H108" s="108">
        <v>994.32</v>
      </c>
      <c r="I108" s="108"/>
      <c r="J108" s="108"/>
      <c r="K108" s="108"/>
      <c r="L108" s="108"/>
      <c r="M108" s="109"/>
      <c r="N108" s="109"/>
      <c r="O108" s="109"/>
      <c r="P108" s="109"/>
      <c r="Q108" s="103">
        <f>SUM(E108:P108)</f>
        <v>6290.0659999999998</v>
      </c>
      <c r="R108" s="24"/>
      <c r="S108" s="24">
        <f>AVERAGE(E108:P108)</f>
        <v>1572.5165</v>
      </c>
      <c r="T108" s="21"/>
      <c r="U108" s="21"/>
    </row>
    <row r="109" spans="1:21" s="1" customFormat="1" hidden="1" outlineLevel="1" x14ac:dyDescent="0.25">
      <c r="C109" s="27"/>
      <c r="D109" s="21" t="s">
        <v>88</v>
      </c>
      <c r="E109" s="20">
        <f>E108-E107</f>
        <v>13.998999999999796</v>
      </c>
      <c r="F109" s="20">
        <f>F108-F107+E109</f>
        <v>13.998999999999796</v>
      </c>
      <c r="G109" s="20">
        <f>G108-G107+F109</f>
        <v>125.31899999999973</v>
      </c>
      <c r="H109" s="20">
        <f t="shared" ref="H109:P109" si="107">H108-H107+G109</f>
        <v>218.1189999999998</v>
      </c>
      <c r="I109" s="20">
        <f t="shared" si="107"/>
        <v>218.1189999999998</v>
      </c>
      <c r="J109" s="20">
        <f t="shared" si="107"/>
        <v>218.1189999999998</v>
      </c>
      <c r="K109" s="20">
        <f t="shared" si="107"/>
        <v>218.1189999999998</v>
      </c>
      <c r="L109" s="20">
        <f t="shared" si="107"/>
        <v>218.1189999999998</v>
      </c>
      <c r="M109" s="20">
        <f t="shared" si="107"/>
        <v>218.1189999999998</v>
      </c>
      <c r="N109" s="20">
        <f t="shared" si="107"/>
        <v>218.1189999999998</v>
      </c>
      <c r="O109" s="20">
        <f t="shared" si="107"/>
        <v>218.1189999999998</v>
      </c>
      <c r="P109" s="20">
        <f t="shared" si="107"/>
        <v>218.1189999999998</v>
      </c>
      <c r="Q109" s="103"/>
      <c r="R109" s="24"/>
      <c r="S109" s="24"/>
      <c r="T109" s="21"/>
      <c r="U109" s="21"/>
    </row>
    <row r="110" spans="1:21" s="1" customFormat="1" hidden="1" outlineLevel="1" x14ac:dyDescent="0.25">
      <c r="C110" s="27"/>
      <c r="D110" s="21" t="s">
        <v>55</v>
      </c>
      <c r="E110" s="20">
        <f>(502*0.64)</f>
        <v>321.28000000000003</v>
      </c>
      <c r="F110" s="20">
        <f>410*0.64</f>
        <v>262.39999999999998</v>
      </c>
      <c r="G110" s="20">
        <f>484*0.64</f>
        <v>309.76</v>
      </c>
      <c r="H110" s="20">
        <f>250*0.64</f>
        <v>160</v>
      </c>
      <c r="I110" s="20"/>
      <c r="J110" s="20"/>
      <c r="K110" s="20"/>
      <c r="L110" s="20"/>
      <c r="M110" s="90"/>
      <c r="N110" s="90"/>
      <c r="O110" s="90"/>
      <c r="P110" s="90"/>
      <c r="Q110" s="104">
        <f>SUM(E110:P110)</f>
        <v>1053.44</v>
      </c>
      <c r="R110" s="25"/>
      <c r="S110" s="25">
        <f>SUM(E110:P110)</f>
        <v>1053.44</v>
      </c>
      <c r="T110" s="21"/>
      <c r="U110" s="21"/>
    </row>
    <row r="111" spans="1:21" s="1" customFormat="1" hidden="1" outlineLevel="1" x14ac:dyDescent="0.25">
      <c r="C111" s="27"/>
      <c r="D111" s="21" t="s">
        <v>56</v>
      </c>
      <c r="E111" s="23">
        <f>E108-E110+E113</f>
        <v>1748.549</v>
      </c>
      <c r="F111" s="23">
        <f>F108-F110+F113</f>
        <v>1797.0770000000002</v>
      </c>
      <c r="G111" s="23">
        <f>G108-G110+G113</f>
        <v>1617.64</v>
      </c>
      <c r="H111" s="23">
        <f t="shared" ref="H111:P111" si="108">H108-H110+H113</f>
        <v>901.5200000000001</v>
      </c>
      <c r="I111" s="23">
        <f t="shared" si="108"/>
        <v>0</v>
      </c>
      <c r="J111" s="23">
        <f t="shared" si="108"/>
        <v>0</v>
      </c>
      <c r="K111" s="23">
        <f t="shared" si="108"/>
        <v>0</v>
      </c>
      <c r="L111" s="23">
        <f t="shared" si="108"/>
        <v>0</v>
      </c>
      <c r="M111" s="23">
        <f t="shared" si="108"/>
        <v>0</v>
      </c>
      <c r="N111" s="23">
        <f t="shared" si="108"/>
        <v>0</v>
      </c>
      <c r="O111" s="23">
        <f t="shared" si="108"/>
        <v>0</v>
      </c>
      <c r="P111" s="23">
        <f t="shared" si="108"/>
        <v>0</v>
      </c>
      <c r="Q111" s="104">
        <f>SUM(E111:P111)</f>
        <v>6064.786000000001</v>
      </c>
      <c r="R111" s="25"/>
      <c r="S111" s="25">
        <f>AVERAGE(E111:P111)</f>
        <v>505.39883333333341</v>
      </c>
      <c r="T111" s="21"/>
      <c r="U111" s="21"/>
    </row>
    <row r="112" spans="1:21" s="1" customFormat="1" hidden="1" outlineLevel="1" x14ac:dyDescent="0.25">
      <c r="C112" s="27"/>
      <c r="D112" s="21" t="s">
        <v>57</v>
      </c>
      <c r="E112" s="20">
        <f>3865.24*0.64</f>
        <v>2473.7536</v>
      </c>
      <c r="F112" s="20">
        <f>4921.29*0.64</f>
        <v>3149.6255999999998</v>
      </c>
      <c r="G112" s="20">
        <f>4656*0.64</f>
        <v>2979.84</v>
      </c>
      <c r="H112" s="20">
        <f>2203.3*0.64</f>
        <v>1410.1120000000001</v>
      </c>
      <c r="I112" s="20"/>
      <c r="J112" s="20"/>
      <c r="K112" s="20"/>
      <c r="L112" s="20"/>
      <c r="M112" s="90"/>
      <c r="N112" s="90"/>
      <c r="O112" s="90"/>
      <c r="P112" s="90"/>
      <c r="Q112" s="103">
        <f>SUM(E112:P112)</f>
        <v>10013.331200000001</v>
      </c>
      <c r="R112" s="24"/>
      <c r="S112" s="24">
        <f>AVERAGE(E112:P112)</f>
        <v>2503.3328000000001</v>
      </c>
      <c r="T112" s="21"/>
      <c r="U112" s="21"/>
    </row>
    <row r="113" spans="3:21" s="1" customFormat="1" hidden="1" outlineLevel="1" x14ac:dyDescent="0.25">
      <c r="C113" s="27"/>
      <c r="D113" s="21" t="s">
        <v>58</v>
      </c>
      <c r="E113" s="20">
        <f>480*0.64</f>
        <v>307.2</v>
      </c>
      <c r="F113" s="20">
        <f>399*0.64</f>
        <v>255.36</v>
      </c>
      <c r="G113" s="20">
        <f>310*0.64</f>
        <v>198.4</v>
      </c>
      <c r="H113" s="20">
        <f>105*0.64</f>
        <v>67.2</v>
      </c>
      <c r="I113" s="20"/>
      <c r="J113" s="20"/>
      <c r="K113" s="20"/>
      <c r="L113" s="20"/>
      <c r="M113" s="90"/>
      <c r="N113" s="90"/>
      <c r="O113" s="90"/>
      <c r="P113" s="90"/>
      <c r="Q113" s="101"/>
      <c r="R113" s="21"/>
      <c r="S113" s="21"/>
      <c r="T113" s="21"/>
      <c r="U113" s="21"/>
    </row>
    <row r="114" spans="3:21" s="1" customFormat="1" ht="15.75" hidden="1" outlineLevel="1" thickBot="1" x14ac:dyDescent="0.3">
      <c r="C114" s="29"/>
      <c r="D114" s="30" t="s">
        <v>59</v>
      </c>
      <c r="E114" s="36">
        <f t="shared" ref="E114:P114" si="109">E112-E113+E110</f>
        <v>2487.8336000000004</v>
      </c>
      <c r="F114" s="36">
        <f>F112-F113+F110</f>
        <v>3156.6655999999998</v>
      </c>
      <c r="G114" s="36">
        <f>G112-G113+G110</f>
        <v>3091.2</v>
      </c>
      <c r="H114" s="36">
        <f>H112-H113+H110</f>
        <v>1502.912</v>
      </c>
      <c r="I114" s="36">
        <f>I112-I113+I110</f>
        <v>0</v>
      </c>
      <c r="J114" s="36">
        <f t="shared" si="109"/>
        <v>0</v>
      </c>
      <c r="K114" s="36">
        <f t="shared" si="109"/>
        <v>0</v>
      </c>
      <c r="L114" s="36">
        <f t="shared" si="109"/>
        <v>0</v>
      </c>
      <c r="M114" s="36">
        <f t="shared" si="109"/>
        <v>0</v>
      </c>
      <c r="N114" s="36">
        <f t="shared" si="109"/>
        <v>0</v>
      </c>
      <c r="O114" s="36">
        <f t="shared" si="109"/>
        <v>0</v>
      </c>
      <c r="P114" s="36">
        <f t="shared" si="109"/>
        <v>0</v>
      </c>
      <c r="Q114" s="105">
        <f>SUM(E114:P114)</f>
        <v>10238.611199999999</v>
      </c>
      <c r="R114" s="37"/>
      <c r="S114" s="37">
        <f>AVERAGE(E114:P114)</f>
        <v>853.21759999999995</v>
      </c>
      <c r="T114" s="21"/>
      <c r="U114" s="21"/>
    </row>
    <row r="115" spans="3:21" s="1" customFormat="1" collapsed="1" x14ac:dyDescent="0.25"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101"/>
      <c r="R115" s="21"/>
      <c r="S115" s="21"/>
      <c r="T115" s="21"/>
      <c r="U115" s="21"/>
    </row>
    <row r="116" spans="3:21" s="1" customFormat="1" ht="21" x14ac:dyDescent="0.35">
      <c r="C116" s="751" t="s">
        <v>147</v>
      </c>
      <c r="D116" s="752"/>
      <c r="E116" s="752"/>
      <c r="F116" s="752"/>
      <c r="G116" s="752"/>
      <c r="H116" s="752"/>
      <c r="I116" s="752"/>
      <c r="J116" s="752"/>
      <c r="K116" s="752"/>
      <c r="L116" s="752"/>
      <c r="M116" s="752"/>
      <c r="N116" s="752"/>
      <c r="O116" s="752"/>
      <c r="P116" s="752"/>
      <c r="Q116" s="752"/>
      <c r="R116" s="752"/>
      <c r="S116" s="752"/>
      <c r="T116" s="752"/>
      <c r="U116" s="752"/>
    </row>
    <row r="117" spans="3:21" s="1" customFormat="1" x14ac:dyDescent="0.25">
      <c r="C117" s="591"/>
      <c r="D117" s="585" t="s">
        <v>148</v>
      </c>
      <c r="E117" s="588">
        <f>IFERROR((E85+E64+E35+E9)/(E94+E97),"")</f>
        <v>0.25992079946442925</v>
      </c>
      <c r="F117" s="588">
        <f t="shared" ref="F117:H117" si="110">IFERROR((F85+F64+F35+F9)/(F94+F97),"")</f>
        <v>0.19608834851482529</v>
      </c>
      <c r="G117" s="588">
        <f t="shared" si="110"/>
        <v>0.21398322099142847</v>
      </c>
      <c r="H117" s="588">
        <f t="shared" si="110"/>
        <v>0.26380485179159074</v>
      </c>
      <c r="I117" s="588"/>
      <c r="J117" s="588" t="str">
        <f t="shared" ref="J117:P117" si="111">IFERROR((J85+J64+J35+J9)/(J94+J97),"")</f>
        <v/>
      </c>
      <c r="K117" s="588" t="str">
        <f t="shared" si="111"/>
        <v/>
      </c>
      <c r="L117" s="588" t="str">
        <f t="shared" si="111"/>
        <v/>
      </c>
      <c r="M117" s="588" t="str">
        <f t="shared" si="111"/>
        <v/>
      </c>
      <c r="N117" s="588" t="str">
        <f t="shared" si="111"/>
        <v/>
      </c>
      <c r="O117" s="588" t="str">
        <f t="shared" si="111"/>
        <v/>
      </c>
      <c r="P117" s="588" t="str">
        <f t="shared" si="111"/>
        <v/>
      </c>
      <c r="Q117" s="587"/>
      <c r="R117" s="587"/>
      <c r="S117" s="589">
        <f>AVERAGE(E117:H117)</f>
        <v>0.23344930519056845</v>
      </c>
      <c r="T117" s="588" t="str">
        <f>IFERROR((VLOOKUP($W$2,B117:P117,HLOOKUP($W$2,$E$3:$P$4,2,FALSE))-VLOOKUP($W$3,B117:P117,HLOOKUP($W$3,$E$3:$P$4,2,FALSE)))/(VLOOKUP($W$3,B117:P117,HLOOKUP($W$3,$E$3:$P$4,2,FALSE))),"")</f>
        <v/>
      </c>
      <c r="U117" s="588"/>
    </row>
    <row r="118" spans="3:21" x14ac:dyDescent="0.25">
      <c r="C118" s="591"/>
      <c r="D118" s="585" t="s">
        <v>149</v>
      </c>
      <c r="E118" s="588">
        <f>IFERROR((E8+E34+E62)/(E94+E97),"")</f>
        <v>0.4779894090421577</v>
      </c>
      <c r="F118" s="588">
        <f t="shared" ref="F118:H118" si="112">IFERROR((F8+F34+F62)/(F94+F97),"")</f>
        <v>0.50382057906193756</v>
      </c>
      <c r="G118" s="588">
        <f t="shared" si="112"/>
        <v>0.4858791847136486</v>
      </c>
      <c r="H118" s="588">
        <f t="shared" si="112"/>
        <v>0.54555374772151743</v>
      </c>
      <c r="I118" s="588"/>
      <c r="J118" s="588" t="str">
        <f t="shared" ref="J118:P118" si="113">IFERROR((J8+J34+J62)/(J94+J97),"")</f>
        <v/>
      </c>
      <c r="K118" s="588" t="str">
        <f t="shared" si="113"/>
        <v/>
      </c>
      <c r="L118" s="588" t="str">
        <f t="shared" si="113"/>
        <v/>
      </c>
      <c r="M118" s="588" t="str">
        <f t="shared" si="113"/>
        <v/>
      </c>
      <c r="N118" s="588" t="str">
        <f t="shared" si="113"/>
        <v/>
      </c>
      <c r="O118" s="588" t="str">
        <f t="shared" si="113"/>
        <v/>
      </c>
      <c r="P118" s="588" t="str">
        <f t="shared" si="113"/>
        <v/>
      </c>
      <c r="Q118" s="586"/>
      <c r="R118" s="586"/>
      <c r="S118" s="589">
        <f>AVERAGE(E118:H118)</f>
        <v>0.50331073013481531</v>
      </c>
      <c r="T118" s="588" t="str">
        <f>IFERROR((VLOOKUP($W$2,B118:P118,HLOOKUP($W$2,$E$3:$P$4,2,FALSE))-VLOOKUP($W$3,B118:P118,HLOOKUP($W$3,$E$3:$P$4,2,FALSE)))/(VLOOKUP($W$3,B118:P118,HLOOKUP($W$3,$E$3:$P$4,2,FALSE))),"")</f>
        <v/>
      </c>
      <c r="U118" s="588"/>
    </row>
    <row r="119" spans="3:21" x14ac:dyDescent="0.25">
      <c r="C119" s="591"/>
      <c r="D119" s="585" t="s">
        <v>150</v>
      </c>
      <c r="E119" s="588">
        <f>IFERROR((E12+E38+E67+E89)/(E94+E97),"")</f>
        <v>0.12002158961659899</v>
      </c>
      <c r="F119" s="588">
        <f t="shared" ref="F119:H119" si="114">IFERROR((F12+F38+F67+F89)/(F94+F97),"")</f>
        <v>0.10422090103849008</v>
      </c>
      <c r="G119" s="588">
        <f t="shared" si="114"/>
        <v>0.11356793963697236</v>
      </c>
      <c r="H119" s="588">
        <f t="shared" si="114"/>
        <v>0.19970639687802014</v>
      </c>
      <c r="I119" s="588"/>
      <c r="J119" s="588" t="str">
        <f t="shared" ref="J119:P119" si="115">IFERROR((J12+J38+J67+J89)/(J94+J97),"")</f>
        <v/>
      </c>
      <c r="K119" s="588" t="str">
        <f t="shared" si="115"/>
        <v/>
      </c>
      <c r="L119" s="588" t="str">
        <f t="shared" si="115"/>
        <v/>
      </c>
      <c r="M119" s="588" t="str">
        <f t="shared" si="115"/>
        <v/>
      </c>
      <c r="N119" s="588" t="str">
        <f t="shared" si="115"/>
        <v/>
      </c>
      <c r="O119" s="588" t="str">
        <f t="shared" si="115"/>
        <v/>
      </c>
      <c r="P119" s="588" t="str">
        <f t="shared" si="115"/>
        <v/>
      </c>
      <c r="Q119" s="587"/>
      <c r="R119" s="587"/>
      <c r="S119" s="589">
        <f>AVERAGE(E119:H119)</f>
        <v>0.13437920679252038</v>
      </c>
      <c r="T119" s="588" t="str">
        <f>IFERROR((VLOOKUP($W$2,B119:P119,HLOOKUP($W$2,$E$3:$P$4,2,FALSE))-VLOOKUP($W$3,B119:P119,HLOOKUP($W$3,$E$3:$P$4,2,FALSE)))/(VLOOKUP($W$3,B119:P119,HLOOKUP($W$3,$E$3:$P$4,2,FALSE))),"")</f>
        <v/>
      </c>
      <c r="U119" s="588"/>
    </row>
    <row r="120" spans="3:21" x14ac:dyDescent="0.25">
      <c r="C120" s="591"/>
      <c r="D120" s="585" t="s">
        <v>151</v>
      </c>
      <c r="E120" s="588">
        <f>IFERROR((E10+E11+E37+E36+E66+E65)/(E94+E97),"")</f>
        <v>9.2151989047670899E-2</v>
      </c>
      <c r="F120" s="588">
        <f t="shared" ref="F120:H120" si="116">IFERROR((F10+F11+F37+F36+F66+F65)/(F94+F97),"")</f>
        <v>6.6753937518697945E-2</v>
      </c>
      <c r="G120" s="588">
        <f t="shared" si="116"/>
        <v>8.5399835457924872E-2</v>
      </c>
      <c r="H120" s="588">
        <f t="shared" si="116"/>
        <v>9.8799163231102355E-2</v>
      </c>
      <c r="I120" s="588"/>
      <c r="J120" s="588" t="str">
        <f t="shared" ref="J120:P120" si="117">IFERROR((J10+J11+J37+J36+J66+J65)/(J94+J97),"")</f>
        <v/>
      </c>
      <c r="K120" s="588" t="str">
        <f t="shared" si="117"/>
        <v/>
      </c>
      <c r="L120" s="588" t="str">
        <f t="shared" si="117"/>
        <v/>
      </c>
      <c r="M120" s="588" t="str">
        <f t="shared" si="117"/>
        <v/>
      </c>
      <c r="N120" s="588" t="str">
        <f t="shared" si="117"/>
        <v/>
      </c>
      <c r="O120" s="588" t="str">
        <f t="shared" si="117"/>
        <v/>
      </c>
      <c r="P120" s="588" t="str">
        <f t="shared" si="117"/>
        <v/>
      </c>
      <c r="Q120" s="587"/>
      <c r="R120" s="587"/>
      <c r="S120" s="589">
        <f t="shared" ref="S120:S121" si="118">AVERAGE(E120:J120)</f>
        <v>8.5776231313849011E-2</v>
      </c>
      <c r="T120" s="588" t="str">
        <f>IFERROR((VLOOKUP($W$2,B120:P120,HLOOKUP($W$2,$E$3:$P$4,2,FALSE))-VLOOKUP($W$3,B120:P120,HLOOKUP($W$3,$E$3:$P$4,2,FALSE)))/(VLOOKUP($W$3,B120:P120,HLOOKUP($W$3,$E$3:$P$4,2,FALSE))),"")</f>
        <v/>
      </c>
      <c r="U120" s="588"/>
    </row>
    <row r="121" spans="3:21" x14ac:dyDescent="0.25">
      <c r="C121" s="591"/>
      <c r="D121" s="590" t="s">
        <v>152</v>
      </c>
      <c r="E121" s="588">
        <f>IFERROR((E86)/(E94+E97),"")</f>
        <v>2.1119370658043174E-2</v>
      </c>
      <c r="F121" s="588">
        <f t="shared" ref="F121:H121" si="119">IFERROR((F86)/(F94+F97),"")</f>
        <v>2.6442407022659018E-2</v>
      </c>
      <c r="G121" s="588">
        <f t="shared" si="119"/>
        <v>2.4404694981466708E-2</v>
      </c>
      <c r="H121" s="588">
        <f t="shared" si="119"/>
        <v>3.369340493987253E-2</v>
      </c>
      <c r="I121" s="588"/>
      <c r="J121" s="588" t="str">
        <f t="shared" ref="J121:P121" si="120">IFERROR((J86)/(J94+J97),"")</f>
        <v/>
      </c>
      <c r="K121" s="588" t="str">
        <f t="shared" si="120"/>
        <v/>
      </c>
      <c r="L121" s="588" t="str">
        <f t="shared" si="120"/>
        <v/>
      </c>
      <c r="M121" s="588" t="str">
        <f t="shared" si="120"/>
        <v/>
      </c>
      <c r="N121" s="588" t="str">
        <f t="shared" si="120"/>
        <v/>
      </c>
      <c r="O121" s="588" t="str">
        <f t="shared" si="120"/>
        <v/>
      </c>
      <c r="P121" s="588" t="str">
        <f t="shared" si="120"/>
        <v/>
      </c>
      <c r="Q121" s="588"/>
      <c r="R121" s="588"/>
      <c r="S121" s="589">
        <f t="shared" si="118"/>
        <v>2.6414969400510357E-2</v>
      </c>
      <c r="T121" s="588" t="str">
        <f>IFERROR((VLOOKUP($W$2,B121:P121,HLOOKUP($W$2,$E$3:$P$4,2,FALSE))-VLOOKUP($W$3,B121:P121,HLOOKUP($W$3,$E$3:$P$4,2,FALSE)))/(VLOOKUP($W$3,B121:P121,HLOOKUP($W$3,$E$3:$P$4,2,FALSE))),"")</f>
        <v/>
      </c>
      <c r="U121" s="588"/>
    </row>
    <row r="122" spans="3:21" x14ac:dyDescent="0.25">
      <c r="C122" s="591"/>
      <c r="D122" s="590" t="s">
        <v>153</v>
      </c>
      <c r="E122" s="588">
        <f>1-SUM(E117:E121)</f>
        <v>2.8796842171100012E-2</v>
      </c>
      <c r="F122" s="588">
        <f t="shared" ref="F122:H122" si="121">1-SUM(F117:F121)</f>
        <v>0.1026738268433901</v>
      </c>
      <c r="G122" s="588">
        <f t="shared" si="121"/>
        <v>7.6765124218559078E-2</v>
      </c>
      <c r="H122" s="588">
        <f t="shared" si="121"/>
        <v>-0.141557564562103</v>
      </c>
      <c r="I122" s="588"/>
      <c r="J122" s="588"/>
      <c r="K122" s="588"/>
      <c r="L122" s="588"/>
      <c r="M122" s="588"/>
      <c r="N122" s="588"/>
      <c r="O122" s="588"/>
      <c r="P122" s="588"/>
      <c r="Q122" s="588"/>
      <c r="R122" s="588"/>
      <c r="S122" s="589">
        <f>AVERAGE(E122:J122)</f>
        <v>1.6669557167736548E-2</v>
      </c>
      <c r="T122" s="588"/>
      <c r="U122" s="588"/>
    </row>
    <row r="123" spans="3:21" ht="30" x14ac:dyDescent="0.25">
      <c r="C123" s="591"/>
      <c r="D123" s="590" t="s">
        <v>154</v>
      </c>
      <c r="E123" s="587">
        <f>E122*(E94+E97)</f>
        <v>12431.279999999993</v>
      </c>
      <c r="F123" s="587">
        <f t="shared" ref="F123:P123" si="122">F122*(F94+F97)</f>
        <v>62118.999999999978</v>
      </c>
      <c r="G123" s="587">
        <f t="shared" si="122"/>
        <v>43014.800000000047</v>
      </c>
      <c r="H123" s="587">
        <f t="shared" si="122"/>
        <v>-57856.699999999924</v>
      </c>
      <c r="I123" s="587">
        <f t="shared" si="122"/>
        <v>0</v>
      </c>
      <c r="J123" s="587">
        <f t="shared" si="122"/>
        <v>0</v>
      </c>
      <c r="K123" s="587">
        <f t="shared" si="122"/>
        <v>0</v>
      </c>
      <c r="L123" s="587">
        <f t="shared" si="122"/>
        <v>0</v>
      </c>
      <c r="M123" s="587">
        <f t="shared" si="122"/>
        <v>0</v>
      </c>
      <c r="N123" s="587">
        <f t="shared" si="122"/>
        <v>0</v>
      </c>
      <c r="O123" s="587">
        <f t="shared" si="122"/>
        <v>0</v>
      </c>
      <c r="P123" s="587">
        <f t="shared" si="122"/>
        <v>0</v>
      </c>
      <c r="Q123" s="588"/>
      <c r="R123" s="588"/>
      <c r="S123" s="589"/>
      <c r="T123" s="588"/>
      <c r="U123" s="588"/>
    </row>
    <row r="124" spans="3:21" ht="15.75" thickBot="1" x14ac:dyDescent="0.3">
      <c r="C124" s="592"/>
      <c r="D124" s="593"/>
      <c r="E124" s="594"/>
      <c r="F124" s="594"/>
      <c r="G124" s="594"/>
      <c r="H124" s="594"/>
      <c r="I124" s="594"/>
      <c r="J124" s="594"/>
      <c r="K124" s="594"/>
      <c r="L124" s="594"/>
      <c r="M124" s="594"/>
      <c r="N124" s="594"/>
      <c r="O124" s="594"/>
      <c r="P124" s="594"/>
      <c r="Q124" s="594"/>
      <c r="R124" s="594"/>
      <c r="S124" s="595"/>
      <c r="T124" s="588"/>
      <c r="U124" s="588"/>
    </row>
  </sheetData>
  <mergeCells count="23">
    <mergeCell ref="U3:U4"/>
    <mergeCell ref="C5:U5"/>
    <mergeCell ref="C31:U31"/>
    <mergeCell ref="C57:U57"/>
    <mergeCell ref="C84:U84"/>
    <mergeCell ref="C48:C52"/>
    <mergeCell ref="C54:C56"/>
    <mergeCell ref="C73:C80"/>
    <mergeCell ref="Q3:Q4"/>
    <mergeCell ref="R3:R4"/>
    <mergeCell ref="C1:T1"/>
    <mergeCell ref="C6:C21"/>
    <mergeCell ref="C22:C26"/>
    <mergeCell ref="C28:C30"/>
    <mergeCell ref="C32:C47"/>
    <mergeCell ref="S3:S4"/>
    <mergeCell ref="T3:T4"/>
    <mergeCell ref="Q104:S104"/>
    <mergeCell ref="C106:T106"/>
    <mergeCell ref="C116:U116"/>
    <mergeCell ref="C93:U93"/>
    <mergeCell ref="C81:C83"/>
    <mergeCell ref="C91:C92"/>
  </mergeCells>
  <printOptions horizontalCentered="1" verticalCentered="1"/>
  <pageMargins left="0" right="0" top="0" bottom="0" header="0" footer="0"/>
  <pageSetup paperSize="9" scale="60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SUIV CA 16-17</vt:lpstr>
      <vt:lpstr>SUIV CA 17-18</vt:lpstr>
      <vt:lpstr>SUVI RENTABILITE 16-17 </vt:lpstr>
      <vt:lpstr>SUIVI RENTABILITE 17-18</vt:lpstr>
      <vt:lpstr>'SUIV CA 16-17'!Zone_d_impression</vt:lpstr>
      <vt:lpstr>'SUIV CA 17-18'!Zone_d_impression</vt:lpstr>
      <vt:lpstr>'SUIVI RENTABILITE 17-18'!Zone_d_impression</vt:lpstr>
      <vt:lpstr>'SUVI RENTABILITE 16-17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Gabriel</cp:lastModifiedBy>
  <cp:lastPrinted>2018-02-16T15:00:45Z</cp:lastPrinted>
  <dcterms:created xsi:type="dcterms:W3CDTF">2009-02-05T07:45:55Z</dcterms:created>
  <dcterms:modified xsi:type="dcterms:W3CDTF">2018-02-26T14:56:41Z</dcterms:modified>
</cp:coreProperties>
</file>