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\\FLSRV001\Ingeneries\DT\autre\charte pour coupe du plywood mur\"/>
    </mc:Choice>
  </mc:AlternateContent>
  <xr:revisionPtr revIDLastSave="0" documentId="12_ncr:500000_{A7CFC521-FAF2-4390-933B-8EDBE482C224}" xr6:coauthVersionLast="31" xr6:coauthVersionMax="31" xr10:uidLastSave="{00000000-0000-0000-0000-000000000000}"/>
  <bookViews>
    <workbookView xWindow="0" yWindow="0" windowWidth="28800" windowHeight="12435" activeTab="3" xr2:uid="{00000000-000D-0000-FFFF-FFFF00000000}"/>
  </bookViews>
  <sheets>
    <sheet name="Feuil3" sheetId="7" r:id="rId1"/>
    <sheet name="BOM" sheetId="5" r:id="rId2"/>
    <sheet name="Confi" sheetId="2" r:id="rId3"/>
    <sheet name="Menu" sheetId="3" r:id="rId4"/>
    <sheet name="Fraction" sheetId="4" r:id="rId5"/>
    <sheet name="Charte" sheetId="1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5" l="1"/>
  <c r="C3" i="5"/>
  <c r="B3" i="5"/>
  <c r="B10" i="2" l="1"/>
  <c r="B11" i="2" s="1"/>
  <c r="F5" i="2"/>
  <c r="B12" i="2" l="1"/>
  <c r="F1" i="2"/>
  <c r="A15" i="2"/>
  <c r="C15" i="2" s="1"/>
  <c r="F4" i="2"/>
  <c r="F3" i="2"/>
  <c r="F6" i="2"/>
  <c r="B18" i="2"/>
  <c r="A14" i="2"/>
  <c r="C14" i="2" s="1"/>
  <c r="A13" i="2"/>
  <c r="C13" i="2" s="1"/>
  <c r="A12" i="2"/>
  <c r="C12" i="2" s="1"/>
  <c r="A11" i="2"/>
  <c r="F2" i="2"/>
  <c r="G16" i="2"/>
  <c r="B13" i="2" l="1"/>
  <c r="B14" i="2" s="1"/>
  <c r="B15" i="2" s="1"/>
  <c r="F11" i="2"/>
  <c r="F10" i="2"/>
  <c r="C11" i="2"/>
  <c r="B19" i="2"/>
  <c r="A6" i="5" l="1"/>
  <c r="B6" i="5" s="1"/>
  <c r="C6" i="5" s="1"/>
  <c r="A5" i="5"/>
  <c r="B5" i="5" s="1"/>
  <c r="C5" i="5" s="1"/>
  <c r="A3" i="5"/>
  <c r="A4" i="5"/>
  <c r="H11" i="2"/>
  <c r="H10" i="2"/>
  <c r="F12" i="2"/>
  <c r="F13" i="2"/>
  <c r="A9" i="5" s="1"/>
  <c r="B9" i="5" s="1"/>
  <c r="C9" i="5" s="1"/>
  <c r="G11" i="2"/>
  <c r="H3" i="2"/>
  <c r="H5" i="2"/>
  <c r="H4" i="2"/>
  <c r="H6" i="2"/>
  <c r="H2" i="2"/>
  <c r="A8" i="5" l="1"/>
  <c r="B8" i="5" s="1"/>
  <c r="C8" i="5" s="1"/>
  <c r="A7" i="5"/>
  <c r="B7" i="5" s="1"/>
  <c r="C7" i="5" s="1"/>
  <c r="A19" i="5"/>
  <c r="B19" i="5" s="1"/>
  <c r="C19" i="5" s="1"/>
  <c r="A18" i="5"/>
  <c r="B18" i="5" s="1"/>
  <c r="C18" i="5" s="1"/>
  <c r="A17" i="5"/>
  <c r="B17" i="5" s="1"/>
  <c r="C17" i="5" s="1"/>
  <c r="A16" i="5"/>
  <c r="B16" i="5" s="1"/>
  <c r="C16" i="5" s="1"/>
  <c r="I11" i="2"/>
  <c r="H12" i="2"/>
  <c r="J10" i="2"/>
  <c r="A20" i="5" s="1"/>
  <c r="B20" i="5" s="1"/>
  <c r="C20" i="5" s="1"/>
  <c r="G12" i="2"/>
  <c r="H13" i="2"/>
  <c r="G13" i="2"/>
  <c r="Y12" i="1"/>
  <c r="Z12" i="1"/>
  <c r="AA12" i="1"/>
  <c r="AB12" i="1"/>
  <c r="AC12" i="1"/>
  <c r="AD12" i="1"/>
  <c r="AE12" i="1"/>
  <c r="X12" i="1"/>
  <c r="X20" i="1"/>
  <c r="Y20" i="1"/>
  <c r="Z20" i="1"/>
  <c r="AA20" i="1"/>
  <c r="AB20" i="1"/>
  <c r="AC20" i="1"/>
  <c r="AD20" i="1"/>
  <c r="AE20" i="1"/>
  <c r="Y19" i="1"/>
  <c r="Z19" i="1"/>
  <c r="AA19" i="1"/>
  <c r="AB19" i="1"/>
  <c r="AC19" i="1"/>
  <c r="AD19" i="1"/>
  <c r="AE19" i="1"/>
  <c r="X19" i="1"/>
  <c r="AA21" i="1"/>
  <c r="AE22" i="1"/>
  <c r="AD22" i="1"/>
  <c r="AC22" i="1"/>
  <c r="AB22" i="1"/>
  <c r="AA22" i="1"/>
  <c r="Z22" i="1"/>
  <c r="Y22" i="1"/>
  <c r="X22" i="1"/>
  <c r="AE21" i="1"/>
  <c r="AD21" i="1"/>
  <c r="AC21" i="1"/>
  <c r="AB21" i="1"/>
  <c r="Z21" i="1"/>
  <c r="Y21" i="1"/>
  <c r="X21" i="1"/>
  <c r="A21" i="5" l="1"/>
  <c r="B21" i="5" s="1"/>
  <c r="C21" i="5" s="1"/>
  <c r="A22" i="5"/>
  <c r="B22" i="5" s="1"/>
  <c r="C22" i="5" s="1"/>
  <c r="A24" i="5"/>
  <c r="B24" i="5" s="1"/>
  <c r="C24" i="5" s="1"/>
  <c r="A23" i="5"/>
  <c r="B23" i="5" s="1"/>
  <c r="C23" i="5" s="1"/>
  <c r="I13" i="2"/>
  <c r="I12" i="2"/>
  <c r="J9" i="2"/>
  <c r="F14" i="2"/>
  <c r="F15" i="2"/>
  <c r="X14" i="1"/>
  <c r="A10" i="5" l="1"/>
  <c r="B10" i="5" s="1"/>
  <c r="C10" i="5" s="1"/>
  <c r="A11" i="5"/>
  <c r="B11" i="5" s="1"/>
  <c r="C11" i="5" s="1"/>
  <c r="A12" i="5"/>
  <c r="B12" i="5" s="1"/>
  <c r="C12" i="5" s="1"/>
  <c r="A13" i="5"/>
  <c r="B13" i="5" s="1"/>
  <c r="C13" i="5" s="1"/>
  <c r="H15" i="2"/>
  <c r="G15" i="2"/>
  <c r="H14" i="2"/>
  <c r="G14" i="2"/>
  <c r="K1" i="1"/>
  <c r="J1" i="1"/>
  <c r="I1" i="1"/>
  <c r="H1" i="1"/>
  <c r="G1" i="1"/>
  <c r="F1" i="1"/>
  <c r="E1" i="1"/>
  <c r="D1" i="1"/>
  <c r="A15" i="5" l="1"/>
  <c r="B15" i="5" s="1"/>
  <c r="C15" i="5" s="1"/>
  <c r="A14" i="5"/>
  <c r="B14" i="5" s="1"/>
  <c r="C14" i="5" s="1"/>
  <c r="I15" i="2"/>
  <c r="A26" i="5"/>
  <c r="B26" i="5" s="1"/>
  <c r="C26" i="5" s="1"/>
  <c r="A25" i="5"/>
  <c r="B25" i="5" s="1"/>
  <c r="C25" i="5" s="1"/>
  <c r="H9" i="2"/>
  <c r="I14" i="2"/>
  <c r="X29" i="1"/>
  <c r="Y29" i="1"/>
  <c r="Z29" i="1"/>
  <c r="AA29" i="1"/>
  <c r="AB29" i="1"/>
  <c r="AC29" i="1"/>
  <c r="AD29" i="1"/>
  <c r="AE29" i="1"/>
  <c r="Y28" i="1"/>
  <c r="Z28" i="1"/>
  <c r="AA28" i="1"/>
  <c r="AB28" i="1"/>
  <c r="AC28" i="1"/>
  <c r="AD28" i="1"/>
  <c r="AE28" i="1"/>
  <c r="Y27" i="1"/>
  <c r="Z27" i="1"/>
  <c r="AA27" i="1"/>
  <c r="AB27" i="1"/>
  <c r="AC27" i="1"/>
  <c r="AD27" i="1"/>
  <c r="AE27" i="1"/>
  <c r="X27" i="1"/>
  <c r="Y26" i="1"/>
  <c r="Z26" i="1"/>
  <c r="AA26" i="1"/>
  <c r="AB26" i="1"/>
  <c r="AC26" i="1"/>
  <c r="AD26" i="1"/>
  <c r="AE26" i="1"/>
  <c r="X28" i="1"/>
  <c r="X26" i="1"/>
  <c r="Y15" i="1"/>
  <c r="Z15" i="1"/>
  <c r="AA15" i="1"/>
  <c r="AB15" i="1"/>
  <c r="AC15" i="1"/>
  <c r="AD15" i="1"/>
  <c r="AE15" i="1"/>
  <c r="X15" i="1"/>
  <c r="Y14" i="1"/>
  <c r="Z14" i="1"/>
  <c r="AA14" i="1"/>
  <c r="AB14" i="1"/>
  <c r="AC14" i="1"/>
  <c r="AD14" i="1"/>
  <c r="AE14" i="1"/>
  <c r="D6" i="1"/>
  <c r="E6" i="1"/>
  <c r="F6" i="1"/>
  <c r="G6" i="1"/>
  <c r="H6" i="1"/>
  <c r="I6" i="1"/>
  <c r="J6" i="1"/>
  <c r="K6" i="1"/>
  <c r="D5" i="1"/>
  <c r="D7" i="1"/>
  <c r="AE8" i="1" l="1"/>
  <c r="AD8" i="1"/>
  <c r="AC8" i="1"/>
  <c r="AB8" i="1"/>
  <c r="AA8" i="1"/>
  <c r="Z8" i="1"/>
  <c r="Y8" i="1"/>
  <c r="X8" i="1"/>
  <c r="AE7" i="1"/>
  <c r="AD7" i="1"/>
  <c r="AC7" i="1"/>
  <c r="AB7" i="1"/>
  <c r="AA7" i="1"/>
  <c r="Z7" i="1"/>
  <c r="Y7" i="1"/>
  <c r="X7" i="1"/>
  <c r="K23" i="1"/>
  <c r="J23" i="1"/>
  <c r="I23" i="1"/>
  <c r="H23" i="1"/>
  <c r="G23" i="1"/>
  <c r="F23" i="1"/>
  <c r="E23" i="1"/>
  <c r="D23" i="1"/>
  <c r="D24" i="1"/>
  <c r="D25" i="1"/>
  <c r="K17" i="1"/>
  <c r="K18" i="1"/>
  <c r="K19" i="1"/>
  <c r="J17" i="1"/>
  <c r="J18" i="1"/>
  <c r="J19" i="1"/>
  <c r="I17" i="1"/>
  <c r="I18" i="1"/>
  <c r="I19" i="1"/>
  <c r="H17" i="1"/>
  <c r="H18" i="1"/>
  <c r="H19" i="1"/>
  <c r="G17" i="1"/>
  <c r="G18" i="1"/>
  <c r="G19" i="1"/>
  <c r="F17" i="1"/>
  <c r="F18" i="1"/>
  <c r="F19" i="1"/>
  <c r="E17" i="1"/>
  <c r="E18" i="1"/>
  <c r="E19" i="1"/>
  <c r="D17" i="1"/>
  <c r="D18" i="1"/>
  <c r="D19" i="1"/>
  <c r="K11" i="1"/>
  <c r="K12" i="1"/>
  <c r="K13" i="1"/>
  <c r="J11" i="1"/>
  <c r="J12" i="1"/>
  <c r="J13" i="1"/>
  <c r="I11" i="1"/>
  <c r="I12" i="1"/>
  <c r="I13" i="1"/>
  <c r="H11" i="1"/>
  <c r="H12" i="1"/>
  <c r="H13" i="1"/>
  <c r="G11" i="1"/>
  <c r="G12" i="1"/>
  <c r="G13" i="1"/>
  <c r="F11" i="1"/>
  <c r="F12" i="1"/>
  <c r="F13" i="1"/>
  <c r="E11" i="1"/>
  <c r="E12" i="1"/>
  <c r="E13" i="1"/>
  <c r="D11" i="1"/>
  <c r="D12" i="1"/>
  <c r="D13" i="1"/>
  <c r="K5" i="1"/>
  <c r="K7" i="1"/>
  <c r="J5" i="1"/>
  <c r="J7" i="1"/>
  <c r="I5" i="1"/>
  <c r="I7" i="1"/>
  <c r="H5" i="1"/>
  <c r="H7" i="1"/>
  <c r="G5" i="1"/>
  <c r="G7" i="1"/>
  <c r="F5" i="1"/>
  <c r="F7" i="1"/>
  <c r="E5" i="1"/>
  <c r="E7" i="1"/>
  <c r="G25" i="1" l="1"/>
  <c r="H25" i="1"/>
  <c r="I25" i="1"/>
  <c r="J25" i="1"/>
  <c r="K25" i="1"/>
  <c r="G24" i="1"/>
  <c r="H24" i="1"/>
  <c r="I24" i="1"/>
  <c r="J24" i="1"/>
  <c r="K24" i="1"/>
  <c r="F25" i="1"/>
  <c r="F24" i="1"/>
  <c r="E25" i="1"/>
  <c r="E24" i="1"/>
  <c r="T22" i="1" l="1"/>
  <c r="T21" i="1"/>
  <c r="S22" i="1"/>
  <c r="S21" i="1"/>
  <c r="R22" i="1"/>
  <c r="R21" i="1"/>
  <c r="P22" i="1"/>
  <c r="Q22" i="1"/>
  <c r="Q21" i="1"/>
  <c r="P21" i="1"/>
  <c r="O22" i="1"/>
  <c r="O21" i="1"/>
  <c r="T20" i="1"/>
  <c r="S20" i="1"/>
  <c r="R20" i="1"/>
  <c r="Q20" i="1"/>
  <c r="P20" i="1"/>
  <c r="O20" i="1"/>
  <c r="O7" i="1"/>
  <c r="P7" i="1"/>
  <c r="O8" i="1"/>
  <c r="P8" i="1"/>
  <c r="Q7" i="1"/>
  <c r="R7" i="1"/>
  <c r="S7" i="1"/>
  <c r="T7" i="1"/>
  <c r="Q8" i="1"/>
  <c r="R8" i="1"/>
  <c r="S8" i="1"/>
  <c r="T8" i="1"/>
  <c r="R6" i="1"/>
  <c r="S6" i="1"/>
  <c r="T6" i="1"/>
  <c r="Q6" i="1"/>
  <c r="P6" i="1"/>
  <c r="O6" i="1"/>
  <c r="R37" i="1"/>
  <c r="S37" i="1"/>
  <c r="T37" i="1"/>
  <c r="R38" i="1"/>
  <c r="S38" i="1"/>
  <c r="T38" i="1"/>
  <c r="R39" i="1"/>
  <c r="S39" i="1"/>
  <c r="T39" i="1"/>
  <c r="Q38" i="1"/>
  <c r="Q39" i="1"/>
  <c r="Q37" i="1"/>
  <c r="P37" i="1"/>
  <c r="P38" i="1"/>
  <c r="P39" i="1"/>
  <c r="O38" i="1"/>
  <c r="O39" i="1"/>
  <c r="O37" i="1"/>
  <c r="S13" i="1" l="1"/>
  <c r="S14" i="1"/>
  <c r="S15" i="1"/>
  <c r="T53" i="1" l="1"/>
  <c r="S53" i="1"/>
  <c r="R53" i="1"/>
  <c r="Q53" i="1"/>
  <c r="P53" i="1"/>
  <c r="O53" i="1"/>
  <c r="K51" i="1"/>
  <c r="J51" i="1"/>
  <c r="I51" i="1"/>
  <c r="H51" i="1"/>
  <c r="G51" i="1"/>
  <c r="F51" i="1"/>
  <c r="E51" i="1"/>
  <c r="D51" i="1"/>
  <c r="T52" i="1"/>
  <c r="S52" i="1"/>
  <c r="R52" i="1"/>
  <c r="Q52" i="1"/>
  <c r="P52" i="1"/>
  <c r="O52" i="1"/>
  <c r="K50" i="1"/>
  <c r="J50" i="1"/>
  <c r="I50" i="1"/>
  <c r="H50" i="1"/>
  <c r="G50" i="1"/>
  <c r="F50" i="1"/>
  <c r="E50" i="1"/>
  <c r="D50" i="1"/>
  <c r="T51" i="1"/>
  <c r="S51" i="1"/>
  <c r="R51" i="1"/>
  <c r="Q51" i="1"/>
  <c r="P51" i="1"/>
  <c r="O51" i="1"/>
  <c r="K49" i="1"/>
  <c r="J49" i="1"/>
  <c r="I49" i="1"/>
  <c r="H49" i="1"/>
  <c r="G49" i="1"/>
  <c r="F49" i="1"/>
  <c r="E49" i="1"/>
  <c r="D49" i="1"/>
  <c r="T46" i="1"/>
  <c r="S46" i="1"/>
  <c r="R46" i="1"/>
  <c r="Q46" i="1"/>
  <c r="P46" i="1"/>
  <c r="O46" i="1"/>
  <c r="K45" i="1"/>
  <c r="J45" i="1"/>
  <c r="I45" i="1"/>
  <c r="H45" i="1"/>
  <c r="G45" i="1"/>
  <c r="F45" i="1"/>
  <c r="E45" i="1"/>
  <c r="D45" i="1"/>
  <c r="T45" i="1"/>
  <c r="S45" i="1"/>
  <c r="R45" i="1"/>
  <c r="Q45" i="1"/>
  <c r="P45" i="1"/>
  <c r="O45" i="1"/>
  <c r="K44" i="1"/>
  <c r="J44" i="1"/>
  <c r="I44" i="1"/>
  <c r="H44" i="1"/>
  <c r="G44" i="1"/>
  <c r="F44" i="1"/>
  <c r="E44" i="1"/>
  <c r="D44" i="1"/>
  <c r="T44" i="1"/>
  <c r="S44" i="1"/>
  <c r="R44" i="1"/>
  <c r="Q44" i="1"/>
  <c r="P44" i="1"/>
  <c r="O44" i="1"/>
  <c r="K43" i="1"/>
  <c r="J43" i="1"/>
  <c r="I43" i="1"/>
  <c r="H43" i="1"/>
  <c r="G43" i="1"/>
  <c r="F43" i="1"/>
  <c r="E43" i="1"/>
  <c r="D43" i="1"/>
  <c r="H39" i="1"/>
  <c r="H38" i="1"/>
  <c r="H37" i="1"/>
  <c r="T32" i="1"/>
  <c r="S32" i="1"/>
  <c r="R32" i="1"/>
  <c r="Q32" i="1"/>
  <c r="P32" i="1"/>
  <c r="O32" i="1"/>
  <c r="K33" i="1"/>
  <c r="J33" i="1"/>
  <c r="I33" i="1"/>
  <c r="H33" i="1"/>
  <c r="G33" i="1"/>
  <c r="F33" i="1"/>
  <c r="E33" i="1"/>
  <c r="D33" i="1"/>
  <c r="T31" i="1"/>
  <c r="S31" i="1"/>
  <c r="R31" i="1"/>
  <c r="Q31" i="1"/>
  <c r="P31" i="1"/>
  <c r="O31" i="1"/>
  <c r="K32" i="1"/>
  <c r="J32" i="1"/>
  <c r="I32" i="1"/>
  <c r="H32" i="1"/>
  <c r="G32" i="1"/>
  <c r="F32" i="1"/>
  <c r="E32" i="1"/>
  <c r="D32" i="1"/>
  <c r="T30" i="1"/>
  <c r="S30" i="1"/>
  <c r="R30" i="1"/>
  <c r="Q30" i="1"/>
  <c r="P30" i="1"/>
  <c r="O30" i="1"/>
  <c r="K31" i="1"/>
  <c r="J31" i="1"/>
  <c r="I31" i="1"/>
  <c r="H31" i="1"/>
  <c r="G31" i="1"/>
  <c r="F31" i="1"/>
  <c r="E31" i="1"/>
  <c r="D31" i="1"/>
  <c r="K27" i="1"/>
  <c r="J27" i="1"/>
  <c r="I27" i="1"/>
  <c r="H27" i="1"/>
  <c r="G27" i="1"/>
  <c r="F27" i="1"/>
  <c r="E27" i="1"/>
  <c r="D27" i="1"/>
  <c r="K37" i="1"/>
  <c r="E38" i="1" l="1"/>
  <c r="E39" i="1"/>
  <c r="J39" i="1"/>
  <c r="I38" i="1"/>
  <c r="I37" i="1"/>
  <c r="D38" i="1"/>
  <c r="D37" i="1"/>
  <c r="F39" i="1"/>
  <c r="E37" i="1"/>
  <c r="F38" i="1"/>
  <c r="G39" i="1"/>
  <c r="F37" i="1"/>
  <c r="G38" i="1"/>
  <c r="G37" i="1"/>
  <c r="I39" i="1"/>
  <c r="J38" i="1"/>
  <c r="K39" i="1"/>
  <c r="J37" i="1"/>
  <c r="K38" i="1"/>
  <c r="D39" i="1"/>
  <c r="O13" i="1"/>
  <c r="O14" i="1"/>
  <c r="P14" i="1"/>
  <c r="Q14" i="1"/>
  <c r="R14" i="1"/>
  <c r="T14" i="1"/>
  <c r="O15" i="1"/>
  <c r="P15" i="1"/>
  <c r="Q15" i="1"/>
  <c r="R15" i="1"/>
  <c r="T15" i="1"/>
  <c r="P13" i="1"/>
  <c r="Q13" i="1"/>
  <c r="R13" i="1"/>
  <c r="T13" i="1"/>
</calcChain>
</file>

<file path=xl/sharedStrings.xml><?xml version="1.0" encoding="utf-8"?>
<sst xmlns="http://schemas.openxmlformats.org/spreadsheetml/2006/main" count="279" uniqueCount="65">
  <si>
    <t>Flat 1"</t>
  </si>
  <si>
    <t>Type de track \ espacement</t>
  </si>
  <si>
    <t>12"</t>
  </si>
  <si>
    <t>16"</t>
  </si>
  <si>
    <t>20"</t>
  </si>
  <si>
    <t>24"</t>
  </si>
  <si>
    <t>36"</t>
  </si>
  <si>
    <t>48"</t>
  </si>
  <si>
    <t>60"</t>
  </si>
  <si>
    <t>2009,1260,à anneau</t>
  </si>
  <si>
    <t>CaC</t>
  </si>
  <si>
    <t>du plafond</t>
  </si>
  <si>
    <t>h.boite-valeur= hauteur de la track</t>
  </si>
  <si>
    <t>plywood du bas(3/4" Rigatex)</t>
  </si>
  <si>
    <t>plywood du bas(plancher 1,5")</t>
  </si>
  <si>
    <t>32"</t>
  </si>
  <si>
    <t>Centre à Centre</t>
  </si>
  <si>
    <t>Type de Track</t>
  </si>
  <si>
    <t xml:space="preserve">Type de track </t>
  </si>
  <si>
    <t>\Hauteur de plywood</t>
  </si>
  <si>
    <t>Type de track</t>
  </si>
  <si>
    <t xml:space="preserve"> \ Hauteur de plywood</t>
  </si>
  <si>
    <t xml:space="preserve">À partir du haut </t>
  </si>
  <si>
    <t>plywood du bas (Rigatex 3/4")</t>
  </si>
  <si>
    <t>plywood du bas (Plancher 1 1/2")</t>
  </si>
  <si>
    <r>
      <t xml:space="preserve">Hauteur de track pour </t>
    </r>
    <r>
      <rPr>
        <b/>
        <sz val="11"/>
        <color theme="1"/>
        <rFont val="Calibri"/>
        <family val="2"/>
        <scheme val="minor"/>
      </rPr>
      <t>plywood du bas</t>
    </r>
  </si>
  <si>
    <t>plywood du bas(plancher 1 1/2")</t>
  </si>
  <si>
    <r>
      <t xml:space="preserve">plywood du haut </t>
    </r>
    <r>
      <rPr>
        <b/>
        <sz val="11"/>
        <color theme="1"/>
        <rFont val="Calibri"/>
        <family val="2"/>
        <scheme val="minor"/>
      </rPr>
      <t>(valeur +0,75" si Rigatex 3/4")</t>
    </r>
  </si>
  <si>
    <t>position de plywood \ espacement</t>
  </si>
  <si>
    <t>plywood du haut (valeur +0,75" si Rigatex 3/4")</t>
  </si>
  <si>
    <t>2009,1260, À anneau</t>
  </si>
  <si>
    <t>1806 Aluminium</t>
  </si>
  <si>
    <t xml:space="preserve">1806 Acier </t>
  </si>
  <si>
    <t>Hauteur Boite</t>
  </si>
  <si>
    <t>Nombre track</t>
  </si>
  <si>
    <t>Track</t>
  </si>
  <si>
    <t>Plancher</t>
  </si>
  <si>
    <t>Rigatex</t>
  </si>
  <si>
    <t>Autre</t>
  </si>
  <si>
    <t>[po]</t>
  </si>
  <si>
    <t>Nb track</t>
  </si>
  <si>
    <t>Anneaux</t>
  </si>
  <si>
    <t>Longueur Boite</t>
  </si>
  <si>
    <t>Hauteur :</t>
  </si>
  <si>
    <t>Longueur :</t>
  </si>
  <si>
    <t>[pied]</t>
  </si>
  <si>
    <t>Panneaux coupé</t>
  </si>
  <si>
    <t>1 Panneau</t>
  </si>
  <si>
    <t>Mesure</t>
  </si>
  <si>
    <t>Section #1</t>
  </si>
  <si>
    <t>Information du S/O</t>
  </si>
  <si>
    <t>Nb Panneaux plein de 96"</t>
  </si>
  <si>
    <t>Hauteur</t>
  </si>
  <si>
    <t>Type Track</t>
  </si>
  <si>
    <t>BOM</t>
  </si>
  <si>
    <t>Longueur</t>
  </si>
  <si>
    <t>Nb de feuille</t>
  </si>
  <si>
    <t>Sub masquer_ligne_Vide()</t>
  </si>
  <si>
    <t>Dim cel As Range</t>
  </si>
  <si>
    <t>For Each cel In Range("A1:A100")</t>
  </si>
  <si>
    <t>If cel = "" Then</t>
  </si>
  <si>
    <t>cel.EntireRow.Hidden = True</t>
  </si>
  <si>
    <t>End If</t>
  </si>
  <si>
    <t>Next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</si>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</sst>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&quot; &quot;?/8"/>
    <numFmt numFmtId="165" formatCode="#&quot; &quot;?/4"/>
    <numFmt numFmtId="166" formatCode="#&quot; &quot;??/16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333333"/>
      <name val="Consolas"/>
      <family val="3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/>
    <xf numFmtId="164" fontId="0" fillId="0" borderId="17" xfId="0" applyNumberFormat="1" applyBorder="1" applyAlignment="1">
      <alignment horizontal="center"/>
    </xf>
    <xf numFmtId="0" fontId="0" fillId="0" borderId="18" xfId="0" applyBorder="1"/>
    <xf numFmtId="1" fontId="0" fillId="0" borderId="17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8" xfId="0" applyBorder="1"/>
    <xf numFmtId="0" fontId="0" fillId="0" borderId="3" xfId="0" applyBorder="1" applyAlignment="1">
      <alignment horizontal="center" vertical="center"/>
    </xf>
    <xf numFmtId="166" fontId="0" fillId="0" borderId="9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5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6" fontId="0" fillId="0" borderId="17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6" fontId="0" fillId="0" borderId="21" xfId="0" applyNumberFormat="1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0" fontId="0" fillId="0" borderId="14" xfId="0" applyBorder="1"/>
    <xf numFmtId="0" fontId="0" fillId="0" borderId="0" xfId="0" applyBorder="1"/>
    <xf numFmtId="0" fontId="0" fillId="0" borderId="13" xfId="0" applyBorder="1" applyAlignment="1">
      <alignment horizontal="left" vertical="center"/>
    </xf>
    <xf numFmtId="164" fontId="0" fillId="0" borderId="19" xfId="0" applyNumberFormat="1" applyBorder="1" applyAlignment="1">
      <alignment horizontal="center"/>
    </xf>
    <xf numFmtId="166" fontId="0" fillId="0" borderId="22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6" fontId="0" fillId="0" borderId="14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/>
    <xf numFmtId="1" fontId="0" fillId="0" borderId="25" xfId="0" applyNumberFormat="1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6" xfId="0" applyBorder="1"/>
    <xf numFmtId="0" fontId="0" fillId="0" borderId="28" xfId="0" applyBorder="1"/>
    <xf numFmtId="166" fontId="0" fillId="0" borderId="1" xfId="0" applyNumberFormat="1" applyBorder="1" applyAlignment="1">
      <alignment horizontal="center"/>
    </xf>
    <xf numFmtId="0" fontId="1" fillId="0" borderId="9" xfId="0" applyFont="1" applyBorder="1" applyAlignment="1">
      <alignment horizontal="left" vertical="center"/>
    </xf>
    <xf numFmtId="0" fontId="0" fillId="0" borderId="29" xfId="0" applyBorder="1" applyAlignment="1">
      <alignment horizontal="right" vertical="center" wrapText="1"/>
    </xf>
    <xf numFmtId="0" fontId="0" fillId="0" borderId="3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9" xfId="0" applyBorder="1"/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0" xfId="0" applyFont="1"/>
    <xf numFmtId="165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166" fontId="0" fillId="0" borderId="0" xfId="0" applyNumberFormat="1"/>
    <xf numFmtId="12" fontId="0" fillId="0" borderId="0" xfId="0" applyNumberFormat="1"/>
    <xf numFmtId="2" fontId="0" fillId="0" borderId="0" xfId="0" applyNumberFormat="1"/>
    <xf numFmtId="0" fontId="0" fillId="0" borderId="11" xfId="0" applyBorder="1"/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left" vertical="top"/>
    </xf>
    <xf numFmtId="0" fontId="0" fillId="0" borderId="0" xfId="0" applyFont="1"/>
    <xf numFmtId="0" fontId="2" fillId="0" borderId="0" xfId="0" applyFont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0" borderId="19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/>
    <xf numFmtId="0" fontId="0" fillId="0" borderId="11" xfId="0" applyBorder="1" applyAlignment="1">
      <alignment horizontal="left"/>
    </xf>
    <xf numFmtId="0" fontId="0" fillId="2" borderId="10" xfId="0" applyFill="1" applyBorder="1"/>
    <xf numFmtId="0" fontId="0" fillId="2" borderId="12" xfId="0" applyFill="1" applyBorder="1"/>
    <xf numFmtId="0" fontId="0" fillId="2" borderId="9" xfId="0" applyFill="1" applyBorder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</cellXfs>
  <cellStyles count="1">
    <cellStyle name="Normal" xfId="0" builtinId="0"/>
  </cellStyles>
  <dxfs count="12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justifyLastLine="0" shrinkToFit="0" readingOrder="0"/>
    </dxf>
    <dxf>
      <numFmt numFmtId="165" formatCode="#&quot; &quot;?/4"/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numFmt numFmtId="165" formatCode="#&quot; &quot;?/4"/>
    </dxf>
    <dxf>
      <numFmt numFmtId="165" formatCode="#&quot; &quot;?/4"/>
    </dxf>
    <dxf>
      <numFmt numFmtId="165" formatCode="#&quot; &quot;?/4"/>
    </dxf>
    <dxf>
      <numFmt numFmtId="165" formatCode="#&quot; &quot;?/4"/>
    </dxf>
    <dxf>
      <numFmt numFmtId="165" formatCode="#&quot; &quot;?/4"/>
    </dxf>
    <dxf>
      <numFmt numFmtId="165" formatCode="#&quot; &quot;?/4"/>
    </dxf>
    <dxf>
      <numFmt numFmtId="165" formatCode="#&quot; &quot;?/4"/>
    </dxf>
    <dxf>
      <numFmt numFmtId="165" formatCode="#&quot; &quot;?/4"/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#&quot; &quot;?/8"/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border>
        <bottom style="double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155200</xdr:colOff>
      <xdr:row>0</xdr:row>
      <xdr:rowOff>121583</xdr:rowOff>
    </xdr:from>
    <xdr:to>
      <xdr:col>28</xdr:col>
      <xdr:colOff>469525</xdr:colOff>
      <xdr:row>29</xdr:row>
      <xdr:rowOff>23612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1C11312-282D-4C40-98D2-71F24C7CD7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315" t="3439" r="7003"/>
        <a:stretch/>
      </xdr:blipFill>
      <xdr:spPr>
        <a:xfrm>
          <a:off x="15888259" y="121583"/>
          <a:ext cx="4886325" cy="561702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13</xdr:col>
      <xdr:colOff>0</xdr:colOff>
      <xdr:row>0</xdr:row>
      <xdr:rowOff>179294</xdr:rowOff>
    </xdr:from>
    <xdr:to>
      <xdr:col>20</xdr:col>
      <xdr:colOff>739588</xdr:colOff>
      <xdr:row>11</xdr:row>
      <xdr:rowOff>179294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3147965-2916-4A39-B9CF-3CA5CD8BA126}"/>
            </a:ext>
          </a:extLst>
        </xdr:cNvPr>
        <xdr:cNvSpPr/>
      </xdr:nvSpPr>
      <xdr:spPr>
        <a:xfrm>
          <a:off x="8875059" y="179294"/>
          <a:ext cx="6073588" cy="2106706"/>
        </a:xfrm>
        <a:prstGeom prst="rect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13</xdr:col>
      <xdr:colOff>11206</xdr:colOff>
      <xdr:row>7</xdr:row>
      <xdr:rowOff>179294</xdr:rowOff>
    </xdr:from>
    <xdr:to>
      <xdr:col>20</xdr:col>
      <xdr:colOff>720586</xdr:colOff>
      <xdr:row>9</xdr:row>
      <xdr:rowOff>123265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2959F94-76C8-400E-8E99-5097C1E20011}"/>
            </a:ext>
          </a:extLst>
        </xdr:cNvPr>
        <xdr:cNvSpPr/>
      </xdr:nvSpPr>
      <xdr:spPr>
        <a:xfrm>
          <a:off x="11889441" y="1512794"/>
          <a:ext cx="6043380" cy="324971"/>
        </a:xfrm>
        <a:prstGeom prst="rect">
          <a:avLst/>
        </a:prstGeom>
        <a:ln w="19050">
          <a:solidFill>
            <a:sysClr val="windowText" lastClr="000000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12</xdr:col>
      <xdr:colOff>750794</xdr:colOff>
      <xdr:row>3</xdr:row>
      <xdr:rowOff>46772</xdr:rowOff>
    </xdr:from>
    <xdr:to>
      <xdr:col>20</xdr:col>
      <xdr:colOff>745433</xdr:colOff>
      <xdr:row>4</xdr:row>
      <xdr:rowOff>189526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BA5BC95-05E9-4637-BE67-8DDF26AE727E}"/>
            </a:ext>
          </a:extLst>
        </xdr:cNvPr>
        <xdr:cNvSpPr/>
      </xdr:nvSpPr>
      <xdr:spPr>
        <a:xfrm>
          <a:off x="11867029" y="618272"/>
          <a:ext cx="6090639" cy="333254"/>
        </a:xfrm>
        <a:prstGeom prst="rect">
          <a:avLst/>
        </a:prstGeom>
        <a:ln w="28575">
          <a:solidFill>
            <a:sysClr val="windowText" lastClr="000000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13</xdr:col>
      <xdr:colOff>100853</xdr:colOff>
      <xdr:row>10</xdr:row>
      <xdr:rowOff>8281</xdr:rowOff>
    </xdr:from>
    <xdr:to>
      <xdr:col>20</xdr:col>
      <xdr:colOff>672353</xdr:colOff>
      <xdr:row>11</xdr:row>
      <xdr:rowOff>157368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4882F30D-1635-4F6A-BC33-3D366CC3A71B}"/>
            </a:ext>
          </a:extLst>
        </xdr:cNvPr>
        <xdr:cNvSpPr txBox="1"/>
      </xdr:nvSpPr>
      <xdr:spPr>
        <a:xfrm>
          <a:off x="8975912" y="1924487"/>
          <a:ext cx="5905500" cy="3395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600" b="1"/>
            <a:t>Section #1 </a:t>
          </a:r>
        </a:p>
      </xdr:txBody>
    </xdr:sp>
    <xdr:clientData/>
  </xdr:twoCellAnchor>
  <xdr:twoCellAnchor>
    <xdr:from>
      <xdr:col>13</xdr:col>
      <xdr:colOff>44822</xdr:colOff>
      <xdr:row>5</xdr:row>
      <xdr:rowOff>107673</xdr:rowOff>
    </xdr:from>
    <xdr:to>
      <xdr:col>20</xdr:col>
      <xdr:colOff>683559</xdr:colOff>
      <xdr:row>7</xdr:row>
      <xdr:rowOff>66260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7E668F09-BB44-4E00-AB0E-D080D55EB09D}"/>
            </a:ext>
          </a:extLst>
        </xdr:cNvPr>
        <xdr:cNvSpPr txBox="1"/>
      </xdr:nvSpPr>
      <xdr:spPr>
        <a:xfrm>
          <a:off x="8919881" y="1060173"/>
          <a:ext cx="5972737" cy="3395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600" b="1"/>
            <a:t>Section #2 </a:t>
          </a:r>
        </a:p>
      </xdr:txBody>
    </xdr:sp>
    <xdr:clientData/>
  </xdr:twoCellAnchor>
  <xdr:twoCellAnchor>
    <xdr:from>
      <xdr:col>13</xdr:col>
      <xdr:colOff>56030</xdr:colOff>
      <xdr:row>1</xdr:row>
      <xdr:rowOff>67235</xdr:rowOff>
    </xdr:from>
    <xdr:to>
      <xdr:col>20</xdr:col>
      <xdr:colOff>694765</xdr:colOff>
      <xdr:row>2</xdr:row>
      <xdr:rowOff>182216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C517C6BD-C6DE-4AD1-AE90-D28AEB6AE265}"/>
            </a:ext>
          </a:extLst>
        </xdr:cNvPr>
        <xdr:cNvSpPr txBox="1"/>
      </xdr:nvSpPr>
      <xdr:spPr>
        <a:xfrm>
          <a:off x="8931089" y="257735"/>
          <a:ext cx="5972735" cy="3054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600" b="1"/>
            <a:t>Section #3</a:t>
          </a:r>
        </a:p>
      </xdr:txBody>
    </xdr:sp>
    <xdr:clientData/>
  </xdr:twoCellAnchor>
  <xdr:twoCellAnchor>
    <xdr:from>
      <xdr:col>12</xdr:col>
      <xdr:colOff>253837</xdr:colOff>
      <xdr:row>8</xdr:row>
      <xdr:rowOff>22411</xdr:rowOff>
    </xdr:from>
    <xdr:to>
      <xdr:col>15</xdr:col>
      <xdr:colOff>100853</xdr:colOff>
      <xdr:row>9</xdr:row>
      <xdr:rowOff>163215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931E081D-CCE9-4F34-9B80-AC44D639DD5D}"/>
            </a:ext>
          </a:extLst>
        </xdr:cNvPr>
        <xdr:cNvSpPr txBox="1"/>
      </xdr:nvSpPr>
      <xdr:spPr>
        <a:xfrm>
          <a:off x="11370072" y="1546411"/>
          <a:ext cx="2133016" cy="33130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 b="0"/>
            <a:t>Cargotrack</a:t>
          </a:r>
        </a:p>
      </xdr:txBody>
    </xdr:sp>
    <xdr:clientData/>
  </xdr:twoCellAnchor>
  <xdr:twoCellAnchor>
    <xdr:from>
      <xdr:col>11</xdr:col>
      <xdr:colOff>749818</xdr:colOff>
      <xdr:row>3</xdr:row>
      <xdr:rowOff>72104</xdr:rowOff>
    </xdr:from>
    <xdr:to>
      <xdr:col>15</xdr:col>
      <xdr:colOff>252861</xdr:colOff>
      <xdr:row>5</xdr:row>
      <xdr:rowOff>30691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6F054141-C1ED-45A6-B0E8-DADA0ABA15E8}"/>
            </a:ext>
          </a:extLst>
        </xdr:cNvPr>
        <xdr:cNvSpPr txBox="1"/>
      </xdr:nvSpPr>
      <xdr:spPr>
        <a:xfrm>
          <a:off x="11104053" y="643604"/>
          <a:ext cx="2551043" cy="339587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 b="0"/>
            <a:t>Cargotrack</a:t>
          </a:r>
        </a:p>
      </xdr:txBody>
    </xdr:sp>
    <xdr:clientData/>
  </xdr:twoCellAnchor>
  <xdr:twoCellAnchor>
    <xdr:from>
      <xdr:col>14</xdr:col>
      <xdr:colOff>0</xdr:colOff>
      <xdr:row>25</xdr:row>
      <xdr:rowOff>179294</xdr:rowOff>
    </xdr:from>
    <xdr:to>
      <xdr:col>21</xdr:col>
      <xdr:colOff>739588</xdr:colOff>
      <xdr:row>36</xdr:row>
      <xdr:rowOff>179294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DC332B7C-4317-4EB7-84D6-833FC31DE004}"/>
            </a:ext>
          </a:extLst>
        </xdr:cNvPr>
        <xdr:cNvSpPr/>
      </xdr:nvSpPr>
      <xdr:spPr>
        <a:xfrm>
          <a:off x="8875059" y="179294"/>
          <a:ext cx="6073588" cy="2095500"/>
        </a:xfrm>
        <a:prstGeom prst="rect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14</xdr:col>
      <xdr:colOff>11206</xdr:colOff>
      <xdr:row>32</xdr:row>
      <xdr:rowOff>179294</xdr:rowOff>
    </xdr:from>
    <xdr:to>
      <xdr:col>21</xdr:col>
      <xdr:colOff>720586</xdr:colOff>
      <xdr:row>34</xdr:row>
      <xdr:rowOff>123265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ACDEDD25-31D1-49E7-8A39-8FC10D5023AA}"/>
            </a:ext>
          </a:extLst>
        </xdr:cNvPr>
        <xdr:cNvSpPr/>
      </xdr:nvSpPr>
      <xdr:spPr>
        <a:xfrm>
          <a:off x="8886265" y="1512794"/>
          <a:ext cx="6043380" cy="324971"/>
        </a:xfrm>
        <a:prstGeom prst="rect">
          <a:avLst/>
        </a:prstGeom>
        <a:ln w="19050">
          <a:solidFill>
            <a:sysClr val="windowText" lastClr="000000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13</xdr:col>
      <xdr:colOff>761999</xdr:colOff>
      <xdr:row>28</xdr:row>
      <xdr:rowOff>46772</xdr:rowOff>
    </xdr:from>
    <xdr:to>
      <xdr:col>21</xdr:col>
      <xdr:colOff>728383</xdr:colOff>
      <xdr:row>29</xdr:row>
      <xdr:rowOff>189526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250C39F8-3B58-49EC-A288-73589D48FD2E}"/>
            </a:ext>
          </a:extLst>
        </xdr:cNvPr>
        <xdr:cNvSpPr/>
      </xdr:nvSpPr>
      <xdr:spPr>
        <a:xfrm>
          <a:off x="9637058" y="5571272"/>
          <a:ext cx="6062384" cy="333254"/>
        </a:xfrm>
        <a:prstGeom prst="rect">
          <a:avLst/>
        </a:prstGeom>
        <a:ln w="28575">
          <a:solidFill>
            <a:sysClr val="windowText" lastClr="000000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14</xdr:col>
      <xdr:colOff>104750</xdr:colOff>
      <xdr:row>35</xdr:row>
      <xdr:rowOff>14616</xdr:rowOff>
    </xdr:from>
    <xdr:to>
      <xdr:col>15</xdr:col>
      <xdr:colOff>713766</xdr:colOff>
      <xdr:row>38</xdr:row>
      <xdr:rowOff>103776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E383A96B-6E2C-4014-9E76-BCF19910E265}"/>
            </a:ext>
          </a:extLst>
        </xdr:cNvPr>
        <xdr:cNvSpPr txBox="1"/>
      </xdr:nvSpPr>
      <xdr:spPr>
        <a:xfrm>
          <a:off x="9741809" y="6872616"/>
          <a:ext cx="1371016" cy="6606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 b="0"/>
            <a:t>Panneau #1</a:t>
          </a:r>
        </a:p>
      </xdr:txBody>
    </xdr:sp>
    <xdr:clientData/>
  </xdr:twoCellAnchor>
  <xdr:twoCellAnchor>
    <xdr:from>
      <xdr:col>16</xdr:col>
      <xdr:colOff>56029</xdr:colOff>
      <xdr:row>25</xdr:row>
      <xdr:rowOff>168088</xdr:rowOff>
    </xdr:from>
    <xdr:to>
      <xdr:col>16</xdr:col>
      <xdr:colOff>67235</xdr:colOff>
      <xdr:row>37</xdr:row>
      <xdr:rowOff>22412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7BF231C5-5C6D-4619-942B-B9DFF3384D16}"/>
            </a:ext>
          </a:extLst>
        </xdr:cNvPr>
        <xdr:cNvCxnSpPr/>
      </xdr:nvCxnSpPr>
      <xdr:spPr>
        <a:xfrm>
          <a:off x="11217088" y="5121088"/>
          <a:ext cx="11206" cy="2140324"/>
        </a:xfrm>
        <a:prstGeom prst="line">
          <a:avLst/>
        </a:prstGeom>
        <a:ln w="19050"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526676</xdr:colOff>
      <xdr:row>25</xdr:row>
      <xdr:rowOff>156882</xdr:rowOff>
    </xdr:from>
    <xdr:to>
      <xdr:col>18</xdr:col>
      <xdr:colOff>537882</xdr:colOff>
      <xdr:row>37</xdr:row>
      <xdr:rowOff>11206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9719CF85-2403-4AAB-9BBF-F9C68AE4B1C1}"/>
            </a:ext>
          </a:extLst>
        </xdr:cNvPr>
        <xdr:cNvCxnSpPr/>
      </xdr:nvCxnSpPr>
      <xdr:spPr>
        <a:xfrm>
          <a:off x="13211735" y="5109882"/>
          <a:ext cx="11206" cy="2140324"/>
        </a:xfrm>
        <a:prstGeom prst="line">
          <a:avLst/>
        </a:prstGeom>
        <a:ln w="19050"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549088</xdr:colOff>
      <xdr:row>25</xdr:row>
      <xdr:rowOff>179294</xdr:rowOff>
    </xdr:from>
    <xdr:to>
      <xdr:col>20</xdr:col>
      <xdr:colOff>560294</xdr:colOff>
      <xdr:row>37</xdr:row>
      <xdr:rowOff>33618</xdr:rowOff>
    </xdr:to>
    <xdr:cxnSp macro="">
      <xdr:nvCxnSpPr>
        <xdr:cNvPr id="23" name="Connecteur droit 22">
          <a:extLst>
            <a:ext uri="{FF2B5EF4-FFF2-40B4-BE49-F238E27FC236}">
              <a16:creationId xmlns:a16="http://schemas.microsoft.com/office/drawing/2014/main" id="{D967195F-9EE4-44E1-B64B-84DCF606F347}"/>
            </a:ext>
          </a:extLst>
        </xdr:cNvPr>
        <xdr:cNvCxnSpPr/>
      </xdr:nvCxnSpPr>
      <xdr:spPr>
        <a:xfrm>
          <a:off x="14758147" y="5132294"/>
          <a:ext cx="11206" cy="2140324"/>
        </a:xfrm>
        <a:prstGeom prst="line">
          <a:avLst/>
        </a:prstGeom>
        <a:ln w="19050"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171985</xdr:colOff>
      <xdr:row>26</xdr:row>
      <xdr:rowOff>59440</xdr:rowOff>
    </xdr:from>
    <xdr:to>
      <xdr:col>16</xdr:col>
      <xdr:colOff>19001</xdr:colOff>
      <xdr:row>29</xdr:row>
      <xdr:rowOff>148600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1C112913-2774-48BA-B1FD-A168C5905619}"/>
            </a:ext>
          </a:extLst>
        </xdr:cNvPr>
        <xdr:cNvSpPr txBox="1"/>
      </xdr:nvSpPr>
      <xdr:spPr>
        <a:xfrm>
          <a:off x="9809044" y="5202940"/>
          <a:ext cx="1371016" cy="6606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 b="0"/>
            <a:t>Panneau #3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628650</xdr:colOff>
      <xdr:row>1</xdr:row>
      <xdr:rowOff>47626</xdr:rowOff>
    </xdr:from>
    <xdr:to>
      <xdr:col>14</xdr:col>
      <xdr:colOff>442491</xdr:colOff>
      <xdr:row>31</xdr:row>
      <xdr:rowOff>149680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EA487EE-6340-4BFE-99FE-B9A0A0D73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11686" y="238126"/>
          <a:ext cx="5909841" cy="581705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114300</xdr:rowOff>
    </xdr:from>
    <xdr:to>
      <xdr:col>10</xdr:col>
      <xdr:colOff>723900</xdr:colOff>
      <xdr:row>37</xdr:row>
      <xdr:rowOff>38100</xdr:rowOff>
    </xdr:to>
    <xdr:pic>
      <xdr:nvPicPr>
        <xdr:cNvPr id="2" name="Image 1" descr="RÃ©sultats de recherche d'images pour Â«Â fraction to decimal chartÂ Â»">
          <a:extLst>
            <a:ext uri="{FF2B5EF4-FFF2-40B4-BE49-F238E27FC236}">
              <a16:creationId xmlns:a16="http://schemas.microsoft.com/office/drawing/2014/main" id="{3982D2F3-5F95-4B62-9963-24DF5FA57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6300"/>
          <a:ext cx="8343900" cy="621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304800</xdr:colOff>
      <xdr:row>4</xdr:row>
      <xdr:rowOff>134815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9A6EAD6-0B87-451B-91E6-B955BAE2B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90800" cy="89681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N4:T8" totalsRowShown="0" headerRowDxfId="126" headerRowBorderDxfId="125" tableBorderDxfId="124">
  <autoFilter ref="N4:T8" xr:uid="{00000000-0009-0000-0100-000002000000}"/>
  <tableColumns count="7">
    <tableColumn id="1" xr3:uid="{00000000-0010-0000-0000-000001000000}" name="\Hauteur de plywood" dataDxfId="123"/>
    <tableColumn id="2" xr3:uid="{00000000-0010-0000-0000-000002000000}" name="12&quot;">
      <calculatedColumnFormula>D$2+$A5/2</calculatedColumnFormula>
    </tableColumn>
    <tableColumn id="3" xr3:uid="{00000000-0010-0000-0000-000003000000}" name="16&quot;">
      <calculatedColumnFormula>E$2+$A5/2</calculatedColumnFormula>
    </tableColumn>
    <tableColumn id="5" xr3:uid="{00000000-0010-0000-0000-000005000000}" name="24&quot;">
      <calculatedColumnFormula>G$2+$A5/2</calculatedColumnFormula>
    </tableColumn>
    <tableColumn id="6" xr3:uid="{00000000-0010-0000-0000-000006000000}" name="32&quot;">
      <calculatedColumnFormula>H$2+$A5/2</calculatedColumnFormula>
    </tableColumn>
    <tableColumn id="7" xr3:uid="{00000000-0010-0000-0000-000007000000}" name="36&quot;" dataDxfId="122">
      <calculatedColumnFormula>I$2+$A5/2</calculatedColumnFormula>
    </tableColumn>
    <tableColumn id="8" xr3:uid="{00000000-0010-0000-0000-000008000000}" name="48&quot;">
      <calculatedColumnFormula>J$2+$A5/2</calculatedColumnFormula>
    </tableColumn>
  </tableColumns>
  <tableStyleInfo name="TableStyleMedium2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N11:T15" totalsRowShown="0" headerRowDxfId="121" headerRowBorderDxfId="120" tableBorderDxfId="119">
  <autoFilter ref="N11:T15" xr:uid="{00000000-0009-0000-0100-000004000000}"/>
  <tableColumns count="7">
    <tableColumn id="1" xr3:uid="{00000000-0010-0000-0100-000001000000}" name="\Hauteur de plywood" dataDxfId="118"/>
    <tableColumn id="2" xr3:uid="{00000000-0010-0000-0100-000002000000}" name="12&quot;">
      <calculatedColumnFormula>D$2+$A17</calculatedColumnFormula>
    </tableColumn>
    <tableColumn id="3" xr3:uid="{00000000-0010-0000-0100-000003000000}" name="16&quot;">
      <calculatedColumnFormula>E$2+$A17</calculatedColumnFormula>
    </tableColumn>
    <tableColumn id="5" xr3:uid="{00000000-0010-0000-0100-000005000000}" name="24&quot;">
      <calculatedColumnFormula>G$2+$A17</calculatedColumnFormula>
    </tableColumn>
    <tableColumn id="6" xr3:uid="{00000000-0010-0000-0100-000006000000}" name="32&quot;">
      <calculatedColumnFormula>H$2+$A17</calculatedColumnFormula>
    </tableColumn>
    <tableColumn id="7" xr3:uid="{00000000-0010-0000-0100-000007000000}" name="36&quot;" dataDxfId="117">
      <calculatedColumnFormula>I$2+$A17</calculatedColumnFormula>
    </tableColumn>
    <tableColumn id="8" xr3:uid="{00000000-0010-0000-0100-000008000000}" name="48&quot;" dataDxfId="116">
      <calculatedColumnFormula>J$2+$A17</calculatedColumnFormula>
    </tableColumn>
  </tableColumns>
  <tableStyleInfo name="TableStyleMedium2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N18:T22" totalsRowShown="0" headerRowDxfId="115" headerRowBorderDxfId="114" tableBorderDxfId="113">
  <autoFilter ref="N18:T22" xr:uid="{00000000-0009-0000-0100-000005000000}"/>
  <tableColumns count="7">
    <tableColumn id="1" xr3:uid="{00000000-0010-0000-0200-000001000000}" name=" \ Hauteur de plywood" dataDxfId="112"/>
    <tableColumn id="2" xr3:uid="{00000000-0010-0000-0200-000002000000}" name="12&quot;">
      <calculatedColumnFormula>D$2+$A23/2-0.25</calculatedColumnFormula>
    </tableColumn>
    <tableColumn id="3" xr3:uid="{00000000-0010-0000-0200-000003000000}" name="16&quot;">
      <calculatedColumnFormula>E$2+$A23/2-0.25</calculatedColumnFormula>
    </tableColumn>
    <tableColumn id="5" xr3:uid="{00000000-0010-0000-0200-000005000000}" name="24&quot;">
      <calculatedColumnFormula>G$2+$A23/2-0.25</calculatedColumnFormula>
    </tableColumn>
    <tableColumn id="6" xr3:uid="{00000000-0010-0000-0200-000006000000}" name="32&quot;">
      <calculatedColumnFormula>H$2+$A23/2-0.25</calculatedColumnFormula>
    </tableColumn>
    <tableColumn id="7" xr3:uid="{00000000-0010-0000-0200-000007000000}" name="36&quot;" dataDxfId="111">
      <calculatedColumnFormula>I$2+$A23/2-0.25</calculatedColumnFormula>
    </tableColumn>
    <tableColumn id="8" xr3:uid="{00000000-0010-0000-0200-000008000000}" name="48&quot;">
      <calculatedColumnFormula>J$2+$A23/2-0.25</calculatedColumnFormula>
    </tableColumn>
  </tableColumns>
  <tableStyleInfo name="TableStyleMedium2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N28:T32" totalsRowShown="0" headerRowDxfId="110" headerRowBorderDxfId="109" tableBorderDxfId="108">
  <autoFilter ref="N28:T32" xr:uid="{00000000-0009-0000-0100-000006000000}"/>
  <tableColumns count="7">
    <tableColumn id="1" xr3:uid="{00000000-0010-0000-0300-000001000000}" name=" \ Hauteur de plywood" dataDxfId="107"/>
    <tableColumn id="2" xr3:uid="{00000000-0010-0000-0300-000002000000}" name="12&quot;" dataDxfId="106">
      <calculatedColumnFormula>D$2+$A31/2</calculatedColumnFormula>
    </tableColumn>
    <tableColumn id="3" xr3:uid="{00000000-0010-0000-0300-000003000000}" name="16&quot;" dataDxfId="105">
      <calculatedColumnFormula>E$2+$A31/2</calculatedColumnFormula>
    </tableColumn>
    <tableColumn id="5" xr3:uid="{00000000-0010-0000-0300-000005000000}" name="24&quot;" dataDxfId="104">
      <calculatedColumnFormula>G$2+$A31/2</calculatedColumnFormula>
    </tableColumn>
    <tableColumn id="6" xr3:uid="{00000000-0010-0000-0300-000006000000}" name="32&quot;" dataDxfId="103">
      <calculatedColumnFormula>H$2+$A31/2</calculatedColumnFormula>
    </tableColumn>
    <tableColumn id="7" xr3:uid="{00000000-0010-0000-0300-000007000000}" name="36&quot;" dataDxfId="102">
      <calculatedColumnFormula>I$2+$A31/2</calculatedColumnFormula>
    </tableColumn>
    <tableColumn id="8" xr3:uid="{00000000-0010-0000-0300-000008000000}" name="48&quot;" dataDxfId="101">
      <calculatedColumnFormula>J$2+$A31/2</calculatedColumnFormula>
    </tableColumn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Tableau8" displayName="Tableau8" ref="N42:T46" totalsRowShown="0" headerRowDxfId="100" headerRowBorderDxfId="99" tableBorderDxfId="98">
  <autoFilter ref="N42:T46" xr:uid="{00000000-0009-0000-0100-000008000000}"/>
  <tableColumns count="7">
    <tableColumn id="1" xr3:uid="{00000000-0010-0000-0400-000001000000}" name=" \ Hauteur de plywood" dataDxfId="97"/>
    <tableColumn id="2" xr3:uid="{00000000-0010-0000-0400-000002000000}" name="12&quot;" dataDxfId="96">
      <calculatedColumnFormula>D$2+$A43</calculatedColumnFormula>
    </tableColumn>
    <tableColumn id="3" xr3:uid="{00000000-0010-0000-0400-000003000000}" name="16&quot;" dataDxfId="95">
      <calculatedColumnFormula>E$2+$A43</calculatedColumnFormula>
    </tableColumn>
    <tableColumn id="5" xr3:uid="{00000000-0010-0000-0400-000005000000}" name="24&quot;" dataDxfId="94">
      <calculatedColumnFormula>G$2+$A43</calculatedColumnFormula>
    </tableColumn>
    <tableColumn id="6" xr3:uid="{00000000-0010-0000-0400-000006000000}" name="32&quot;" dataDxfId="93">
      <calculatedColumnFormula>H$2+$A43</calculatedColumnFormula>
    </tableColumn>
    <tableColumn id="7" xr3:uid="{00000000-0010-0000-0400-000007000000}" name="36&quot;" dataDxfId="92">
      <calculatedColumnFormula>I$2+$A43</calculatedColumnFormula>
    </tableColumn>
    <tableColumn id="8" xr3:uid="{00000000-0010-0000-0400-000008000000}" name="48&quot;" dataDxfId="91">
      <calculatedColumnFormula>J$2+$A43</calculatedColumnFormula>
    </tableColumn>
  </tableColumns>
  <tableStyleInfo name="TableStyleMedium2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5000000}" name="Tableau9" displayName="Tableau9" ref="N49:T53" totalsRowShown="0" headerRowDxfId="90" headerRowBorderDxfId="89" tableBorderDxfId="88">
  <autoFilter ref="N49:T53" xr:uid="{00000000-0009-0000-0100-000009000000}"/>
  <tableColumns count="7">
    <tableColumn id="1" xr3:uid="{00000000-0010-0000-0500-000001000000}" name=" \ Hauteur de plywood" dataDxfId="87"/>
    <tableColumn id="2" xr3:uid="{00000000-0010-0000-0500-000002000000}" name="12&quot;" dataDxfId="86">
      <calculatedColumnFormula>D$2+$A49/2-0.25</calculatedColumnFormula>
    </tableColumn>
    <tableColumn id="3" xr3:uid="{00000000-0010-0000-0500-000003000000}" name="16&quot;" dataDxfId="85">
      <calculatedColumnFormula>E$2+$A49/2-0.25</calculatedColumnFormula>
    </tableColumn>
    <tableColumn id="5" xr3:uid="{00000000-0010-0000-0500-000005000000}" name="24&quot;" dataDxfId="84">
      <calculatedColumnFormula>G$2+$A49/2-0.25</calculatedColumnFormula>
    </tableColumn>
    <tableColumn id="6" xr3:uid="{00000000-0010-0000-0500-000006000000}" name="32&quot;" dataDxfId="83">
      <calculatedColumnFormula>H$2+$A49/2-0.25</calculatedColumnFormula>
    </tableColumn>
    <tableColumn id="7" xr3:uid="{00000000-0010-0000-0500-000007000000}" name="36&quot;" dataDxfId="82">
      <calculatedColumnFormula>I$2+$A49/2-0.25</calculatedColumnFormula>
    </tableColumn>
    <tableColumn id="8" xr3:uid="{00000000-0010-0000-0500-000008000000}" name="48&quot;" dataDxfId="81">
      <calculatedColumnFormula>J$2+$A49/2-0.25</calculatedColumnFormula>
    </tableColumn>
  </tableColumns>
  <tableStyleInfo name="TableStyleMedium2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6000000}" name="Tableau10" displayName="Tableau10" ref="C4:K7" totalsRowShown="0" headerRowDxfId="80" headerRowBorderDxfId="79" tableBorderDxfId="78">
  <autoFilter ref="C4:K7" xr:uid="{00000000-0009-0000-0100-00000A000000}"/>
  <tableColumns count="9">
    <tableColumn id="1" xr3:uid="{00000000-0010-0000-0600-000001000000}" name="Type de track \ espacement" dataDxfId="77"/>
    <tableColumn id="2" xr3:uid="{00000000-0010-0000-0600-000002000000}" name="12&quot;" dataDxfId="76">
      <calculatedColumnFormula>$D$2-$A$6/2</calculatedColumnFormula>
    </tableColumn>
    <tableColumn id="3" xr3:uid="{00000000-0010-0000-0600-000003000000}" name="16&quot;" dataDxfId="75">
      <calculatedColumnFormula>$E$2-$A$5/2</calculatedColumnFormula>
    </tableColumn>
    <tableColumn id="4" xr3:uid="{00000000-0010-0000-0600-000004000000}" name="20&quot;" dataDxfId="74">
      <calculatedColumnFormula>$F$2-$A$5/2</calculatedColumnFormula>
    </tableColumn>
    <tableColumn id="5" xr3:uid="{00000000-0010-0000-0600-000005000000}" name="24&quot;" dataDxfId="73">
      <calculatedColumnFormula>$G$2-$A$5/2</calculatedColumnFormula>
    </tableColumn>
    <tableColumn id="6" xr3:uid="{00000000-0010-0000-0600-000006000000}" name="32&quot;" dataDxfId="72">
      <calculatedColumnFormula>$H$2-$A$5/2</calculatedColumnFormula>
    </tableColumn>
    <tableColumn id="7" xr3:uid="{00000000-0010-0000-0600-000007000000}" name="36&quot;" dataDxfId="71">
      <calculatedColumnFormula>$I$2-$A$5/2</calculatedColumnFormula>
    </tableColumn>
    <tableColumn id="8" xr3:uid="{00000000-0010-0000-0600-000008000000}" name="48&quot;" dataDxfId="70">
      <calculatedColumnFormula>$J$2-$A$5/2</calculatedColumnFormula>
    </tableColumn>
    <tableColumn id="9" xr3:uid="{00000000-0010-0000-0600-000009000000}" name="60&quot;" dataDxfId="69">
      <calculatedColumnFormula>$K$2-$A$5/2</calculatedColumnFormula>
    </tableColumn>
  </tableColumns>
  <tableStyleInfo name="TableStyleMedium2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Tableau11" displayName="Tableau11" ref="C10:K13" totalsRowShown="0" headerRowDxfId="68" headerRowBorderDxfId="67" tableBorderDxfId="66">
  <autoFilter ref="C10:K13" xr:uid="{00000000-0009-0000-0100-00000B000000}"/>
  <tableColumns count="9">
    <tableColumn id="1" xr3:uid="{00000000-0010-0000-0700-000001000000}" name="Type de track \ espacement" dataDxfId="65"/>
    <tableColumn id="2" xr3:uid="{00000000-0010-0000-0700-000002000000}" name="12&quot;" dataDxfId="64">
      <calculatedColumnFormula>$D$1-$A$5/2</calculatedColumnFormula>
    </tableColumn>
    <tableColumn id="3" xr3:uid="{00000000-0010-0000-0700-000003000000}" name="16&quot;" dataDxfId="63">
      <calculatedColumnFormula>$E$1-$A$5/2</calculatedColumnFormula>
    </tableColumn>
    <tableColumn id="4" xr3:uid="{00000000-0010-0000-0700-000004000000}" name="20&quot;" dataDxfId="62">
      <calculatedColumnFormula>$F$1-$A$5/2</calculatedColumnFormula>
    </tableColumn>
    <tableColumn id="5" xr3:uid="{00000000-0010-0000-0700-000005000000}" name="24&quot;" dataDxfId="61">
      <calculatedColumnFormula>$G$1-$A$5/2</calculatedColumnFormula>
    </tableColumn>
    <tableColumn id="6" xr3:uid="{00000000-0010-0000-0700-000006000000}" name="32&quot;" dataDxfId="60">
      <calculatedColumnFormula>$H$1-$A$5/2</calculatedColumnFormula>
    </tableColumn>
    <tableColumn id="7" xr3:uid="{00000000-0010-0000-0700-000007000000}" name="36&quot;" dataDxfId="59">
      <calculatedColumnFormula>$I$1-$A$5/2</calculatedColumnFormula>
    </tableColumn>
    <tableColumn id="8" xr3:uid="{00000000-0010-0000-0700-000008000000}" name="48&quot;" dataDxfId="58">
      <calculatedColumnFormula>$J$1-$A$5/2</calculatedColumnFormula>
    </tableColumn>
    <tableColumn id="9" xr3:uid="{00000000-0010-0000-0700-000009000000}" name="60&quot;" dataDxfId="57">
      <calculatedColumnFormula>$K$1-$A$5/2</calculatedColumnFormula>
    </tableColumn>
  </tableColumns>
  <tableStyleInfo name="TableStyleMedium2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8000000}" name="Tableau12" displayName="Tableau12" ref="C16:K19" totalsRowShown="0" headerRowDxfId="56" headerRowBorderDxfId="55" tableBorderDxfId="54">
  <autoFilter ref="C16:K19" xr:uid="{00000000-0009-0000-0100-00000C000000}"/>
  <tableColumns count="9">
    <tableColumn id="1" xr3:uid="{00000000-0010-0000-0800-000001000000}" name="Type de track \ espacement" dataDxfId="53"/>
    <tableColumn id="2" xr3:uid="{00000000-0010-0000-0800-000002000000}" name="12&quot;" dataDxfId="52">
      <calculatedColumnFormula>$D$2-$A$17</calculatedColumnFormula>
    </tableColumn>
    <tableColumn id="3" xr3:uid="{00000000-0010-0000-0800-000003000000}" name="16&quot;" dataDxfId="51">
      <calculatedColumnFormula>$E$2-$A$17</calculatedColumnFormula>
    </tableColumn>
    <tableColumn id="4" xr3:uid="{00000000-0010-0000-0800-000004000000}" name="20&quot;" dataDxfId="50">
      <calculatedColumnFormula>$F$2-$A$17</calculatedColumnFormula>
    </tableColumn>
    <tableColumn id="5" xr3:uid="{00000000-0010-0000-0800-000005000000}" name="24&quot;" dataDxfId="49">
      <calculatedColumnFormula>$G$2-$A$17</calculatedColumnFormula>
    </tableColumn>
    <tableColumn id="6" xr3:uid="{00000000-0010-0000-0800-000006000000}" name="32&quot;" dataDxfId="48">
      <calculatedColumnFormula>$H$2-$A$17</calculatedColumnFormula>
    </tableColumn>
    <tableColumn id="7" xr3:uid="{00000000-0010-0000-0800-000007000000}" name="36&quot;" dataDxfId="47">
      <calculatedColumnFormula>$I$2-$A$17</calculatedColumnFormula>
    </tableColumn>
    <tableColumn id="8" xr3:uid="{00000000-0010-0000-0800-000008000000}" name="48&quot;" dataDxfId="46">
      <calculatedColumnFormula>$J$2-$A$17</calculatedColumnFormula>
    </tableColumn>
    <tableColumn id="9" xr3:uid="{00000000-0010-0000-0800-000009000000}" name="60&quot;" dataDxfId="45">
      <calculatedColumnFormula>$K$2-$A$17</calculatedColumnFormula>
    </tableColumn>
  </tableColumns>
  <tableStyleInfo name="TableStyleMedium2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9000000}" name="Tableau13" displayName="Tableau13" ref="C22:K25" totalsRowShown="0" headerRowDxfId="44" headerRowBorderDxfId="43" tableBorderDxfId="42">
  <autoFilter ref="C22:K25" xr:uid="{00000000-0009-0000-0100-00000D000000}"/>
  <tableColumns count="9">
    <tableColumn id="1" xr3:uid="{00000000-0010-0000-0900-000001000000}" name="Type de track \ espacement" dataDxfId="41"/>
    <tableColumn id="2" xr3:uid="{00000000-0010-0000-0900-000002000000}" name="12&quot;" dataDxfId="40">
      <calculatedColumnFormula>$D$2-$A$23/2-0.75</calculatedColumnFormula>
    </tableColumn>
    <tableColumn id="3" xr3:uid="{00000000-0010-0000-0900-000003000000}" name="16&quot;">
      <calculatedColumnFormula>E$2-$A23/2+0.25</calculatedColumnFormula>
    </tableColumn>
    <tableColumn id="4" xr3:uid="{00000000-0010-0000-0900-000004000000}" name="20&quot;">
      <calculatedColumnFormula>F$2-$A23/2+0.25</calculatedColumnFormula>
    </tableColumn>
    <tableColumn id="5" xr3:uid="{00000000-0010-0000-0900-000005000000}" name="24&quot;">
      <calculatedColumnFormula>G$2-$A23/2+0.25</calculatedColumnFormula>
    </tableColumn>
    <tableColumn id="6" xr3:uid="{00000000-0010-0000-0900-000006000000}" name="32&quot;">
      <calculatedColumnFormula>H$2-$A23/2+0.25</calculatedColumnFormula>
    </tableColumn>
    <tableColumn id="7" xr3:uid="{00000000-0010-0000-0900-000007000000}" name="36&quot;">
      <calculatedColumnFormula>I$2-$A23/2+0.25</calculatedColumnFormula>
    </tableColumn>
    <tableColumn id="8" xr3:uid="{00000000-0010-0000-0900-000008000000}" name="48&quot;">
      <calculatedColumnFormula>J$2-$A23/2+0.25</calculatedColumnFormula>
    </tableColumn>
    <tableColumn id="9" xr3:uid="{00000000-0010-0000-0900-000009000000}" name="60&quot;">
      <calculatedColumnFormula>K$2-$A23/2+0.25</calculatedColumnFormula>
    </tableColumn>
  </tableColumns>
  <tableStyleInfo name="TableStyleMedium2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A000000}" name="Tableau62" displayName="Tableau62" ref="N35:T39" totalsRowShown="0" headerRowDxfId="39" headerRowBorderDxfId="38" tableBorderDxfId="37">
  <autoFilter ref="N35:T39" xr:uid="{00000000-0009-0000-0100-000001000000}"/>
  <tableColumns count="7">
    <tableColumn id="1" xr3:uid="{00000000-0010-0000-0A00-000001000000}" name=" \ Hauteur de plywood" dataDxfId="36"/>
    <tableColumn id="2" xr3:uid="{00000000-0010-0000-0A00-000002000000}" name="12&quot;" dataDxfId="35">
      <calculatedColumnFormula>D$2+$A38/2</calculatedColumnFormula>
    </tableColumn>
    <tableColumn id="3" xr3:uid="{00000000-0010-0000-0A00-000003000000}" name="16&quot;" dataDxfId="34">
      <calculatedColumnFormula>E$2+$A38/2</calculatedColumnFormula>
    </tableColumn>
    <tableColumn id="5" xr3:uid="{00000000-0010-0000-0A00-000005000000}" name="24&quot;" dataDxfId="33">
      <calculatedColumnFormula>G$2+$A38/2</calculatedColumnFormula>
    </tableColumn>
    <tableColumn id="6" xr3:uid="{00000000-0010-0000-0A00-000006000000}" name="32&quot;" dataDxfId="32">
      <calculatedColumnFormula>H$2+$A38/2</calculatedColumnFormula>
    </tableColumn>
    <tableColumn id="7" xr3:uid="{00000000-0010-0000-0A00-000007000000}" name="36&quot;" dataDxfId="31">
      <calculatedColumnFormula>I$2+$A38/2</calculatedColumnFormula>
    </tableColumn>
    <tableColumn id="8" xr3:uid="{00000000-0010-0000-0A00-000008000000}" name="48&quot;" dataDxfId="30">
      <calculatedColumnFormula>J$2+$A38/2</calculatedColumnFormula>
    </tableColumn>
  </tableColumns>
  <tableStyleInfo name="TableStyleMedium2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B000000}" name="Tableau7" displayName="Tableau7" ref="W4:AE8" totalsRowShown="0" headerRowDxfId="29">
  <autoFilter ref="W4:AE8" xr:uid="{00000000-0009-0000-0100-000007000000}"/>
  <tableColumns count="9">
    <tableColumn id="1" xr3:uid="{00000000-0010-0000-0B00-000001000000}" name="position de plywood \ espacement"/>
    <tableColumn id="2" xr3:uid="{00000000-0010-0000-0B00-000002000000}" name="12&quot;"/>
    <tableColumn id="3" xr3:uid="{00000000-0010-0000-0B00-000003000000}" name="16&quot;"/>
    <tableColumn id="4" xr3:uid="{00000000-0010-0000-0B00-000004000000}" name="20&quot;"/>
    <tableColumn id="5" xr3:uid="{00000000-0010-0000-0B00-000005000000}" name="24&quot;"/>
    <tableColumn id="6" xr3:uid="{00000000-0010-0000-0B00-000006000000}" name="32&quot;"/>
    <tableColumn id="7" xr3:uid="{00000000-0010-0000-0B00-000007000000}" name="36&quot;"/>
    <tableColumn id="8" xr3:uid="{00000000-0010-0000-0B00-000008000000}" name="48&quot;"/>
    <tableColumn id="9" xr3:uid="{00000000-0010-0000-0B00-000009000000}" name="60&quot;"/>
  </tableColumns>
  <tableStyleInfo name="TableStyleLight2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C000000}" name="Tableau74" displayName="Tableau74" ref="W11:AE15" totalsRowShown="0" headerRowDxfId="28">
  <autoFilter ref="W11:AE15" xr:uid="{00000000-0009-0000-0100-000003000000}"/>
  <tableColumns count="9">
    <tableColumn id="1" xr3:uid="{00000000-0010-0000-0C00-000001000000}" name="position de plywood \ espacement"/>
    <tableColumn id="2" xr3:uid="{00000000-0010-0000-0C00-000002000000}" name="12&quot;"/>
    <tableColumn id="3" xr3:uid="{00000000-0010-0000-0C00-000003000000}" name="16&quot;"/>
    <tableColumn id="4" xr3:uid="{00000000-0010-0000-0C00-000004000000}" name="20&quot;"/>
    <tableColumn id="5" xr3:uid="{00000000-0010-0000-0C00-000005000000}" name="24&quot;"/>
    <tableColumn id="6" xr3:uid="{00000000-0010-0000-0C00-000006000000}" name="32&quot;"/>
    <tableColumn id="7" xr3:uid="{00000000-0010-0000-0C00-000007000000}" name="36&quot;"/>
    <tableColumn id="8" xr3:uid="{00000000-0010-0000-0C00-000008000000}" name="48&quot;"/>
    <tableColumn id="9" xr3:uid="{00000000-0010-0000-0C00-000009000000}" name="60&quot;"/>
  </tableColumns>
  <tableStyleInfo name="TableStyleLight2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au7415" displayName="Tableau7415" ref="W25:AE29" totalsRowShown="0" headerRowDxfId="27">
  <autoFilter ref="W25:AE29" xr:uid="{00000000-0009-0000-0100-00000E000000}"/>
  <tableColumns count="9">
    <tableColumn id="1" xr3:uid="{00000000-0010-0000-0D00-000001000000}" name="position de plywood \ espacement"/>
    <tableColumn id="2" xr3:uid="{00000000-0010-0000-0D00-000002000000}" name="12&quot;"/>
    <tableColumn id="3" xr3:uid="{00000000-0010-0000-0D00-000003000000}" name="16&quot;"/>
    <tableColumn id="4" xr3:uid="{00000000-0010-0000-0D00-000004000000}" name="20&quot;"/>
    <tableColumn id="5" xr3:uid="{00000000-0010-0000-0D00-000005000000}" name="24&quot;"/>
    <tableColumn id="6" xr3:uid="{00000000-0010-0000-0D00-000006000000}" name="32&quot;"/>
    <tableColumn id="7" xr3:uid="{00000000-0010-0000-0D00-000007000000}" name="36&quot;"/>
    <tableColumn id="8" xr3:uid="{00000000-0010-0000-0D00-000008000000}" name="48&quot;"/>
    <tableColumn id="9" xr3:uid="{00000000-0010-0000-0D00-000009000000}" name="60&quot;"/>
  </tableColumns>
  <tableStyleInfo name="TableStyleLight2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ableau7416" displayName="Tableau7416" ref="W18:AE22" totalsRowShown="0" headerRowDxfId="26">
  <autoFilter ref="W18:AE22" xr:uid="{00000000-0009-0000-0100-00000F000000}"/>
  <tableColumns count="9">
    <tableColumn id="1" xr3:uid="{00000000-0010-0000-0E00-000001000000}" name="position de plywood \ espacement"/>
    <tableColumn id="2" xr3:uid="{00000000-0010-0000-0E00-000002000000}" name="12&quot;"/>
    <tableColumn id="3" xr3:uid="{00000000-0010-0000-0E00-000003000000}" name="16&quot;"/>
    <tableColumn id="4" xr3:uid="{00000000-0010-0000-0E00-000004000000}" name="20&quot;"/>
    <tableColumn id="5" xr3:uid="{00000000-0010-0000-0E00-000005000000}" name="24&quot;"/>
    <tableColumn id="6" xr3:uid="{00000000-0010-0000-0E00-000006000000}" name="32&quot;"/>
    <tableColumn id="7" xr3:uid="{00000000-0010-0000-0E00-000007000000}" name="36&quot;"/>
    <tableColumn id="8" xr3:uid="{00000000-0010-0000-0E00-000008000000}" name="48&quot;"/>
    <tableColumn id="9" xr3:uid="{00000000-0010-0000-0E00-000009000000}" name="60&quot;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6C3F7-E67E-426F-A426-B091729E34A4}">
  <sheetPr codeName="Feuil7"/>
  <dimension ref="A1:A8"/>
  <sheetViews>
    <sheetView workbookViewId="0">
      <selection activeCell="D27" sqref="D27"/>
    </sheetView>
  </sheetViews>
  <sheetFormatPr baseColWidth="10" defaultRowHeight="15" x14ac:dyDescent="0.25"/>
  <cols>
    <col min="1" max="1" width="21" bestFit="1" customWidth="1"/>
  </cols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  <row r="8" spans="1:1" x14ac:dyDescent="0.25">
      <c r="A8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3A7C2-E190-4B13-9A23-01C1B1E7443C}">
  <sheetPr codeName="Feuil5">
    <tabColor theme="9"/>
  </sheetPr>
  <dimension ref="A1:F26"/>
  <sheetViews>
    <sheetView zoomScale="70" zoomScaleNormal="70" workbookViewId="0">
      <selection activeCell="E18" sqref="E18"/>
    </sheetView>
  </sheetViews>
  <sheetFormatPr baseColWidth="10" defaultColWidth="28.85546875" defaultRowHeight="21" x14ac:dyDescent="0.35"/>
  <cols>
    <col min="1" max="16384" width="28.85546875" style="111"/>
  </cols>
  <sheetData>
    <row r="1" spans="1:6" ht="28.5" x14ac:dyDescent="0.45">
      <c r="A1" s="112" t="s">
        <v>54</v>
      </c>
      <c r="B1" s="112"/>
      <c r="C1" s="112"/>
      <c r="D1" s="112" t="s">
        <v>54</v>
      </c>
      <c r="E1" s="112"/>
      <c r="F1" s="112"/>
    </row>
    <row r="2" spans="1:6" x14ac:dyDescent="0.35">
      <c r="A2" s="113" t="s">
        <v>52</v>
      </c>
      <c r="B2" s="114" t="s">
        <v>55</v>
      </c>
      <c r="C2" s="114" t="s">
        <v>56</v>
      </c>
      <c r="D2" s="113" t="s">
        <v>52</v>
      </c>
      <c r="E2" s="114" t="s">
        <v>55</v>
      </c>
      <c r="F2" s="114" t="s">
        <v>56</v>
      </c>
    </row>
    <row r="3" spans="1:6" x14ac:dyDescent="0.35">
      <c r="A3" s="111">
        <f>Confi!F10</f>
        <v>7.75</v>
      </c>
      <c r="B3" s="111">
        <f>Confi!D18</f>
        <v>96</v>
      </c>
      <c r="C3" s="111">
        <f>Confi!B18</f>
        <v>3</v>
      </c>
    </row>
    <row r="4" spans="1:6" x14ac:dyDescent="0.35">
      <c r="A4" s="111">
        <f>Confi!F10</f>
        <v>7.75</v>
      </c>
      <c r="B4" s="111">
        <f>Confi!B19</f>
        <v>72</v>
      </c>
      <c r="C4" s="111">
        <v>1</v>
      </c>
    </row>
    <row r="5" spans="1:6" x14ac:dyDescent="0.35">
      <c r="A5" s="111">
        <f>Confi!F11</f>
        <v>4</v>
      </c>
      <c r="B5" s="111">
        <f>IF(A5="","",Confi!D18)</f>
        <v>96</v>
      </c>
      <c r="C5" s="111">
        <f>IF(B5="","",Confi!$B$18)</f>
        <v>3</v>
      </c>
    </row>
    <row r="6" spans="1:6" x14ac:dyDescent="0.35">
      <c r="A6" s="111">
        <f>Confi!F11</f>
        <v>4</v>
      </c>
      <c r="B6" s="111">
        <f>IF(A6="","",Confi!B19)</f>
        <v>72</v>
      </c>
      <c r="C6" s="111">
        <f>IF(B6="","",1)</f>
        <v>1</v>
      </c>
    </row>
    <row r="7" spans="1:6" x14ac:dyDescent="0.35">
      <c r="A7" s="111">
        <f>Confi!F12</f>
        <v>48</v>
      </c>
      <c r="B7" s="111">
        <f>IF(A7="","",Confi!D18)</f>
        <v>96</v>
      </c>
      <c r="C7" s="111">
        <f>IF(B7="","",Confi!$B$18)</f>
        <v>3</v>
      </c>
    </row>
    <row r="8" spans="1:6" x14ac:dyDescent="0.35">
      <c r="A8" s="111">
        <f>Confi!F12</f>
        <v>48</v>
      </c>
      <c r="B8" s="111">
        <f>IF(A8="","",Confi!D18)</f>
        <v>96</v>
      </c>
      <c r="C8" s="111">
        <f>IF(B8="","",1)</f>
        <v>1</v>
      </c>
    </row>
    <row r="9" spans="1:6" x14ac:dyDescent="0.35">
      <c r="A9" s="111" t="str">
        <f>Confi!F13</f>
        <v/>
      </c>
      <c r="B9" s="111" t="str">
        <f>IF(A9="","",Confi!D18)</f>
        <v/>
      </c>
      <c r="C9" s="111" t="str">
        <f>IF(B9="","",Confi!$B$18)</f>
        <v/>
      </c>
    </row>
    <row r="10" spans="1:6" x14ac:dyDescent="0.35">
      <c r="A10" s="111" t="str">
        <f>Confi!F14</f>
        <v/>
      </c>
      <c r="B10" s="111" t="str">
        <f>IF(A10="","",Confi!D18)</f>
        <v/>
      </c>
      <c r="C10" s="111" t="str">
        <f>IF(B10="","",Confi!B18)</f>
        <v/>
      </c>
    </row>
    <row r="11" spans="1:6" x14ac:dyDescent="0.35">
      <c r="A11" s="111" t="str">
        <f>Confi!F14</f>
        <v/>
      </c>
      <c r="B11" s="111" t="str">
        <f>IF(A11="","",Confi!D18)</f>
        <v/>
      </c>
      <c r="C11" s="111" t="str">
        <f>IF(B11="","",1)</f>
        <v/>
      </c>
    </row>
    <row r="12" spans="1:6" x14ac:dyDescent="0.35">
      <c r="A12" s="111" t="str">
        <f>Confi!F15</f>
        <v/>
      </c>
      <c r="B12" s="111" t="str">
        <f>IF(A12="","",Confi!D18)</f>
        <v/>
      </c>
      <c r="C12" s="111" t="str">
        <f>IF(B12="","",Confi!B18)</f>
        <v/>
      </c>
    </row>
    <row r="13" spans="1:6" x14ac:dyDescent="0.35">
      <c r="A13" s="111" t="str">
        <f>Confi!F15</f>
        <v/>
      </c>
      <c r="B13" s="111" t="str">
        <f>IF(A13="","",Confi!B19)</f>
        <v/>
      </c>
      <c r="C13" s="111" t="str">
        <f>IF(B13="","",1)</f>
        <v/>
      </c>
    </row>
    <row r="14" spans="1:6" x14ac:dyDescent="0.35">
      <c r="A14" s="111" t="str">
        <f>Confi!H14</f>
        <v/>
      </c>
      <c r="B14" s="111" t="str">
        <f>IF(A14="","",Confi!B19)</f>
        <v/>
      </c>
      <c r="C14" s="111" t="str">
        <f>IF(B14="","",Confi!B18)</f>
        <v/>
      </c>
    </row>
    <row r="15" spans="1:6" x14ac:dyDescent="0.35">
      <c r="A15" s="111" t="str">
        <f>Confi!H14</f>
        <v/>
      </c>
      <c r="B15" s="111" t="str">
        <f>IF(A15="","",Confi!B20)</f>
        <v/>
      </c>
      <c r="C15" s="111" t="str">
        <f>IF(B15="","",Confi!B18)</f>
        <v/>
      </c>
    </row>
    <row r="16" spans="1:6" x14ac:dyDescent="0.35">
      <c r="A16" s="111" t="str">
        <f>Confi!H11</f>
        <v/>
      </c>
      <c r="B16" s="111" t="str">
        <f>IF(A16="","",Confi!D18)</f>
        <v/>
      </c>
      <c r="C16" s="111" t="str">
        <f>IF(B16="","",Confi!B18)</f>
        <v/>
      </c>
    </row>
    <row r="17" spans="1:3" x14ac:dyDescent="0.35">
      <c r="A17" s="111" t="str">
        <f>Confi!H11</f>
        <v/>
      </c>
      <c r="B17" s="111" t="str">
        <f>IF(A17="","",Confi!B19)</f>
        <v/>
      </c>
      <c r="C17" s="111" t="str">
        <f>IF(B17="","",1)</f>
        <v/>
      </c>
    </row>
    <row r="18" spans="1:3" x14ac:dyDescent="0.35">
      <c r="A18" s="111" t="str">
        <f>Confi!H10</f>
        <v/>
      </c>
      <c r="B18" s="111" t="str">
        <f>IF(A18="","",Confi!D18)</f>
        <v/>
      </c>
      <c r="C18" s="111" t="str">
        <f>IF(B18="","",Confi!B18)</f>
        <v/>
      </c>
    </row>
    <row r="19" spans="1:3" x14ac:dyDescent="0.35">
      <c r="A19" s="111" t="str">
        <f>Confi!H10</f>
        <v/>
      </c>
      <c r="B19" s="111" t="str">
        <f>IF(A19="","",Confi!B19)</f>
        <v/>
      </c>
      <c r="C19" s="111" t="str">
        <f>IF(B19="","",1)</f>
        <v/>
      </c>
    </row>
    <row r="20" spans="1:3" x14ac:dyDescent="0.35">
      <c r="A20" s="111" t="str">
        <f>Confi!J10</f>
        <v/>
      </c>
      <c r="B20" s="111" t="str">
        <f>IF(A20="","",Confi!D18)</f>
        <v/>
      </c>
      <c r="C20" s="111" t="str">
        <f>IF(B20="","",Confi!B18)</f>
        <v/>
      </c>
    </row>
    <row r="21" spans="1:3" x14ac:dyDescent="0.35">
      <c r="A21" s="111">
        <f>Confi!H12</f>
        <v>30.25</v>
      </c>
      <c r="B21" s="111">
        <f>IF(A21="","",Confi!D18)</f>
        <v>96</v>
      </c>
      <c r="C21" s="111">
        <f>IF(B21="","",Confi!B18)</f>
        <v>3</v>
      </c>
    </row>
    <row r="22" spans="1:3" x14ac:dyDescent="0.35">
      <c r="A22" s="111">
        <f>Confi!H12</f>
        <v>30.25</v>
      </c>
      <c r="B22" s="111">
        <f>IF(A22="","",Confi!B19)</f>
        <v>72</v>
      </c>
      <c r="C22" s="111">
        <f>IF(B22="","",1)</f>
        <v>1</v>
      </c>
    </row>
    <row r="23" spans="1:3" x14ac:dyDescent="0.35">
      <c r="A23" s="111" t="str">
        <f>Confi!H13</f>
        <v/>
      </c>
      <c r="B23" s="111" t="str">
        <f>IF(A23="","",Confi!D18)</f>
        <v/>
      </c>
      <c r="C23" s="111" t="str">
        <f>IF(B23="","",Confi!B18)</f>
        <v/>
      </c>
    </row>
    <row r="24" spans="1:3" x14ac:dyDescent="0.35">
      <c r="A24" s="111" t="str">
        <f>Confi!H13</f>
        <v/>
      </c>
      <c r="B24" s="111" t="str">
        <f>IF(A24="","",Confi!B19)</f>
        <v/>
      </c>
      <c r="C24" s="111" t="str">
        <f>IF(B24="","",1)</f>
        <v/>
      </c>
    </row>
    <row r="25" spans="1:3" x14ac:dyDescent="0.35">
      <c r="A25" s="111" t="str">
        <f>Confi!H15</f>
        <v/>
      </c>
      <c r="B25" s="111" t="str">
        <f>IF(A25="","",Confi!D18)</f>
        <v/>
      </c>
      <c r="C25" s="111" t="str">
        <f>IF(B25="","",1)</f>
        <v/>
      </c>
    </row>
    <row r="26" spans="1:3" x14ac:dyDescent="0.35">
      <c r="A26" s="111" t="str">
        <f>Confi!H15</f>
        <v/>
      </c>
      <c r="B26" s="111" t="str">
        <f>IF(A26="","",Confi!B19)</f>
        <v/>
      </c>
      <c r="C26" s="111" t="str">
        <f>IF(B26="","",Confi!B18)</f>
        <v/>
      </c>
    </row>
  </sheetData>
  <mergeCells count="2">
    <mergeCell ref="A1:C1"/>
    <mergeCell ref="D1:F1"/>
  </mergeCells>
  <pageMargins left="0.7" right="0.7" top="0.75" bottom="0.75" header="0.3" footer="0.3"/>
  <pageSetup orientation="portrait" horizontalDpi="0" verticalDpi="0" r:id="rId1"/>
  <ignoredErrors>
    <ignoredError sqref="C6:C7 B17:C17 B19:C19 B22:C22 B24:B25 C11:C12 C8 C13 B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3110D-D0BD-4545-AA54-9BD837C4BEFE}">
  <sheetPr codeName="Feuil2">
    <tabColor theme="4" tint="-0.249977111117893"/>
  </sheetPr>
  <dimension ref="A1:M33"/>
  <sheetViews>
    <sheetView zoomScale="70" zoomScaleNormal="70" workbookViewId="0">
      <selection activeCell="B4" sqref="B4"/>
    </sheetView>
  </sheetViews>
  <sheetFormatPr baseColWidth="10" defaultRowHeight="15" x14ac:dyDescent="0.25"/>
  <cols>
    <col min="1" max="1" width="16.28515625" bestFit="1" customWidth="1"/>
    <col min="5" max="5" width="14.28515625" customWidth="1"/>
    <col min="6" max="6" width="17.85546875" customWidth="1"/>
    <col min="7" max="7" width="11.140625" bestFit="1" customWidth="1"/>
    <col min="10" max="10" width="9.5703125" customWidth="1"/>
    <col min="11" max="11" width="13" customWidth="1"/>
  </cols>
  <sheetData>
    <row r="1" spans="1:13" x14ac:dyDescent="0.25">
      <c r="A1" s="101" t="s">
        <v>50</v>
      </c>
      <c r="B1" s="101"/>
      <c r="C1" s="101"/>
      <c r="D1" s="109"/>
      <c r="E1" s="110" t="s">
        <v>53</v>
      </c>
      <c r="F1" s="100" t="str">
        <f>IF(B4&gt;0,"Hauteur Cargotrack","")</f>
        <v>Hauteur Cargotrack</v>
      </c>
      <c r="G1" s="100"/>
      <c r="H1" s="100"/>
      <c r="I1" s="100"/>
    </row>
    <row r="2" spans="1:13" x14ac:dyDescent="0.25">
      <c r="A2" s="82" t="s">
        <v>42</v>
      </c>
      <c r="B2" s="94">
        <v>30</v>
      </c>
      <c r="C2" t="s">
        <v>45</v>
      </c>
      <c r="E2" s="85" t="s">
        <v>0</v>
      </c>
      <c r="F2" t="str">
        <f>IF(B4=0,"","Dist 1 Cargo Track")</f>
        <v>Dist 1 Cargo Track</v>
      </c>
      <c r="G2" s="94">
        <v>10</v>
      </c>
      <c r="H2" t="str">
        <f>IF(F2="","","[po]")</f>
        <v>[po]</v>
      </c>
    </row>
    <row r="3" spans="1:13" x14ac:dyDescent="0.25">
      <c r="A3" s="82" t="s">
        <v>33</v>
      </c>
      <c r="B3" s="94">
        <v>102</v>
      </c>
      <c r="C3" t="s">
        <v>39</v>
      </c>
      <c r="E3" s="85" t="s">
        <v>0</v>
      </c>
      <c r="F3" t="str">
        <f>IF(OR(B4=2,B4=3,B4=4,B4=5),"Dist 2 Cargo Track","")</f>
        <v>Dist 2 Cargo Track</v>
      </c>
      <c r="G3" s="94">
        <v>20</v>
      </c>
      <c r="H3" t="str">
        <f t="shared" ref="H3:H6" si="0">IF(F3="","","[po]")</f>
        <v>[po]</v>
      </c>
    </row>
    <row r="4" spans="1:13" x14ac:dyDescent="0.25">
      <c r="A4" s="82" t="s">
        <v>34</v>
      </c>
      <c r="B4" s="94">
        <v>2</v>
      </c>
      <c r="E4" s="85" t="s">
        <v>0</v>
      </c>
      <c r="F4" t="str">
        <f>IF(OR(B4=3,B4=4,B4=5),"Dist 3 Cargo Track","")</f>
        <v/>
      </c>
      <c r="G4" s="94">
        <v>30</v>
      </c>
      <c r="H4" t="str">
        <f t="shared" si="0"/>
        <v/>
      </c>
    </row>
    <row r="5" spans="1:13" x14ac:dyDescent="0.25">
      <c r="A5" s="82"/>
      <c r="B5" s="95"/>
      <c r="E5" s="85" t="s">
        <v>0</v>
      </c>
      <c r="F5" t="str">
        <f>IF(OR(,B4=4,B4=5),"Dist 4 Cargo Track","")</f>
        <v/>
      </c>
      <c r="G5" s="94">
        <v>20</v>
      </c>
      <c r="H5" t="str">
        <f t="shared" si="0"/>
        <v/>
      </c>
    </row>
    <row r="6" spans="1:13" x14ac:dyDescent="0.25">
      <c r="E6" s="85" t="s">
        <v>0</v>
      </c>
      <c r="F6" t="str">
        <f>IF(B4=5,"Dist 5 Cargo Track","")</f>
        <v/>
      </c>
      <c r="G6" s="94">
        <v>20</v>
      </c>
      <c r="H6" t="str">
        <f t="shared" si="0"/>
        <v/>
      </c>
    </row>
    <row r="7" spans="1:13" x14ac:dyDescent="0.25">
      <c r="E7" s="85"/>
      <c r="G7" s="94"/>
    </row>
    <row r="8" spans="1:13" x14ac:dyDescent="0.25">
      <c r="E8" s="85"/>
    </row>
    <row r="9" spans="1:13" x14ac:dyDescent="0.25">
      <c r="A9" s="93" t="s">
        <v>43</v>
      </c>
      <c r="B9" s="92" t="s">
        <v>48</v>
      </c>
      <c r="F9" s="82" t="s">
        <v>47</v>
      </c>
      <c r="G9" s="82"/>
      <c r="H9" s="82" t="str">
        <f>IF(AND(H10="",H11="",H12="",H13="",H14="",H15=""),"","2 Panneaux")</f>
        <v>2 Panneaux</v>
      </c>
      <c r="I9" s="82"/>
      <c r="J9" s="82" t="str">
        <f>IF(AND(J10="",J11="",J12="",J13="",J14="",J15=""),"","3 Panneaux")</f>
        <v/>
      </c>
      <c r="K9" s="82"/>
    </row>
    <row r="10" spans="1:13" x14ac:dyDescent="0.25">
      <c r="A10" t="s">
        <v>49</v>
      </c>
      <c r="B10" s="96">
        <f>IF(B4=0,B3,IF(B4&gt;0,G2-(VLOOKUP(E2,Menu!A1:B7,2)/2)+0.75,"BBBB"))</f>
        <v>7.75</v>
      </c>
      <c r="C10" s="97" t="s">
        <v>39</v>
      </c>
      <c r="D10" s="97"/>
      <c r="F10">
        <f>IF(B10="","",IF(B10&gt;=48,48,B10))</f>
        <v>7.75</v>
      </c>
      <c r="G10" s="96" t="s">
        <v>39</v>
      </c>
      <c r="H10" t="str">
        <f>IF(F10="","",IF(B10-F10&gt;48,48,IF(F10&lt;48,"",B10-F10)))</f>
        <v/>
      </c>
      <c r="I10" s="96" t="s">
        <v>39</v>
      </c>
      <c r="J10" t="str">
        <f>IF(B10&gt;96,B10-F10-H10,"")</f>
        <v/>
      </c>
      <c r="L10" s="96" t="s">
        <v>39</v>
      </c>
      <c r="M10" s="96"/>
    </row>
    <row r="11" spans="1:13" x14ac:dyDescent="0.25">
      <c r="A11" t="str">
        <f>IF(OR(B4=4,B4=5,B4=3,B4=2,B4=1),"Section #2","")</f>
        <v>Section #2</v>
      </c>
      <c r="B11" s="96">
        <f>IF(B4=1,B3-B10-VLOOKUP(E2,Menu!A1:B7,2),IF(B4&gt;=2,G3-(VLOOKUP(E3,Menu!A1:B7,2)/2)-VLOOKUP(E2,Menu!A1:B7,2)-B10+0.75,""))</f>
        <v>4</v>
      </c>
      <c r="C11" s="19" t="str">
        <f>IF(OR(A11="",B11&gt;48),"","[po]")</f>
        <v>[po]</v>
      </c>
      <c r="D11" s="19"/>
      <c r="F11">
        <f>IF(B11="","",IF(B11&gt;=48,48,B11))</f>
        <v>4</v>
      </c>
      <c r="G11" s="96" t="str">
        <f>IF(F11="","","[po]")</f>
        <v>[po]</v>
      </c>
      <c r="H11" t="str">
        <f>IF(F11="","",IF(F11&lt;48,"",IF(B11-F11&gt;=48,48,B11-F11)))</f>
        <v/>
      </c>
      <c r="I11" s="96" t="str">
        <f>IF(H11="","","[po]")</f>
        <v/>
      </c>
      <c r="L11" s="96" t="s">
        <v>39</v>
      </c>
      <c r="M11" s="96"/>
    </row>
    <row r="12" spans="1:13" x14ac:dyDescent="0.25">
      <c r="A12" t="str">
        <f>IF(OR(B4=4,B4=5,B4=3,B4=2),"Section #3","")</f>
        <v>Section #3</v>
      </c>
      <c r="B12" s="96">
        <f>IF(B4=2,B3-B10-B11-VLOOKUP(E2,Menu!A1:B7,2)-VLOOKUP(E3,Menu!A1:B7,2),IF(B4&gt;=3,G4-(VLOOKUP(E4,Menu!A1:B7,2)/2)-VLOOKUP(E3,Menu!A1:B7,2)-VLOOKUP(E2,Menu!A1:B7,2)-B10-B11+0.75,""))</f>
        <v>78.25</v>
      </c>
      <c r="C12" s="19" t="str">
        <f t="shared" ref="C12:C15" si="1">IF(A12="","","[po]")</f>
        <v>[po]</v>
      </c>
      <c r="D12" s="19"/>
      <c r="F12">
        <f t="shared" ref="F12:F15" si="2">IF(B12="","",IF(B12&gt;=48,48,B12))</f>
        <v>48</v>
      </c>
      <c r="G12" s="96" t="str">
        <f>IF(F12="","","[po]")</f>
        <v>[po]</v>
      </c>
      <c r="H12">
        <f>IF(F12="","",IF(F12&lt;48,"",IF(B12-F12&gt;=48,48,B12-F12)))</f>
        <v>30.25</v>
      </c>
      <c r="I12" s="96" t="str">
        <f>IF(H12="","","[po]")</f>
        <v>[po]</v>
      </c>
      <c r="L12" s="96"/>
      <c r="M12" s="96"/>
    </row>
    <row r="13" spans="1:13" x14ac:dyDescent="0.25">
      <c r="A13" t="str">
        <f>IF(OR(B4=4,B4=5,B4=3),"Section #4","")</f>
        <v/>
      </c>
      <c r="B13" s="96" t="str">
        <f>IF(B4=3,B3-B10-B11-B12-VLOOKUP(E4,Menu!A1:B7,2)-VLOOKUP(E3,Menu!A1:B7,2)-VLOOKUP(E2,Menu!A1:B7,2),IF(B4&gt;=3,G5-(VLOOKUP(E5,Menu!A1:B7,2)/2)-VLOOKUP(E4,Menu!A1:B7,2)-VLOOKUP(E3,Menu!A1:B7,2)-VLOOKUP(E2,Menu!A1:B7,2)-B10-B11-B12+0.75,""))</f>
        <v/>
      </c>
      <c r="C13" s="19" t="str">
        <f t="shared" si="1"/>
        <v/>
      </c>
      <c r="D13" s="19"/>
      <c r="F13" t="str">
        <f t="shared" si="2"/>
        <v/>
      </c>
      <c r="G13" s="96" t="str">
        <f>IF(F13="","","[po]")</f>
        <v/>
      </c>
      <c r="H13" t="str">
        <f t="shared" ref="H13:H15" si="3">IF(F13="","",IF(F13&lt;48,"",IF(B13-F13&gt;=48,48,B13-F13)))</f>
        <v/>
      </c>
      <c r="I13" s="96" t="str">
        <f>IF(H13="","","[po]")</f>
        <v/>
      </c>
    </row>
    <row r="14" spans="1:13" x14ac:dyDescent="0.25">
      <c r="A14" t="str">
        <f>IF(OR(B4=4,B4=5),"Section #5","")</f>
        <v/>
      </c>
      <c r="B14" s="96" t="str">
        <f>IF(B4=4,B3-B10-B11-B12-B13-VLOOKUP(E5,Menu!A1:B7,2)-VLOOKUP(E4,Menu!A1:B7,2)-VLOOKUP(E3,Menu!A1:B7,2)-VLOOKUP(E2,Menu!A1:B7,2),IF(B4&gt;=4,G6-(VLOOKUP(E6,Menu!A1:B7,2)/2)-VLOOKUP(E5,Menu!A1:B7,2)-VLOOKUP(E4,Menu!A1:B7,2)-VLOOKUP(E3,Menu!A1:B7,2)-VLOOKUP(E2,Menu!A1:B7,2)-B10-B11-B12-B13+0.75,""))</f>
        <v/>
      </c>
      <c r="C14" s="19" t="str">
        <f t="shared" si="1"/>
        <v/>
      </c>
      <c r="D14" s="19"/>
      <c r="F14" t="str">
        <f t="shared" si="2"/>
        <v/>
      </c>
      <c r="G14" s="96" t="str">
        <f t="shared" ref="G14:G15" si="4">IF(F14="","","[po]")</f>
        <v/>
      </c>
      <c r="H14" t="str">
        <f t="shared" si="3"/>
        <v/>
      </c>
      <c r="I14" s="96" t="str">
        <f t="shared" ref="I14" si="5">IF(H14="","","[po]")</f>
        <v/>
      </c>
    </row>
    <row r="15" spans="1:13" x14ac:dyDescent="0.25">
      <c r="A15" t="str">
        <f>IF(B4=5,"Section #6","")</f>
        <v/>
      </c>
      <c r="B15" s="96" t="str">
        <f>IF(B4=5,B3-B10-B11-B12-B13-B14-VLOOKUP(E6,Menu!A1:B7,2)-VLOOKUP(E5,Menu!A1:B7,2)-VLOOKUP(E4,Menu!A1:B7,2)-VLOOKUP(E3,Menu!A1:B7,2)-VLOOKUP(E2,Menu!A1:B7,2),"")</f>
        <v/>
      </c>
      <c r="C15" s="19" t="str">
        <f t="shared" si="1"/>
        <v/>
      </c>
      <c r="D15" s="19"/>
      <c r="F15" t="str">
        <f t="shared" si="2"/>
        <v/>
      </c>
      <c r="G15" s="96" t="str">
        <f t="shared" si="4"/>
        <v/>
      </c>
      <c r="H15" t="str">
        <f t="shared" si="3"/>
        <v/>
      </c>
      <c r="I15" s="96" t="str">
        <f>IF(H15="","","[po]")</f>
        <v/>
      </c>
    </row>
    <row r="16" spans="1:13" x14ac:dyDescent="0.25">
      <c r="G16" t="str">
        <f t="shared" ref="G16" si="6">IF(E16="","",IF(B16-E16&gt;=48,48,""))</f>
        <v/>
      </c>
    </row>
    <row r="17" spans="1:7" x14ac:dyDescent="0.25">
      <c r="A17" s="93" t="s">
        <v>44</v>
      </c>
    </row>
    <row r="18" spans="1:7" ht="30" x14ac:dyDescent="0.25">
      <c r="A18" s="98" t="s">
        <v>51</v>
      </c>
      <c r="B18">
        <f>ROUNDDOWN((B2*12)/96,0)</f>
        <v>3</v>
      </c>
      <c r="C18" s="19"/>
      <c r="D18" s="19">
        <v>96</v>
      </c>
    </row>
    <row r="19" spans="1:7" x14ac:dyDescent="0.25">
      <c r="A19" t="s">
        <v>46</v>
      </c>
      <c r="B19">
        <f>(((B2*12)/96)-B18)*96</f>
        <v>72</v>
      </c>
      <c r="C19" t="s">
        <v>39</v>
      </c>
    </row>
    <row r="25" spans="1:7" x14ac:dyDescent="0.25">
      <c r="C25" s="19"/>
      <c r="D25" s="19"/>
    </row>
    <row r="26" spans="1:7" x14ac:dyDescent="0.25">
      <c r="C26" s="19"/>
      <c r="D26" s="19"/>
      <c r="E26" s="85"/>
      <c r="F26" s="102"/>
    </row>
    <row r="27" spans="1:7" x14ac:dyDescent="0.25">
      <c r="E27" s="19"/>
      <c r="F27" s="85"/>
      <c r="G27" s="19"/>
    </row>
    <row r="28" spans="1:7" x14ac:dyDescent="0.25">
      <c r="B28" s="104"/>
      <c r="C28" s="104"/>
      <c r="D28" s="104"/>
      <c r="E28" s="85"/>
      <c r="F28" s="85"/>
      <c r="G28" s="19"/>
    </row>
    <row r="29" spans="1:7" x14ac:dyDescent="0.25">
      <c r="C29" s="19"/>
      <c r="D29" s="19"/>
      <c r="E29" s="103"/>
      <c r="F29" s="102"/>
    </row>
    <row r="30" spans="1:7" x14ac:dyDescent="0.25">
      <c r="C30" s="19"/>
      <c r="D30" s="19"/>
      <c r="E30" s="85"/>
    </row>
    <row r="31" spans="1:7" x14ac:dyDescent="0.25">
      <c r="E31" s="85"/>
    </row>
    <row r="32" spans="1:7" x14ac:dyDescent="0.25">
      <c r="C32" s="19"/>
      <c r="D32" s="19"/>
      <c r="E32" s="85"/>
      <c r="F32" s="102"/>
    </row>
    <row r="33" spans="3:5" x14ac:dyDescent="0.25">
      <c r="C33" s="19"/>
      <c r="D33" s="19"/>
      <c r="E33" s="85"/>
    </row>
  </sheetData>
  <sheetProtection selectLockedCells="1"/>
  <mergeCells count="2">
    <mergeCell ref="F1:I1"/>
    <mergeCell ref="A1:C1"/>
  </mergeCells>
  <conditionalFormatting sqref="G2">
    <cfRule type="expression" dxfId="25" priority="81">
      <formula>$F$2=""</formula>
    </cfRule>
  </conditionalFormatting>
  <conditionalFormatting sqref="G3">
    <cfRule type="expression" dxfId="24" priority="80">
      <formula>$F$3=""</formula>
    </cfRule>
  </conditionalFormatting>
  <conditionalFormatting sqref="G4">
    <cfRule type="expression" dxfId="23" priority="79">
      <formula>$F$4=""</formula>
    </cfRule>
  </conditionalFormatting>
  <conditionalFormatting sqref="G5">
    <cfRule type="expression" dxfId="22" priority="78">
      <formula>$F$5=""</formula>
    </cfRule>
  </conditionalFormatting>
  <conditionalFormatting sqref="G6">
    <cfRule type="expression" dxfId="21" priority="77">
      <formula>$F$6=""</formula>
    </cfRule>
  </conditionalFormatting>
  <conditionalFormatting sqref="G2:G6">
    <cfRule type="cellIs" dxfId="20" priority="76" operator="between">
      <formula>1</formula>
      <formula>4</formula>
    </cfRule>
  </conditionalFormatting>
  <conditionalFormatting sqref="B5">
    <cfRule type="expression" dxfId="19" priority="82">
      <formula>$B$4=0</formula>
    </cfRule>
  </conditionalFormatting>
  <conditionalFormatting sqref="A5">
    <cfRule type="expression" dxfId="18" priority="74">
      <formula>$B$4=0</formula>
    </cfRule>
  </conditionalFormatting>
  <conditionalFormatting sqref="G10">
    <cfRule type="expression" dxfId="17" priority="22">
      <formula>$F$10=""</formula>
    </cfRule>
  </conditionalFormatting>
  <conditionalFormatting sqref="G11">
    <cfRule type="expression" dxfId="16" priority="21">
      <formula>$F$11=""</formula>
    </cfRule>
  </conditionalFormatting>
  <conditionalFormatting sqref="L10:M10 L12:M12">
    <cfRule type="expression" dxfId="15" priority="20">
      <formula>$J$10=""</formula>
    </cfRule>
  </conditionalFormatting>
  <conditionalFormatting sqref="L11:M11">
    <cfRule type="expression" dxfId="14" priority="18">
      <formula>$J$11=""</formula>
    </cfRule>
  </conditionalFormatting>
  <conditionalFormatting sqref="G12">
    <cfRule type="expression" dxfId="13" priority="16">
      <formula>$F$12=""</formula>
    </cfRule>
  </conditionalFormatting>
  <conditionalFormatting sqref="G13:G15">
    <cfRule type="expression" dxfId="12" priority="15">
      <formula>$F$13=""</formula>
    </cfRule>
  </conditionalFormatting>
  <conditionalFormatting sqref="I11">
    <cfRule type="expression" dxfId="11" priority="13">
      <formula>$H$11=""</formula>
    </cfRule>
  </conditionalFormatting>
  <conditionalFormatting sqref="I12">
    <cfRule type="expression" dxfId="10" priority="12">
      <formula>$H$12=""</formula>
    </cfRule>
  </conditionalFormatting>
  <conditionalFormatting sqref="I10">
    <cfRule type="expression" dxfId="9" priority="10">
      <formula>$H$10=""</formula>
    </cfRule>
  </conditionalFormatting>
  <conditionalFormatting sqref="E1">
    <cfRule type="expression" dxfId="8" priority="9">
      <formula>$B$4=0</formula>
    </cfRule>
  </conditionalFormatting>
  <conditionalFormatting sqref="E2:E7">
    <cfRule type="expression" dxfId="7" priority="8">
      <formula>$B$4=0</formula>
    </cfRule>
  </conditionalFormatting>
  <conditionalFormatting sqref="E3">
    <cfRule type="expression" dxfId="6" priority="7">
      <formula>$B$4=1</formula>
    </cfRule>
  </conditionalFormatting>
  <conditionalFormatting sqref="E4">
    <cfRule type="expression" dxfId="5" priority="6">
      <formula>$B$4=1</formula>
    </cfRule>
  </conditionalFormatting>
  <conditionalFormatting sqref="E5">
    <cfRule type="expression" dxfId="4" priority="5">
      <formula>$B$4=1</formula>
    </cfRule>
  </conditionalFormatting>
  <conditionalFormatting sqref="E6">
    <cfRule type="expression" dxfId="3" priority="1">
      <formula>$B$4=4</formula>
    </cfRule>
    <cfRule type="expression" dxfId="2" priority="4">
      <formula>$B$4=1</formula>
    </cfRule>
  </conditionalFormatting>
  <conditionalFormatting sqref="E4:E6">
    <cfRule type="expression" dxfId="1" priority="3">
      <formula>$B$4=2</formula>
    </cfRule>
  </conditionalFormatting>
  <conditionalFormatting sqref="E5:E6">
    <cfRule type="expression" dxfId="0" priority="2">
      <formula>$B$4=3</formula>
    </cfRule>
  </conditionalFormatting>
  <dataValidations count="6">
    <dataValidation type="whole" allowBlank="1" showInputMessage="1" showErrorMessage="1" sqref="B3" xr:uid="{C93BD293-F5D3-43D2-BE55-BE59B233BC46}">
      <formula1>40</formula1>
      <formula2>106</formula2>
    </dataValidation>
    <dataValidation type="whole" allowBlank="1" showInputMessage="1" showErrorMessage="1" error="Vérfier Distance ou Hauteur de la boite" sqref="G4" xr:uid="{3F89C431-2C1B-4C54-944A-E3D14715EE50}">
      <formula1>G3</formula1>
      <formula2>B3</formula2>
    </dataValidation>
    <dataValidation type="whole" allowBlank="1" showInputMessage="1" showErrorMessage="1" error="Vérfier Distance ou Hauteur de la boite" sqref="G2" xr:uid="{2E292C3D-2A86-406B-9DEA-2E4283E22406}">
      <formula1>0</formula1>
      <formula2>B3</formula2>
    </dataValidation>
    <dataValidation type="whole" allowBlank="1" showInputMessage="1" showErrorMessage="1" error="Vérfier Distance ou Hauteur de la boite" sqref="G3" xr:uid="{CB0615A3-4858-43EE-8400-D15A82E6C41C}">
      <formula1>G2</formula1>
      <formula2>B3</formula2>
    </dataValidation>
    <dataValidation type="whole" allowBlank="1" showInputMessage="1" showErrorMessage="1" error="Vérfier Distance ou Hauteur de la boite" sqref="G5" xr:uid="{084019D7-7342-4002-8AFF-5FBAA3A2921D}">
      <formula1>G4</formula1>
      <formula2>B3</formula2>
    </dataValidation>
    <dataValidation type="whole" allowBlank="1" showInputMessage="1" showErrorMessage="1" error="Vérfier Distance ou Hauteur de la boite" sqref="G6" xr:uid="{8620D54D-5B04-4A9D-9A20-14AD04DFAD59}">
      <formula1>G5</formula1>
      <formula2>B3</formula2>
    </dataValidation>
  </dataValidations>
  <pageMargins left="0.7" right="0.7" top="0.75" bottom="0.75" header="0.3" footer="0.3"/>
  <pageSetup orientation="portrait" horizontalDpi="0" verticalDpi="0" r:id="rId1"/>
  <ignoredErrors>
    <ignoredError sqref="C11 H11:H15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B424391-325D-4E0F-A1B3-06FD417E5F3E}">
          <x14:formula1>
            <xm:f>Menu!$D$2:$D$7</xm:f>
          </x14:formula1>
          <xm:sqref>B4</xm:sqref>
        </x14:dataValidation>
        <x14:dataValidation type="list" allowBlank="1" showInputMessage="1" showErrorMessage="1" xr:uid="{036B73A5-0DF3-4076-A9F2-07C741AA1B61}">
          <x14:formula1>
            <xm:f>Menu!$A$2:$A$8</xm:f>
          </x14:formula1>
          <xm:sqref>E2:E6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C156C-A104-4265-AAE8-E87D13226DBA}">
  <sheetPr codeName="Feuil3">
    <tabColor theme="5" tint="-0.249977111117893"/>
  </sheetPr>
  <dimension ref="A1:E7"/>
  <sheetViews>
    <sheetView tabSelected="1" zoomScale="85" zoomScaleNormal="85" workbookViewId="0">
      <selection activeCell="E25" sqref="E25"/>
    </sheetView>
  </sheetViews>
  <sheetFormatPr baseColWidth="10" defaultRowHeight="15" x14ac:dyDescent="0.25"/>
  <cols>
    <col min="1" max="1" width="18.28515625" style="27" bestFit="1" customWidth="1"/>
    <col min="2" max="2" width="18.28515625" style="89" customWidth="1"/>
    <col min="3" max="3" width="15.7109375" style="27" customWidth="1"/>
  </cols>
  <sheetData>
    <row r="1" spans="1:5" s="108" customFormat="1" x14ac:dyDescent="0.25">
      <c r="A1" s="106" t="s">
        <v>35</v>
      </c>
      <c r="B1" s="107"/>
      <c r="C1" s="106" t="s">
        <v>36</v>
      </c>
      <c r="D1" s="108" t="s">
        <v>40</v>
      </c>
    </row>
    <row r="2" spans="1:5" s="46" customFormat="1" x14ac:dyDescent="0.25">
      <c r="A2" s="90">
        <v>1260</v>
      </c>
      <c r="B2" s="105">
        <v>3.875</v>
      </c>
      <c r="C2" s="27" t="s">
        <v>37</v>
      </c>
      <c r="D2" s="46">
        <v>0</v>
      </c>
    </row>
    <row r="3" spans="1:5" x14ac:dyDescent="0.25">
      <c r="A3" s="53">
        <v>1806</v>
      </c>
      <c r="B3" s="5">
        <v>2.25</v>
      </c>
      <c r="C3" s="27" t="s">
        <v>38</v>
      </c>
      <c r="D3">
        <v>1</v>
      </c>
    </row>
    <row r="4" spans="1:5" x14ac:dyDescent="0.25">
      <c r="A4" s="53">
        <v>2009</v>
      </c>
      <c r="B4" s="5">
        <v>2.25</v>
      </c>
      <c r="D4" s="46">
        <v>2</v>
      </c>
    </row>
    <row r="5" spans="1:5" x14ac:dyDescent="0.25">
      <c r="A5" s="91">
        <v>2019</v>
      </c>
      <c r="B5" s="5">
        <v>2.25</v>
      </c>
      <c r="D5">
        <v>3</v>
      </c>
      <c r="E5" s="46"/>
    </row>
    <row r="6" spans="1:5" x14ac:dyDescent="0.25">
      <c r="A6" s="27" t="s">
        <v>41</v>
      </c>
      <c r="B6" s="105">
        <v>3.875</v>
      </c>
      <c r="D6">
        <v>4</v>
      </c>
    </row>
    <row r="7" spans="1:5" x14ac:dyDescent="0.25">
      <c r="A7" s="53" t="s">
        <v>0</v>
      </c>
      <c r="B7" s="5">
        <v>6</v>
      </c>
      <c r="D7">
        <v>5</v>
      </c>
    </row>
  </sheetData>
  <sortState ref="A3:D7">
    <sortCondition ref="A2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C6C77-0E8D-4DAF-8790-3D8DFCF51890}">
  <sheetPr codeName="Feuil4">
    <tabColor rgb="FFFFC000"/>
  </sheetPr>
  <dimension ref="A1"/>
  <sheetViews>
    <sheetView zoomScale="55" zoomScaleNormal="55" workbookViewId="0">
      <selection activeCell="Q49" sqref="Q49"/>
    </sheetView>
  </sheetViews>
  <sheetFormatPr baseColWidth="10" defaultRowHeight="15" x14ac:dyDescent="0.25"/>
  <sheetData/>
  <pageMargins left="0.31496062992125984" right="0.31496062992125984" top="0.35433070866141736" bottom="0.35433070866141736" header="0.31496062992125984" footer="0.31496062992125984"/>
  <pageSetup orientation="landscape" horizontalDpi="0" verticalDpi="0" r:id="rId1"/>
  <headerFooter>
    <oddFooter>&amp;Z&amp;F&amp;RPage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1"/>
    <pageSetUpPr fitToPage="1"/>
  </sheetPr>
  <dimension ref="A1:AE53"/>
  <sheetViews>
    <sheetView zoomScale="70" zoomScaleNormal="70" workbookViewId="0">
      <selection activeCell="G24" sqref="G24"/>
    </sheetView>
  </sheetViews>
  <sheetFormatPr baseColWidth="10" defaultRowHeight="15" x14ac:dyDescent="0.25"/>
  <cols>
    <col min="3" max="3" width="52.140625" bestFit="1" customWidth="1"/>
    <col min="14" max="14" width="34.42578125" customWidth="1"/>
    <col min="23" max="23" width="43.28515625" bestFit="1" customWidth="1"/>
  </cols>
  <sheetData>
    <row r="1" spans="1:31" x14ac:dyDescent="0.25">
      <c r="D1">
        <f t="shared" ref="D1:K1" si="0">D2</f>
        <v>12</v>
      </c>
      <c r="E1">
        <f t="shared" si="0"/>
        <v>16</v>
      </c>
      <c r="F1">
        <f t="shared" si="0"/>
        <v>20</v>
      </c>
      <c r="G1">
        <f t="shared" si="0"/>
        <v>24</v>
      </c>
      <c r="H1">
        <f t="shared" si="0"/>
        <v>32</v>
      </c>
      <c r="I1">
        <f t="shared" si="0"/>
        <v>36</v>
      </c>
      <c r="J1">
        <f t="shared" si="0"/>
        <v>48</v>
      </c>
      <c r="K1">
        <f t="shared" si="0"/>
        <v>60</v>
      </c>
    </row>
    <row r="2" spans="1:31" x14ac:dyDescent="0.25">
      <c r="D2">
        <v>12</v>
      </c>
      <c r="E2">
        <v>16</v>
      </c>
      <c r="F2">
        <v>20</v>
      </c>
      <c r="G2">
        <v>24</v>
      </c>
      <c r="H2">
        <v>32</v>
      </c>
      <c r="I2">
        <v>36</v>
      </c>
      <c r="J2">
        <v>48</v>
      </c>
      <c r="K2">
        <v>60</v>
      </c>
    </row>
    <row r="3" spans="1:31" ht="15.75" thickBot="1" x14ac:dyDescent="0.3">
      <c r="C3" s="79" t="s">
        <v>13</v>
      </c>
      <c r="D3" s="3"/>
      <c r="E3" s="3"/>
      <c r="F3" s="3"/>
      <c r="G3" s="3"/>
      <c r="H3" s="3"/>
      <c r="I3" s="3"/>
      <c r="J3" s="3"/>
      <c r="K3" s="4"/>
      <c r="N3" s="2" t="s">
        <v>25</v>
      </c>
      <c r="O3" s="3"/>
      <c r="P3" s="3"/>
      <c r="Q3" s="3"/>
      <c r="R3" s="3"/>
      <c r="S3" s="3"/>
      <c r="T3" s="3"/>
      <c r="U3" s="45"/>
      <c r="W3" t="s">
        <v>0</v>
      </c>
    </row>
    <row r="4" spans="1:31" ht="15.75" thickBot="1" x14ac:dyDescent="0.3">
      <c r="C4" s="54" t="s">
        <v>1</v>
      </c>
      <c r="D4" s="55" t="s">
        <v>2</v>
      </c>
      <c r="E4" s="55" t="s">
        <v>3</v>
      </c>
      <c r="F4" s="55" t="s">
        <v>4</v>
      </c>
      <c r="G4" s="55" t="s">
        <v>5</v>
      </c>
      <c r="H4" s="55" t="s">
        <v>15</v>
      </c>
      <c r="I4" s="55" t="s">
        <v>6</v>
      </c>
      <c r="J4" s="55" t="s">
        <v>7</v>
      </c>
      <c r="K4" s="55" t="s">
        <v>8</v>
      </c>
      <c r="N4" s="70" t="s">
        <v>19</v>
      </c>
      <c r="O4" s="71" t="s">
        <v>2</v>
      </c>
      <c r="P4" s="74" t="s">
        <v>3</v>
      </c>
      <c r="Q4" s="71" t="s">
        <v>5</v>
      </c>
      <c r="R4" s="75" t="s">
        <v>15</v>
      </c>
      <c r="S4" s="71" t="s">
        <v>6</v>
      </c>
      <c r="T4" s="73" t="s">
        <v>7</v>
      </c>
      <c r="U4" s="46"/>
      <c r="W4" s="82" t="s">
        <v>28</v>
      </c>
      <c r="X4" s="82" t="s">
        <v>2</v>
      </c>
      <c r="Y4" s="82" t="s">
        <v>3</v>
      </c>
      <c r="Z4" s="82" t="s">
        <v>4</v>
      </c>
      <c r="AA4" s="82" t="s">
        <v>5</v>
      </c>
      <c r="AB4" s="82" t="s">
        <v>15</v>
      </c>
      <c r="AC4" s="82" t="s">
        <v>6</v>
      </c>
      <c r="AD4" s="82" t="s">
        <v>7</v>
      </c>
      <c r="AE4" s="82" t="s">
        <v>8</v>
      </c>
    </row>
    <row r="5" spans="1:31" ht="15.75" thickTop="1" x14ac:dyDescent="0.25">
      <c r="A5">
        <v>6</v>
      </c>
      <c r="C5" s="53" t="s">
        <v>0</v>
      </c>
      <c r="D5" s="9">
        <f>$D$2-$A$6/2</f>
        <v>10.875</v>
      </c>
      <c r="E5" s="15">
        <f t="shared" ref="E5:E7" si="1">$E$2-$A$5/2</f>
        <v>13</v>
      </c>
      <c r="F5" s="15">
        <f t="shared" ref="F5:F7" si="2">$F$2-$A$5/2</f>
        <v>17</v>
      </c>
      <c r="G5" s="15">
        <f t="shared" ref="G5:G7" si="3">$G$2-$A$5/2</f>
        <v>21</v>
      </c>
      <c r="H5" s="15">
        <f t="shared" ref="H5:H7" si="4">$H$2-$A$5/2</f>
        <v>29</v>
      </c>
      <c r="I5" s="15">
        <f t="shared" ref="I5:I7" si="5">$I$2-$A$5/2</f>
        <v>33</v>
      </c>
      <c r="J5" s="15">
        <f t="shared" ref="J5:J7" si="6">$J$2-$A$5/2</f>
        <v>45</v>
      </c>
      <c r="K5" s="15">
        <f t="shared" ref="K5:K7" si="7">$K$2-$A$5/2</f>
        <v>57</v>
      </c>
      <c r="N5" s="69" t="s">
        <v>17</v>
      </c>
      <c r="O5" s="63"/>
      <c r="P5" s="64"/>
      <c r="Q5" s="63"/>
      <c r="R5" s="58"/>
      <c r="S5" s="63"/>
      <c r="T5" s="65"/>
      <c r="W5" t="s">
        <v>13</v>
      </c>
      <c r="X5" s="87">
        <v>9.75</v>
      </c>
      <c r="Y5" s="87">
        <v>13.75</v>
      </c>
      <c r="Z5" s="87">
        <v>17.75</v>
      </c>
      <c r="AA5" s="87">
        <v>21.75</v>
      </c>
      <c r="AB5" s="87">
        <v>29.75</v>
      </c>
      <c r="AC5" s="87">
        <v>33.75</v>
      </c>
      <c r="AD5" s="87">
        <v>45.75</v>
      </c>
      <c r="AE5" s="87">
        <v>57.75</v>
      </c>
    </row>
    <row r="6" spans="1:31" x14ac:dyDescent="0.25">
      <c r="A6">
        <v>2.25</v>
      </c>
      <c r="C6" s="53">
        <v>1806</v>
      </c>
      <c r="D6" s="9">
        <f t="shared" ref="D6:D7" si="8">$D$2-$A$6/2</f>
        <v>10.875</v>
      </c>
      <c r="E6" s="9">
        <f t="shared" si="1"/>
        <v>13</v>
      </c>
      <c r="F6" s="9">
        <f t="shared" si="2"/>
        <v>17</v>
      </c>
      <c r="G6" s="9">
        <f t="shared" si="3"/>
        <v>21</v>
      </c>
      <c r="H6" s="9">
        <f t="shared" si="4"/>
        <v>29</v>
      </c>
      <c r="I6" s="9">
        <f t="shared" si="5"/>
        <v>33</v>
      </c>
      <c r="J6" s="9">
        <f t="shared" si="6"/>
        <v>45</v>
      </c>
      <c r="K6" s="9">
        <f t="shared" si="7"/>
        <v>57</v>
      </c>
      <c r="N6" s="47" t="s">
        <v>0</v>
      </c>
      <c r="O6" s="18">
        <f>D$1+$A5/2</f>
        <v>15</v>
      </c>
      <c r="P6" s="18">
        <f>E$1+$A5/2</f>
        <v>19</v>
      </c>
      <c r="Q6" s="18">
        <f>G$1+$A5/2</f>
        <v>27</v>
      </c>
      <c r="R6" s="18">
        <f t="shared" ref="R6:T6" si="9">H$1+$A5/2</f>
        <v>35</v>
      </c>
      <c r="S6" s="18">
        <f t="shared" si="9"/>
        <v>39</v>
      </c>
      <c r="T6" s="18">
        <f t="shared" si="9"/>
        <v>51</v>
      </c>
      <c r="W6" t="s">
        <v>26</v>
      </c>
      <c r="X6" s="87">
        <v>9.75</v>
      </c>
      <c r="Y6" s="87">
        <v>13.75</v>
      </c>
      <c r="Z6" s="87">
        <v>17.75</v>
      </c>
      <c r="AA6" s="87">
        <v>21.75</v>
      </c>
      <c r="AB6" s="87">
        <v>29.75</v>
      </c>
      <c r="AC6" s="87">
        <v>33.75</v>
      </c>
      <c r="AD6" s="87">
        <v>45.75</v>
      </c>
      <c r="AE6" s="87">
        <v>57.75</v>
      </c>
    </row>
    <row r="7" spans="1:31" x14ac:dyDescent="0.25">
      <c r="A7">
        <v>3.875</v>
      </c>
      <c r="C7" s="53" t="s">
        <v>9</v>
      </c>
      <c r="D7" s="56">
        <f t="shared" si="8"/>
        <v>10.875</v>
      </c>
      <c r="E7" s="56">
        <f t="shared" si="1"/>
        <v>13</v>
      </c>
      <c r="F7" s="56">
        <f t="shared" si="2"/>
        <v>17</v>
      </c>
      <c r="G7" s="56">
        <f t="shared" si="3"/>
        <v>21</v>
      </c>
      <c r="H7" s="56">
        <f t="shared" si="4"/>
        <v>29</v>
      </c>
      <c r="I7" s="56">
        <f t="shared" si="5"/>
        <v>33</v>
      </c>
      <c r="J7" s="56">
        <f t="shared" si="6"/>
        <v>45</v>
      </c>
      <c r="K7" s="56">
        <f t="shared" si="7"/>
        <v>57</v>
      </c>
      <c r="N7" s="47">
        <v>1806</v>
      </c>
      <c r="O7" s="17">
        <f t="shared" ref="O7:O8" si="10">D$1+$A6/2</f>
        <v>13.125</v>
      </c>
      <c r="P7" s="17">
        <f t="shared" ref="P7:P8" si="11">E$1+$A6/2</f>
        <v>17.125</v>
      </c>
      <c r="Q7" s="17">
        <f t="shared" ref="Q7:Q8" si="12">G$1+$A6/2</f>
        <v>25.125</v>
      </c>
      <c r="R7" s="17">
        <f t="shared" ref="R7:R8" si="13">H$1+$A6/2</f>
        <v>33.125</v>
      </c>
      <c r="S7" s="17">
        <f t="shared" ref="S7:S8" si="14">I$1+$A6/2</f>
        <v>37.125</v>
      </c>
      <c r="T7" s="17">
        <f t="shared" ref="T7:T8" si="15">J$1+$A6/2</f>
        <v>49.125</v>
      </c>
      <c r="W7" t="s">
        <v>16</v>
      </c>
      <c r="X7">
        <f t="shared" ref="X7" si="16">$D$2-$A$17</f>
        <v>6</v>
      </c>
      <c r="Y7">
        <f t="shared" ref="Y7" si="17">$E$2-$A$17</f>
        <v>10</v>
      </c>
      <c r="Z7">
        <f t="shared" ref="Z7" si="18">$F$2-$A$17</f>
        <v>14</v>
      </c>
      <c r="AA7">
        <f t="shared" ref="AA7" si="19">$G$2-$A$17</f>
        <v>18</v>
      </c>
      <c r="AB7">
        <f t="shared" ref="AB7" si="20">$H$2-$A$17</f>
        <v>26</v>
      </c>
      <c r="AC7">
        <f t="shared" ref="AC7" si="21">$I$2-$A$17</f>
        <v>30</v>
      </c>
      <c r="AD7">
        <f t="shared" ref="AD7" si="22">$J$2-$A$17</f>
        <v>42</v>
      </c>
      <c r="AE7">
        <f t="shared" ref="AE7" si="23">$K$2-$A$17</f>
        <v>54</v>
      </c>
    </row>
    <row r="8" spans="1:31" ht="15.75" thickBot="1" x14ac:dyDescent="0.3">
      <c r="A8">
        <v>2.25</v>
      </c>
      <c r="N8" s="47" t="s">
        <v>9</v>
      </c>
      <c r="O8" s="68">
        <f t="shared" si="10"/>
        <v>13.9375</v>
      </c>
      <c r="P8" s="68">
        <f t="shared" si="11"/>
        <v>17.9375</v>
      </c>
      <c r="Q8" s="36">
        <f t="shared" si="12"/>
        <v>25.9375</v>
      </c>
      <c r="R8" s="68">
        <f t="shared" si="13"/>
        <v>33.9375</v>
      </c>
      <c r="S8" s="36">
        <f t="shared" si="14"/>
        <v>37.9375</v>
      </c>
      <c r="T8" s="36">
        <f t="shared" si="15"/>
        <v>49.9375</v>
      </c>
      <c r="U8" s="78"/>
      <c r="W8" t="s">
        <v>29</v>
      </c>
      <c r="X8" s="83">
        <f t="shared" ref="X8" si="24">$D$2-$A$23/2-0.75</f>
        <v>8.25</v>
      </c>
      <c r="Y8" s="83">
        <f>$E$2-$A$23/2-0.75</f>
        <v>12.25</v>
      </c>
      <c r="Z8" s="83">
        <f>$F$2-$A$23/2-0.75</f>
        <v>16.25</v>
      </c>
      <c r="AA8" s="83">
        <f>$G$2-$A$23/2-0.75</f>
        <v>20.25</v>
      </c>
      <c r="AB8" s="83">
        <f>$H$2-$A$23/2-0.75</f>
        <v>28.25</v>
      </c>
      <c r="AC8" s="83">
        <f>$I$2-$A$23/2-0.75</f>
        <v>32.25</v>
      </c>
      <c r="AD8" s="83">
        <f>$J$2-$A$23/2-0.75</f>
        <v>44.25</v>
      </c>
      <c r="AE8" s="83">
        <f>$K$2-$A$23/2-0.75</f>
        <v>56.25</v>
      </c>
    </row>
    <row r="9" spans="1:31" x14ac:dyDescent="0.25">
      <c r="B9" s="27"/>
      <c r="C9" s="80" t="s">
        <v>26</v>
      </c>
      <c r="D9" s="81"/>
      <c r="E9" s="3"/>
      <c r="F9" s="3"/>
      <c r="G9" s="3"/>
      <c r="H9" s="3"/>
      <c r="I9" s="3"/>
      <c r="J9" s="3"/>
      <c r="K9" s="4"/>
      <c r="O9" s="22"/>
      <c r="P9" s="62"/>
      <c r="R9" s="60"/>
      <c r="U9" s="46"/>
      <c r="V9" s="46"/>
    </row>
    <row r="10" spans="1:31" ht="15.75" thickBot="1" x14ac:dyDescent="0.3">
      <c r="C10" s="54" t="s">
        <v>1</v>
      </c>
      <c r="D10" s="55" t="s">
        <v>2</v>
      </c>
      <c r="E10" s="55" t="s">
        <v>3</v>
      </c>
      <c r="F10" s="55" t="s">
        <v>4</v>
      </c>
      <c r="G10" s="55" t="s">
        <v>5</v>
      </c>
      <c r="H10" s="55" t="s">
        <v>15</v>
      </c>
      <c r="I10" s="55" t="s">
        <v>6</v>
      </c>
      <c r="J10" s="55" t="s">
        <v>7</v>
      </c>
      <c r="K10" s="55" t="s">
        <v>8</v>
      </c>
      <c r="N10" s="2" t="s">
        <v>16</v>
      </c>
      <c r="O10" s="3"/>
      <c r="P10" s="3"/>
      <c r="Q10" s="3"/>
      <c r="R10" s="3"/>
      <c r="S10" s="3"/>
      <c r="T10" s="3"/>
      <c r="U10" s="45"/>
      <c r="W10" s="85" t="s">
        <v>32</v>
      </c>
    </row>
    <row r="11" spans="1:31" ht="15.75" thickBot="1" x14ac:dyDescent="0.3">
      <c r="C11" s="53" t="s">
        <v>0</v>
      </c>
      <c r="D11" s="33">
        <f t="shared" ref="D11:D13" si="25">$D$1-$A$5/2</f>
        <v>9</v>
      </c>
      <c r="E11" s="34">
        <f t="shared" ref="E11:E13" si="26">$E$1-$A$5/2</f>
        <v>13</v>
      </c>
      <c r="F11" s="34">
        <f t="shared" ref="F11:F13" si="27">$F$1-$A$5/2</f>
        <v>17</v>
      </c>
      <c r="G11" s="34">
        <f t="shared" ref="G11:G13" si="28">$G$1-$A$5/2</f>
        <v>21</v>
      </c>
      <c r="H11" s="34">
        <f t="shared" ref="H11:H13" si="29">$H$1-$A$5/2</f>
        <v>29</v>
      </c>
      <c r="I11" s="34">
        <f t="shared" ref="I11:I13" si="30">$I$1-$A$5/2</f>
        <v>33</v>
      </c>
      <c r="J11" s="34">
        <f t="shared" ref="J11:J13" si="31">$J$1-$A$5/2</f>
        <v>45</v>
      </c>
      <c r="K11" s="34">
        <f t="shared" ref="K11:K13" si="32">$K$1-$A$5/2</f>
        <v>57</v>
      </c>
      <c r="N11" s="70" t="s">
        <v>19</v>
      </c>
      <c r="O11" s="71" t="s">
        <v>2</v>
      </c>
      <c r="P11" s="74" t="s">
        <v>3</v>
      </c>
      <c r="Q11" s="71" t="s">
        <v>5</v>
      </c>
      <c r="R11" s="75" t="s">
        <v>15</v>
      </c>
      <c r="S11" s="71" t="s">
        <v>6</v>
      </c>
      <c r="T11" s="71" t="s">
        <v>7</v>
      </c>
      <c r="U11" s="45"/>
      <c r="W11" s="82" t="s">
        <v>28</v>
      </c>
      <c r="X11" s="82" t="s">
        <v>2</v>
      </c>
      <c r="Y11" s="82" t="s">
        <v>3</v>
      </c>
      <c r="Z11" s="82" t="s">
        <v>4</v>
      </c>
      <c r="AA11" s="82" t="s">
        <v>5</v>
      </c>
      <c r="AB11" s="82" t="s">
        <v>15</v>
      </c>
      <c r="AC11" s="82" t="s">
        <v>6</v>
      </c>
      <c r="AD11" s="82" t="s">
        <v>7</v>
      </c>
      <c r="AE11" s="82" t="s">
        <v>8</v>
      </c>
    </row>
    <row r="12" spans="1:31" ht="15.75" thickTop="1" x14ac:dyDescent="0.25">
      <c r="C12" s="53">
        <v>1806</v>
      </c>
      <c r="D12" s="32">
        <f t="shared" si="25"/>
        <v>9</v>
      </c>
      <c r="E12" s="9">
        <f t="shared" si="26"/>
        <v>13</v>
      </c>
      <c r="F12" s="9">
        <f t="shared" si="27"/>
        <v>17</v>
      </c>
      <c r="G12" s="9">
        <f t="shared" si="28"/>
        <v>21</v>
      </c>
      <c r="H12" s="9">
        <f t="shared" si="29"/>
        <v>29</v>
      </c>
      <c r="I12" s="9">
        <f t="shared" si="30"/>
        <v>33</v>
      </c>
      <c r="J12" s="9">
        <f t="shared" si="31"/>
        <v>45</v>
      </c>
      <c r="K12" s="9">
        <f t="shared" si="32"/>
        <v>57</v>
      </c>
      <c r="N12" s="69" t="s">
        <v>18</v>
      </c>
      <c r="O12" s="63"/>
      <c r="P12" s="64"/>
      <c r="Q12" s="63"/>
      <c r="R12" s="58"/>
      <c r="S12" s="63"/>
      <c r="T12" s="63"/>
      <c r="W12" t="s">
        <v>13</v>
      </c>
      <c r="X12" s="84">
        <f>D$2-$A$6/2+0.75</f>
        <v>11.625</v>
      </c>
      <c r="Y12" s="84">
        <f t="shared" ref="Y12:AE12" si="33">E$2-$A$6/2+0.75</f>
        <v>15.625</v>
      </c>
      <c r="Z12" s="84">
        <f t="shared" si="33"/>
        <v>19.625</v>
      </c>
      <c r="AA12" s="84">
        <f t="shared" si="33"/>
        <v>23.625</v>
      </c>
      <c r="AB12" s="84">
        <f t="shared" si="33"/>
        <v>31.625</v>
      </c>
      <c r="AC12" s="84">
        <f t="shared" si="33"/>
        <v>35.625</v>
      </c>
      <c r="AD12" s="84">
        <f t="shared" si="33"/>
        <v>47.625</v>
      </c>
      <c r="AE12" s="84">
        <f t="shared" si="33"/>
        <v>59.625</v>
      </c>
    </row>
    <row r="13" spans="1:31" x14ac:dyDescent="0.25">
      <c r="C13" s="53" t="s">
        <v>9</v>
      </c>
      <c r="D13" s="57">
        <f t="shared" si="25"/>
        <v>9</v>
      </c>
      <c r="E13" s="56">
        <f t="shared" si="26"/>
        <v>13</v>
      </c>
      <c r="F13" s="56">
        <f t="shared" si="27"/>
        <v>17</v>
      </c>
      <c r="G13" s="56">
        <f t="shared" si="28"/>
        <v>21</v>
      </c>
      <c r="H13" s="56">
        <f t="shared" si="29"/>
        <v>29</v>
      </c>
      <c r="I13" s="56">
        <f t="shared" si="30"/>
        <v>33</v>
      </c>
      <c r="J13" s="56">
        <f t="shared" si="31"/>
        <v>45</v>
      </c>
      <c r="K13" s="56">
        <f t="shared" si="32"/>
        <v>57</v>
      </c>
      <c r="N13" s="47" t="s">
        <v>0</v>
      </c>
      <c r="O13" s="20">
        <f t="shared" ref="O13:P15" si="34">D$2+$A17</f>
        <v>18</v>
      </c>
      <c r="P13" s="38">
        <f t="shared" si="34"/>
        <v>22</v>
      </c>
      <c r="Q13" s="20">
        <f t="shared" ref="Q13:T15" si="35">G$2+$A17</f>
        <v>30</v>
      </c>
      <c r="R13" s="15">
        <f t="shared" si="35"/>
        <v>38</v>
      </c>
      <c r="S13" s="20">
        <f t="shared" si="35"/>
        <v>42</v>
      </c>
      <c r="T13" s="20">
        <f t="shared" si="35"/>
        <v>54</v>
      </c>
      <c r="W13" t="s">
        <v>26</v>
      </c>
      <c r="X13" s="84">
        <v>11.625</v>
      </c>
      <c r="Y13" s="84">
        <v>15.625</v>
      </c>
      <c r="Z13" s="84">
        <v>19.625</v>
      </c>
      <c r="AA13" s="84">
        <v>23.625</v>
      </c>
      <c r="AB13" s="84">
        <v>31.625</v>
      </c>
      <c r="AC13" s="84">
        <v>35.625</v>
      </c>
      <c r="AD13" s="84">
        <v>47.625</v>
      </c>
      <c r="AE13" s="84">
        <v>59.625</v>
      </c>
    </row>
    <row r="14" spans="1:31" x14ac:dyDescent="0.25">
      <c r="N14" s="47">
        <v>1806</v>
      </c>
      <c r="O14" s="18">
        <f t="shared" si="34"/>
        <v>14.25</v>
      </c>
      <c r="P14" s="41">
        <f t="shared" si="34"/>
        <v>18.25</v>
      </c>
      <c r="Q14" s="18">
        <f t="shared" si="35"/>
        <v>26.25</v>
      </c>
      <c r="R14" s="13">
        <f t="shared" si="35"/>
        <v>34.25</v>
      </c>
      <c r="S14" s="18">
        <f t="shared" si="35"/>
        <v>38.25</v>
      </c>
      <c r="T14" s="18">
        <f t="shared" si="35"/>
        <v>50.25</v>
      </c>
      <c r="U14" s="46"/>
      <c r="W14" t="s">
        <v>16</v>
      </c>
      <c r="X14" s="83">
        <f>D$2-$A$18</f>
        <v>9.75</v>
      </c>
      <c r="Y14" s="83">
        <f t="shared" ref="Y14:AE14" si="36">E$2-$A$18</f>
        <v>13.75</v>
      </c>
      <c r="Z14" s="83">
        <f t="shared" si="36"/>
        <v>17.75</v>
      </c>
      <c r="AA14" s="83">
        <f t="shared" si="36"/>
        <v>21.75</v>
      </c>
      <c r="AB14" s="83">
        <f t="shared" si="36"/>
        <v>29.75</v>
      </c>
      <c r="AC14" s="83">
        <f t="shared" si="36"/>
        <v>33.75</v>
      </c>
      <c r="AD14" s="83">
        <f t="shared" si="36"/>
        <v>45.75</v>
      </c>
      <c r="AE14" s="83">
        <f t="shared" si="36"/>
        <v>57.75</v>
      </c>
    </row>
    <row r="15" spans="1:31" ht="15" customHeight="1" thickBot="1" x14ac:dyDescent="0.3">
      <c r="C15" s="79" t="s">
        <v>16</v>
      </c>
      <c r="D15" s="3"/>
      <c r="E15" s="3"/>
      <c r="F15" s="3"/>
      <c r="G15" s="3"/>
      <c r="H15" s="3"/>
      <c r="I15" s="3"/>
      <c r="J15" s="3"/>
      <c r="K15" s="4"/>
      <c r="N15" s="47" t="s">
        <v>9</v>
      </c>
      <c r="O15" s="23">
        <f t="shared" si="34"/>
        <v>15.875</v>
      </c>
      <c r="P15" s="42">
        <f t="shared" si="34"/>
        <v>19.875</v>
      </c>
      <c r="Q15" s="23">
        <f t="shared" si="35"/>
        <v>27.875</v>
      </c>
      <c r="R15" s="48">
        <f t="shared" si="35"/>
        <v>35.875</v>
      </c>
      <c r="S15" s="23">
        <f t="shared" si="35"/>
        <v>39.875</v>
      </c>
      <c r="T15" s="23">
        <f t="shared" si="35"/>
        <v>51.875</v>
      </c>
      <c r="U15" s="45"/>
      <c r="V15" s="46"/>
      <c r="W15" t="s">
        <v>29</v>
      </c>
      <c r="X15" s="84">
        <f>D$2-$A$24/2-0.75</f>
        <v>10.125</v>
      </c>
      <c r="Y15" s="84">
        <f t="shared" ref="Y15:AE15" si="37">E$2-$A$24/2-0.75</f>
        <v>14.125</v>
      </c>
      <c r="Z15" s="84">
        <f t="shared" si="37"/>
        <v>18.125</v>
      </c>
      <c r="AA15" s="84">
        <f t="shared" si="37"/>
        <v>22.125</v>
      </c>
      <c r="AB15" s="84">
        <f t="shared" si="37"/>
        <v>30.125</v>
      </c>
      <c r="AC15" s="84">
        <f t="shared" si="37"/>
        <v>34.125</v>
      </c>
      <c r="AD15" s="84">
        <f t="shared" si="37"/>
        <v>46.125</v>
      </c>
      <c r="AE15" s="84">
        <f t="shared" si="37"/>
        <v>58.125</v>
      </c>
    </row>
    <row r="16" spans="1:31" x14ac:dyDescent="0.25">
      <c r="C16" s="54" t="s">
        <v>1</v>
      </c>
      <c r="D16" s="55" t="s">
        <v>2</v>
      </c>
      <c r="E16" s="55" t="s">
        <v>3</v>
      </c>
      <c r="F16" s="55" t="s">
        <v>4</v>
      </c>
      <c r="G16" s="55" t="s">
        <v>5</v>
      </c>
      <c r="H16" s="55" t="s">
        <v>15</v>
      </c>
      <c r="I16" s="55" t="s">
        <v>6</v>
      </c>
      <c r="J16" s="55" t="s">
        <v>7</v>
      </c>
      <c r="K16" s="55" t="s">
        <v>8</v>
      </c>
      <c r="O16" s="19"/>
      <c r="P16" s="19"/>
      <c r="Q16" s="19"/>
      <c r="R16" s="59"/>
      <c r="S16" s="19"/>
      <c r="T16" s="19"/>
    </row>
    <row r="17" spans="1:31" ht="15.75" thickBot="1" x14ac:dyDescent="0.3">
      <c r="A17">
        <v>6</v>
      </c>
      <c r="C17" s="53" t="s">
        <v>0</v>
      </c>
      <c r="D17" s="15">
        <f t="shared" ref="D17:D19" si="38">$D$2-$A$17</f>
        <v>6</v>
      </c>
      <c r="E17" s="15">
        <f t="shared" ref="E17:E19" si="39">$E$2-$A$17</f>
        <v>10</v>
      </c>
      <c r="F17" s="15">
        <f t="shared" ref="F17:F19" si="40">$F$2-$A$17</f>
        <v>14</v>
      </c>
      <c r="G17" s="15">
        <f t="shared" ref="G17:G19" si="41">$G$2-$A$17</f>
        <v>18</v>
      </c>
      <c r="H17" s="15">
        <f t="shared" ref="H17:H19" si="42">$H$2-$A$17</f>
        <v>26</v>
      </c>
      <c r="I17" s="15">
        <f t="shared" ref="I17:I19" si="43">$I$2-$A$17</f>
        <v>30</v>
      </c>
      <c r="J17" s="15">
        <f t="shared" ref="J17:J19" si="44">$J$2-$A$17</f>
        <v>42</v>
      </c>
      <c r="K17" s="15">
        <f t="shared" ref="K17:K19" si="45">$K$2-$A$17</f>
        <v>54</v>
      </c>
      <c r="N17" s="2" t="s">
        <v>22</v>
      </c>
      <c r="O17" s="21"/>
      <c r="P17" s="21"/>
      <c r="Q17" s="21"/>
      <c r="R17" s="21"/>
      <c r="S17" s="21"/>
      <c r="T17" s="21"/>
      <c r="U17" s="45"/>
      <c r="W17" s="85" t="s">
        <v>31</v>
      </c>
    </row>
    <row r="18" spans="1:31" ht="15.75" thickBot="1" x14ac:dyDescent="0.3">
      <c r="A18">
        <v>2.25</v>
      </c>
      <c r="C18" s="53">
        <v>1806</v>
      </c>
      <c r="D18" s="13">
        <f t="shared" si="38"/>
        <v>6</v>
      </c>
      <c r="E18" s="13">
        <f t="shared" si="39"/>
        <v>10</v>
      </c>
      <c r="F18" s="13">
        <f t="shared" si="40"/>
        <v>14</v>
      </c>
      <c r="G18" s="13">
        <f t="shared" si="41"/>
        <v>18</v>
      </c>
      <c r="H18" s="13">
        <f t="shared" si="42"/>
        <v>26</v>
      </c>
      <c r="I18" s="13">
        <f t="shared" si="43"/>
        <v>30</v>
      </c>
      <c r="J18" s="13">
        <f t="shared" si="44"/>
        <v>42</v>
      </c>
      <c r="K18" s="13">
        <f t="shared" si="45"/>
        <v>54</v>
      </c>
      <c r="N18" s="70" t="s">
        <v>21</v>
      </c>
      <c r="O18" s="71" t="s">
        <v>2</v>
      </c>
      <c r="P18" s="74" t="s">
        <v>3</v>
      </c>
      <c r="Q18" s="71" t="s">
        <v>5</v>
      </c>
      <c r="R18" s="75" t="s">
        <v>15</v>
      </c>
      <c r="S18" s="71" t="s">
        <v>6</v>
      </c>
      <c r="T18" s="77" t="s">
        <v>7</v>
      </c>
      <c r="U18" s="45"/>
      <c r="W18" s="82" t="s">
        <v>28</v>
      </c>
      <c r="X18" s="82" t="s">
        <v>2</v>
      </c>
      <c r="Y18" s="82" t="s">
        <v>3</v>
      </c>
      <c r="Z18" s="82" t="s">
        <v>4</v>
      </c>
      <c r="AA18" s="82" t="s">
        <v>5</v>
      </c>
      <c r="AB18" s="82" t="s">
        <v>15</v>
      </c>
      <c r="AC18" s="82" t="s">
        <v>6</v>
      </c>
      <c r="AD18" s="82" t="s">
        <v>7</v>
      </c>
      <c r="AE18" s="82" t="s">
        <v>8</v>
      </c>
    </row>
    <row r="19" spans="1:31" ht="15.75" thickTop="1" x14ac:dyDescent="0.25">
      <c r="A19">
        <v>3.875</v>
      </c>
      <c r="C19" s="53" t="s">
        <v>9</v>
      </c>
      <c r="D19" s="9">
        <f t="shared" si="38"/>
        <v>6</v>
      </c>
      <c r="E19" s="9">
        <f t="shared" si="39"/>
        <v>10</v>
      </c>
      <c r="F19" s="9">
        <f t="shared" si="40"/>
        <v>14</v>
      </c>
      <c r="G19" s="9">
        <f t="shared" si="41"/>
        <v>18</v>
      </c>
      <c r="H19" s="9">
        <f t="shared" si="42"/>
        <v>26</v>
      </c>
      <c r="I19" s="9">
        <f t="shared" si="43"/>
        <v>30</v>
      </c>
      <c r="J19" s="9">
        <f t="shared" si="44"/>
        <v>42</v>
      </c>
      <c r="K19" s="9">
        <f t="shared" si="45"/>
        <v>54</v>
      </c>
      <c r="N19" s="69" t="s">
        <v>20</v>
      </c>
      <c r="O19" s="63"/>
      <c r="P19" s="64"/>
      <c r="Q19" s="63"/>
      <c r="R19" s="58"/>
      <c r="S19" s="63"/>
      <c r="T19" s="65"/>
      <c r="U19" s="99" t="s">
        <v>12</v>
      </c>
      <c r="W19" t="s">
        <v>13</v>
      </c>
      <c r="X19" s="83">
        <f>D$2-$A$8/2+0.75</f>
        <v>11.625</v>
      </c>
      <c r="Y19" s="83">
        <f t="shared" ref="Y19:AE19" si="46">E$2-$A$8/2+0.75</f>
        <v>15.625</v>
      </c>
      <c r="Z19" s="83">
        <f t="shared" si="46"/>
        <v>19.625</v>
      </c>
      <c r="AA19" s="83">
        <f t="shared" si="46"/>
        <v>23.625</v>
      </c>
      <c r="AB19" s="83">
        <f t="shared" si="46"/>
        <v>31.625</v>
      </c>
      <c r="AC19" s="83">
        <f t="shared" si="46"/>
        <v>35.625</v>
      </c>
      <c r="AD19" s="83">
        <f t="shared" si="46"/>
        <v>47.625</v>
      </c>
      <c r="AE19" s="83">
        <f t="shared" si="46"/>
        <v>59.625</v>
      </c>
    </row>
    <row r="20" spans="1:31" x14ac:dyDescent="0.25">
      <c r="N20" s="47" t="s">
        <v>0</v>
      </c>
      <c r="O20" s="18">
        <f t="shared" ref="O20:P22" si="47">D$2+$A23/2-0.75</f>
        <v>14.25</v>
      </c>
      <c r="P20" s="41">
        <f t="shared" si="47"/>
        <v>18.25</v>
      </c>
      <c r="Q20" s="18">
        <f t="shared" ref="Q20:T22" si="48">G$2+$A23/2-0.75</f>
        <v>26.25</v>
      </c>
      <c r="R20" s="13">
        <f t="shared" si="48"/>
        <v>34.25</v>
      </c>
      <c r="S20" s="18">
        <f t="shared" si="48"/>
        <v>38.25</v>
      </c>
      <c r="T20" s="50">
        <f t="shared" si="48"/>
        <v>50.25</v>
      </c>
      <c r="U20" s="99"/>
      <c r="V20" s="19"/>
      <c r="W20" t="s">
        <v>26</v>
      </c>
      <c r="X20" s="83">
        <f>D$2-$A$8/2+0.75</f>
        <v>11.625</v>
      </c>
      <c r="Y20" s="83">
        <f t="shared" ref="Y20" si="49">E$2-$A$8/2+0.75</f>
        <v>15.625</v>
      </c>
      <c r="Z20" s="83">
        <f t="shared" ref="Z20" si="50">F$2-$A$8/2+0.75</f>
        <v>19.625</v>
      </c>
      <c r="AA20" s="83">
        <f t="shared" ref="AA20" si="51">G$2-$A$8/2+0.75</f>
        <v>23.625</v>
      </c>
      <c r="AB20" s="83">
        <f t="shared" ref="AB20" si="52">H$2-$A$8/2+0.75</f>
        <v>31.625</v>
      </c>
      <c r="AC20" s="83">
        <f t="shared" ref="AC20" si="53">I$2-$A$8/2+0.75</f>
        <v>35.625</v>
      </c>
      <c r="AD20" s="83">
        <f t="shared" ref="AD20" si="54">J$2-$A$8/2+0.75</f>
        <v>47.625</v>
      </c>
      <c r="AE20" s="83">
        <f t="shared" ref="AE20" si="55">K$2-$A$8/2+0.75</f>
        <v>59.625</v>
      </c>
    </row>
    <row r="21" spans="1:31" x14ac:dyDescent="0.25">
      <c r="C21" s="80" t="s">
        <v>27</v>
      </c>
      <c r="D21" s="81"/>
      <c r="E21" s="81"/>
      <c r="F21" s="3"/>
      <c r="G21" s="3"/>
      <c r="H21" s="3"/>
      <c r="I21" s="3"/>
      <c r="J21" s="3"/>
      <c r="K21" s="4"/>
      <c r="N21" s="47">
        <v>1806</v>
      </c>
      <c r="O21" s="17">
        <f t="shared" si="47"/>
        <v>12.375</v>
      </c>
      <c r="P21" s="39">
        <f t="shared" si="47"/>
        <v>16.375</v>
      </c>
      <c r="Q21" s="17">
        <f t="shared" si="48"/>
        <v>24.375</v>
      </c>
      <c r="R21" s="9">
        <f t="shared" si="48"/>
        <v>32.375</v>
      </c>
      <c r="S21" s="17">
        <f t="shared" si="48"/>
        <v>36.375</v>
      </c>
      <c r="T21" s="48">
        <f t="shared" si="48"/>
        <v>48.375</v>
      </c>
      <c r="U21" s="99"/>
      <c r="V21" s="58"/>
      <c r="W21" t="s">
        <v>16</v>
      </c>
      <c r="X21" s="83">
        <f>D$2-$A$18</f>
        <v>9.75</v>
      </c>
      <c r="Y21" s="83">
        <f t="shared" ref="Y21" si="56">E$2-$A$18</f>
        <v>13.75</v>
      </c>
      <c r="Z21" s="83">
        <f t="shared" ref="Z21" si="57">F$2-$A$18</f>
        <v>17.75</v>
      </c>
      <c r="AA21" s="83">
        <f>G$2-$A$18</f>
        <v>21.75</v>
      </c>
      <c r="AB21" s="83">
        <f t="shared" ref="AB21" si="58">H$2-$A$18</f>
        <v>29.75</v>
      </c>
      <c r="AC21" s="83">
        <f t="shared" ref="AC21" si="59">I$2-$A$18</f>
        <v>33.75</v>
      </c>
      <c r="AD21" s="83">
        <f t="shared" ref="AD21" si="60">J$2-$A$18</f>
        <v>45.75</v>
      </c>
      <c r="AE21" s="83">
        <f t="shared" ref="AE21" si="61">K$2-$A$18</f>
        <v>57.75</v>
      </c>
    </row>
    <row r="22" spans="1:31" ht="19.5" customHeight="1" thickBot="1" x14ac:dyDescent="0.3">
      <c r="C22" s="54" t="s">
        <v>1</v>
      </c>
      <c r="D22" s="55" t="s">
        <v>2</v>
      </c>
      <c r="E22" s="55" t="s">
        <v>3</v>
      </c>
      <c r="F22" s="55" t="s">
        <v>4</v>
      </c>
      <c r="G22" s="55" t="s">
        <v>5</v>
      </c>
      <c r="H22" s="55" t="s">
        <v>15</v>
      </c>
      <c r="I22" s="55" t="s">
        <v>6</v>
      </c>
      <c r="J22" s="55" t="s">
        <v>7</v>
      </c>
      <c r="K22" s="55" t="s">
        <v>8</v>
      </c>
      <c r="N22" s="47" t="s">
        <v>9</v>
      </c>
      <c r="O22" s="36">
        <f t="shared" si="47"/>
        <v>13.1875</v>
      </c>
      <c r="P22" s="40">
        <f t="shared" si="47"/>
        <v>17.1875</v>
      </c>
      <c r="Q22" s="36">
        <f t="shared" si="48"/>
        <v>25.1875</v>
      </c>
      <c r="R22" s="56">
        <f t="shared" si="48"/>
        <v>33.1875</v>
      </c>
      <c r="S22" s="36">
        <f t="shared" si="48"/>
        <v>37.1875</v>
      </c>
      <c r="T22" s="49">
        <f t="shared" si="48"/>
        <v>49.1875</v>
      </c>
      <c r="U22" s="99"/>
      <c r="W22" t="s">
        <v>29</v>
      </c>
      <c r="X22" s="84">
        <f>D$2-$A$24/2-0.75</f>
        <v>10.125</v>
      </c>
      <c r="Y22" s="84">
        <f t="shared" ref="Y22" si="62">E$2-$A$24/2-0.75</f>
        <v>14.125</v>
      </c>
      <c r="Z22" s="84">
        <f t="shared" ref="Z22" si="63">F$2-$A$24/2-0.75</f>
        <v>18.125</v>
      </c>
      <c r="AA22" s="84">
        <f t="shared" ref="AA22" si="64">G$2-$A$24/2-0.75</f>
        <v>22.125</v>
      </c>
      <c r="AB22" s="84">
        <f t="shared" ref="AB22" si="65">H$2-$A$24/2-0.75</f>
        <v>30.125</v>
      </c>
      <c r="AC22" s="84">
        <f t="shared" ref="AC22" si="66">I$2-$A$24/2-0.75</f>
        <v>34.125</v>
      </c>
      <c r="AD22" s="84">
        <f t="shared" ref="AD22" si="67">J$2-$A$24/2-0.75</f>
        <v>46.125</v>
      </c>
      <c r="AE22" s="84">
        <f t="shared" ref="AE22" si="68">K$2-$A$24/2-0.75</f>
        <v>58.125</v>
      </c>
    </row>
    <row r="23" spans="1:31" x14ac:dyDescent="0.25">
      <c r="A23">
        <v>6</v>
      </c>
      <c r="C23" s="53" t="s">
        <v>0</v>
      </c>
      <c r="D23" s="13">
        <f t="shared" ref="D23:D25" si="69">$D$2-$A$23/2-0.75</f>
        <v>8.25</v>
      </c>
      <c r="E23" s="13">
        <f>$E$2-$A$23/2-0.75</f>
        <v>12.25</v>
      </c>
      <c r="F23" s="13">
        <f>$F$2-$A$23/2-0.75</f>
        <v>16.25</v>
      </c>
      <c r="G23" s="13">
        <f>$G$2-$A$23/2-0.75</f>
        <v>20.25</v>
      </c>
      <c r="H23" s="13">
        <f>$H$2-$A$23/2-0.75</f>
        <v>28.25</v>
      </c>
      <c r="I23" s="13">
        <f>$I$2-$A$23/2-0.75</f>
        <v>32.25</v>
      </c>
      <c r="J23" s="13">
        <f>$J$2-$A$23/2-0.75</f>
        <v>44.25</v>
      </c>
      <c r="K23" s="13">
        <f>$K$2-$A$23/2-0.75</f>
        <v>56.25</v>
      </c>
      <c r="O23" s="22"/>
      <c r="R23" s="60"/>
    </row>
    <row r="24" spans="1:31" x14ac:dyDescent="0.25">
      <c r="A24">
        <v>2.25</v>
      </c>
      <c r="C24" s="53">
        <v>1806</v>
      </c>
      <c r="D24" s="9">
        <f t="shared" si="69"/>
        <v>8.25</v>
      </c>
      <c r="E24" s="9">
        <f>E$2-$A24/2-0.75</f>
        <v>14.125</v>
      </c>
      <c r="F24" s="9">
        <f>F$2-$A24/2-0.75</f>
        <v>18.125</v>
      </c>
      <c r="G24" s="9">
        <f t="shared" ref="G24:H25" si="70">G$2-$A24/2-0.75</f>
        <v>22.125</v>
      </c>
      <c r="H24" s="9">
        <f t="shared" si="70"/>
        <v>30.125</v>
      </c>
      <c r="I24" s="9">
        <f t="shared" ref="I24:K25" si="71">I$2-$A24/2-0.75</f>
        <v>34.125</v>
      </c>
      <c r="J24" s="9">
        <f t="shared" si="71"/>
        <v>46.125</v>
      </c>
      <c r="K24" s="9">
        <f t="shared" si="71"/>
        <v>58.125</v>
      </c>
      <c r="O24" s="46"/>
      <c r="R24" s="46"/>
      <c r="W24" s="85" t="s">
        <v>30</v>
      </c>
    </row>
    <row r="25" spans="1:31" x14ac:dyDescent="0.25">
      <c r="A25">
        <v>3.875</v>
      </c>
      <c r="C25" s="53" t="s">
        <v>9</v>
      </c>
      <c r="D25" s="56">
        <f t="shared" si="69"/>
        <v>8.25</v>
      </c>
      <c r="E25" s="56">
        <f>E$2-$A25/2-0.75</f>
        <v>13.3125</v>
      </c>
      <c r="F25" s="56">
        <f>F$2-$A25/2-0.75</f>
        <v>17.3125</v>
      </c>
      <c r="G25" s="56">
        <f t="shared" si="70"/>
        <v>21.3125</v>
      </c>
      <c r="H25" s="56">
        <f t="shared" si="70"/>
        <v>29.3125</v>
      </c>
      <c r="I25" s="56">
        <f t="shared" si="71"/>
        <v>33.3125</v>
      </c>
      <c r="J25" s="56">
        <f t="shared" si="71"/>
        <v>45.3125</v>
      </c>
      <c r="K25" s="56">
        <f t="shared" si="71"/>
        <v>57.3125</v>
      </c>
      <c r="W25" s="82" t="s">
        <v>28</v>
      </c>
      <c r="X25" s="82" t="s">
        <v>2</v>
      </c>
      <c r="Y25" s="82" t="s">
        <v>3</v>
      </c>
      <c r="Z25" s="82" t="s">
        <v>4</v>
      </c>
      <c r="AA25" s="82" t="s">
        <v>5</v>
      </c>
      <c r="AB25" s="82" t="s">
        <v>15</v>
      </c>
      <c r="AC25" s="82" t="s">
        <v>6</v>
      </c>
      <c r="AD25" s="82" t="s">
        <v>7</v>
      </c>
      <c r="AE25" s="82" t="s">
        <v>8</v>
      </c>
    </row>
    <row r="26" spans="1:31" x14ac:dyDescent="0.25">
      <c r="U26" s="46"/>
      <c r="W26" t="s">
        <v>13</v>
      </c>
      <c r="X26" s="86">
        <f>D$2-$A$7/2</f>
        <v>10.0625</v>
      </c>
      <c r="Y26" s="86">
        <f t="shared" ref="Y26:AE26" si="72">E$2-$A$7/2</f>
        <v>14.0625</v>
      </c>
      <c r="Z26" s="86">
        <f t="shared" si="72"/>
        <v>18.0625</v>
      </c>
      <c r="AA26" s="86">
        <f t="shared" si="72"/>
        <v>22.0625</v>
      </c>
      <c r="AB26" s="86">
        <f t="shared" si="72"/>
        <v>30.0625</v>
      </c>
      <c r="AC26" s="86">
        <f t="shared" si="72"/>
        <v>34.0625</v>
      </c>
      <c r="AD26" s="86">
        <f t="shared" si="72"/>
        <v>46.0625</v>
      </c>
      <c r="AE26" s="86">
        <f t="shared" si="72"/>
        <v>58.0625</v>
      </c>
    </row>
    <row r="27" spans="1:31" ht="15.75" thickBot="1" x14ac:dyDescent="0.3">
      <c r="D27">
        <f>D28+0.75</f>
        <v>12.75</v>
      </c>
      <c r="E27">
        <f t="shared" ref="E27" si="73">E28+0.75</f>
        <v>16.75</v>
      </c>
      <c r="F27">
        <f t="shared" ref="F27" si="74">F28+0.75</f>
        <v>20.75</v>
      </c>
      <c r="G27">
        <f t="shared" ref="G27" si="75">G28+0.75</f>
        <v>24.75</v>
      </c>
      <c r="H27">
        <f t="shared" ref="H27" si="76">H28+0.75</f>
        <v>32.75</v>
      </c>
      <c r="I27">
        <f t="shared" ref="I27" si="77">I28+0.75</f>
        <v>36.75</v>
      </c>
      <c r="J27">
        <f t="shared" ref="J27" si="78">J28+0.75</f>
        <v>48.75</v>
      </c>
      <c r="K27">
        <f t="shared" ref="K27" si="79">K28+0.75</f>
        <v>60.75</v>
      </c>
      <c r="N27" s="2" t="s">
        <v>23</v>
      </c>
      <c r="O27" s="3"/>
      <c r="P27" s="67"/>
      <c r="Q27" s="3"/>
      <c r="R27" s="67"/>
      <c r="S27" s="3"/>
      <c r="T27" s="66"/>
      <c r="W27" t="s">
        <v>26</v>
      </c>
      <c r="X27" s="86">
        <f>D$1-$A$7/2</f>
        <v>10.0625</v>
      </c>
      <c r="Y27" s="86">
        <f>E$1-$A$7/2</f>
        <v>14.0625</v>
      </c>
      <c r="Z27" s="86">
        <f t="shared" ref="Z27:AE27" si="80">F$1-$A$7/2</f>
        <v>18.0625</v>
      </c>
      <c r="AA27" s="86">
        <f t="shared" si="80"/>
        <v>22.0625</v>
      </c>
      <c r="AB27" s="86">
        <f t="shared" si="80"/>
        <v>30.0625</v>
      </c>
      <c r="AC27" s="86">
        <f t="shared" si="80"/>
        <v>34.0625</v>
      </c>
      <c r="AD27" s="86">
        <f t="shared" si="80"/>
        <v>46.0625</v>
      </c>
      <c r="AE27" s="86">
        <f t="shared" si="80"/>
        <v>58.0625</v>
      </c>
    </row>
    <row r="28" spans="1:31" ht="15.75" thickBot="1" x14ac:dyDescent="0.3">
      <c r="D28">
        <v>12</v>
      </c>
      <c r="E28">
        <v>16</v>
      </c>
      <c r="F28">
        <v>20</v>
      </c>
      <c r="G28">
        <v>24</v>
      </c>
      <c r="H28">
        <v>32</v>
      </c>
      <c r="I28">
        <v>36</v>
      </c>
      <c r="J28">
        <v>48</v>
      </c>
      <c r="K28">
        <v>60</v>
      </c>
      <c r="N28" s="70" t="s">
        <v>21</v>
      </c>
      <c r="O28" s="71" t="s">
        <v>2</v>
      </c>
      <c r="P28" s="72" t="s">
        <v>3</v>
      </c>
      <c r="Q28" s="71" t="s">
        <v>5</v>
      </c>
      <c r="R28" s="72" t="s">
        <v>15</v>
      </c>
      <c r="S28" s="71" t="s">
        <v>6</v>
      </c>
      <c r="T28" s="73" t="s">
        <v>7</v>
      </c>
      <c r="V28" s="46"/>
      <c r="W28" t="s">
        <v>16</v>
      </c>
      <c r="X28" s="84">
        <f>D$2-$A$19</f>
        <v>8.125</v>
      </c>
      <c r="Y28" s="84">
        <f t="shared" ref="Y28:AE28" si="81">E$2-$A$19</f>
        <v>12.125</v>
      </c>
      <c r="Z28" s="84">
        <f t="shared" si="81"/>
        <v>16.125</v>
      </c>
      <c r="AA28" s="84">
        <f t="shared" si="81"/>
        <v>20.125</v>
      </c>
      <c r="AB28" s="84">
        <f t="shared" si="81"/>
        <v>28.125</v>
      </c>
      <c r="AC28" s="84">
        <f t="shared" si="81"/>
        <v>32.125</v>
      </c>
      <c r="AD28" s="84">
        <f t="shared" si="81"/>
        <v>44.125</v>
      </c>
      <c r="AE28" s="84">
        <f t="shared" si="81"/>
        <v>56.125</v>
      </c>
    </row>
    <row r="29" spans="1:31" ht="15.75" thickTop="1" x14ac:dyDescent="0.25">
      <c r="C29" s="2" t="s">
        <v>13</v>
      </c>
      <c r="D29" s="3"/>
      <c r="E29" s="3"/>
      <c r="F29" s="3"/>
      <c r="G29" s="3"/>
      <c r="H29" s="3"/>
      <c r="I29" s="3"/>
      <c r="J29" s="3"/>
      <c r="K29" s="4"/>
      <c r="N29" s="69" t="s">
        <v>20</v>
      </c>
      <c r="O29" s="26"/>
      <c r="P29" s="43"/>
      <c r="Q29" s="26"/>
      <c r="R29" s="43"/>
      <c r="S29" s="26"/>
      <c r="T29" s="51"/>
      <c r="V29" s="46"/>
      <c r="W29" t="s">
        <v>29</v>
      </c>
      <c r="X29" s="86">
        <f>D$2-$A$25/2-0.75</f>
        <v>9.3125</v>
      </c>
      <c r="Y29" s="86">
        <f t="shared" ref="Y29:AE29" si="82">E$2-$A$25/2-0.75</f>
        <v>13.3125</v>
      </c>
      <c r="Z29" s="86">
        <f t="shared" si="82"/>
        <v>17.3125</v>
      </c>
      <c r="AA29" s="86">
        <f t="shared" si="82"/>
        <v>21.3125</v>
      </c>
      <c r="AB29" s="86">
        <f t="shared" si="82"/>
        <v>29.3125</v>
      </c>
      <c r="AC29" s="86">
        <f t="shared" si="82"/>
        <v>33.3125</v>
      </c>
      <c r="AD29" s="86">
        <f t="shared" si="82"/>
        <v>45.3125</v>
      </c>
      <c r="AE29" s="86">
        <f t="shared" si="82"/>
        <v>57.3125</v>
      </c>
    </row>
    <row r="30" spans="1:31" x14ac:dyDescent="0.25">
      <c r="C30" s="1" t="s">
        <v>1</v>
      </c>
      <c r="D30" s="7" t="s">
        <v>2</v>
      </c>
      <c r="E30" s="7" t="s">
        <v>3</v>
      </c>
      <c r="F30" s="7" t="s">
        <v>4</v>
      </c>
      <c r="G30" s="7" t="s">
        <v>5</v>
      </c>
      <c r="H30" s="7" t="s">
        <v>15</v>
      </c>
      <c r="I30" s="7" t="s">
        <v>6</v>
      </c>
      <c r="J30" s="7" t="s">
        <v>7</v>
      </c>
      <c r="K30" s="8" t="s">
        <v>8</v>
      </c>
      <c r="N30" s="47" t="s">
        <v>0</v>
      </c>
      <c r="O30" s="26">
        <f>D$2+$A31/2</f>
        <v>15</v>
      </c>
      <c r="P30" s="43">
        <f t="shared" ref="P30:P32" si="83">E$2+$A31/2</f>
        <v>19</v>
      </c>
      <c r="Q30" s="26">
        <f t="shared" ref="Q30:Q32" si="84">G$2+$A31/2</f>
        <v>27</v>
      </c>
      <c r="R30" s="37">
        <f t="shared" ref="R30:R32" si="85">H$2+$A31/2</f>
        <v>35</v>
      </c>
      <c r="S30" s="26">
        <f t="shared" ref="S30:S32" si="86">I$2+$A31/2</f>
        <v>39</v>
      </c>
      <c r="T30" s="51">
        <f t="shared" ref="T30:T32" si="87">J$2+$A31/2</f>
        <v>51</v>
      </c>
      <c r="V30" s="46"/>
    </row>
    <row r="31" spans="1:31" x14ac:dyDescent="0.25">
      <c r="A31">
        <v>6</v>
      </c>
      <c r="C31" s="5" t="s">
        <v>0</v>
      </c>
      <c r="D31" s="15">
        <f>D$2-$A31/2</f>
        <v>9</v>
      </c>
      <c r="E31" s="15">
        <f t="shared" ref="E31:K33" si="88">E$2-$A31/2</f>
        <v>13</v>
      </c>
      <c r="F31" s="15">
        <f t="shared" si="88"/>
        <v>17</v>
      </c>
      <c r="G31" s="15">
        <f t="shared" si="88"/>
        <v>21</v>
      </c>
      <c r="H31" s="15">
        <f t="shared" si="88"/>
        <v>29</v>
      </c>
      <c r="I31" s="15">
        <f t="shared" si="88"/>
        <v>33</v>
      </c>
      <c r="J31" s="15">
        <f t="shared" si="88"/>
        <v>45</v>
      </c>
      <c r="K31" s="16">
        <f t="shared" si="88"/>
        <v>57</v>
      </c>
      <c r="N31" s="47">
        <v>1806</v>
      </c>
      <c r="O31" s="26">
        <f t="shared" ref="O31:O32" si="89">D$2+$A32/2</f>
        <v>13.125</v>
      </c>
      <c r="P31" s="43">
        <f t="shared" si="83"/>
        <v>17.125</v>
      </c>
      <c r="Q31" s="26">
        <f t="shared" si="84"/>
        <v>25.125</v>
      </c>
      <c r="R31" s="37">
        <f t="shared" si="85"/>
        <v>33.125</v>
      </c>
      <c r="S31" s="26">
        <f t="shared" si="86"/>
        <v>37.125</v>
      </c>
      <c r="T31" s="51">
        <f t="shared" si="87"/>
        <v>49.125</v>
      </c>
    </row>
    <row r="32" spans="1:31" ht="15.75" thickBot="1" x14ac:dyDescent="0.3">
      <c r="A32">
        <v>2.25</v>
      </c>
      <c r="C32" s="5">
        <v>1806</v>
      </c>
      <c r="D32" s="9">
        <f t="shared" ref="D32:D33" si="90">D$2-$A32/2</f>
        <v>10.875</v>
      </c>
      <c r="E32" s="9">
        <f t="shared" si="88"/>
        <v>14.875</v>
      </c>
      <c r="F32" s="9">
        <f t="shared" si="88"/>
        <v>18.875</v>
      </c>
      <c r="G32" s="9">
        <f t="shared" si="88"/>
        <v>22.875</v>
      </c>
      <c r="H32" s="9">
        <f t="shared" si="88"/>
        <v>30.875</v>
      </c>
      <c r="I32" s="9">
        <f t="shared" si="88"/>
        <v>34.875</v>
      </c>
      <c r="J32" s="9">
        <f t="shared" si="88"/>
        <v>46.875</v>
      </c>
      <c r="K32" s="10">
        <f t="shared" si="88"/>
        <v>58.875</v>
      </c>
      <c r="N32" s="47" t="s">
        <v>9</v>
      </c>
      <c r="O32" s="25">
        <f t="shared" si="89"/>
        <v>13.9375</v>
      </c>
      <c r="P32" s="61">
        <f t="shared" si="83"/>
        <v>17.9375</v>
      </c>
      <c r="Q32" s="25">
        <f t="shared" si="84"/>
        <v>25.9375</v>
      </c>
      <c r="R32" s="26">
        <f t="shared" si="85"/>
        <v>33.9375</v>
      </c>
      <c r="S32" s="25">
        <f t="shared" si="86"/>
        <v>37.9375</v>
      </c>
      <c r="T32" s="52">
        <f t="shared" si="87"/>
        <v>49.9375</v>
      </c>
    </row>
    <row r="33" spans="1:29" x14ac:dyDescent="0.25">
      <c r="A33">
        <v>3.875</v>
      </c>
      <c r="C33" s="6" t="s">
        <v>9</v>
      </c>
      <c r="D33" s="29">
        <f t="shared" si="90"/>
        <v>10.0625</v>
      </c>
      <c r="E33" s="29">
        <f t="shared" si="88"/>
        <v>14.0625</v>
      </c>
      <c r="F33" s="29">
        <f t="shared" si="88"/>
        <v>18.0625</v>
      </c>
      <c r="G33" s="29">
        <f t="shared" si="88"/>
        <v>22.0625</v>
      </c>
      <c r="H33" s="29">
        <f t="shared" si="88"/>
        <v>30.0625</v>
      </c>
      <c r="I33" s="29">
        <f t="shared" si="88"/>
        <v>34.0625</v>
      </c>
      <c r="J33" s="29">
        <f t="shared" si="88"/>
        <v>46.0625</v>
      </c>
      <c r="K33" s="30">
        <f t="shared" si="88"/>
        <v>58.0625</v>
      </c>
      <c r="O33" s="22"/>
      <c r="R33" s="62"/>
      <c r="U33" s="46"/>
      <c r="X33" s="88"/>
      <c r="Y33" s="88"/>
      <c r="Z33" s="88"/>
      <c r="AA33" s="88"/>
      <c r="AB33" s="88"/>
      <c r="AC33" s="88"/>
    </row>
    <row r="34" spans="1:29" ht="15.75" thickBot="1" x14ac:dyDescent="0.3">
      <c r="N34" s="2" t="s">
        <v>24</v>
      </c>
      <c r="O34" s="3"/>
      <c r="P34" s="3"/>
      <c r="Q34" s="3"/>
      <c r="R34" s="3"/>
      <c r="S34" s="3"/>
      <c r="T34" s="66"/>
      <c r="U34" s="46"/>
      <c r="V34" s="46"/>
      <c r="X34" s="88"/>
      <c r="Y34" s="88"/>
      <c r="Z34" s="88"/>
      <c r="AA34" s="88"/>
      <c r="AB34" s="88"/>
      <c r="AC34" s="88"/>
    </row>
    <row r="35" spans="1:29" ht="15.75" thickBot="1" x14ac:dyDescent="0.3">
      <c r="B35" s="27"/>
      <c r="C35" s="28" t="s">
        <v>14</v>
      </c>
      <c r="D35" s="3"/>
      <c r="E35" s="3"/>
      <c r="F35" s="3"/>
      <c r="G35" s="3"/>
      <c r="H35" s="3"/>
      <c r="I35" s="3"/>
      <c r="J35" s="3"/>
      <c r="K35" s="4"/>
      <c r="N35" s="70" t="s">
        <v>21</v>
      </c>
      <c r="O35" s="71" t="s">
        <v>2</v>
      </c>
      <c r="P35" s="74" t="s">
        <v>3</v>
      </c>
      <c r="Q35" s="71" t="s">
        <v>5</v>
      </c>
      <c r="R35" s="75" t="s">
        <v>15</v>
      </c>
      <c r="S35" s="71" t="s">
        <v>6</v>
      </c>
      <c r="T35" s="73" t="s">
        <v>7</v>
      </c>
      <c r="V35" s="46"/>
      <c r="X35" s="88"/>
      <c r="Y35" s="88"/>
      <c r="Z35" s="88"/>
      <c r="AA35" s="88"/>
      <c r="AB35" s="88"/>
      <c r="AC35" s="88"/>
    </row>
    <row r="36" spans="1:29" ht="15.75" thickTop="1" x14ac:dyDescent="0.25">
      <c r="C36" s="1" t="s">
        <v>1</v>
      </c>
      <c r="D36" s="7" t="s">
        <v>2</v>
      </c>
      <c r="E36" s="7" t="s">
        <v>3</v>
      </c>
      <c r="F36" s="7" t="s">
        <v>4</v>
      </c>
      <c r="G36" s="7" t="s">
        <v>5</v>
      </c>
      <c r="H36" s="7" t="s">
        <v>15</v>
      </c>
      <c r="I36" s="7" t="s">
        <v>6</v>
      </c>
      <c r="J36" s="7" t="s">
        <v>7</v>
      </c>
      <c r="K36" s="8" t="s">
        <v>8</v>
      </c>
      <c r="N36" s="69" t="s">
        <v>20</v>
      </c>
      <c r="O36" s="26"/>
      <c r="P36" s="43"/>
      <c r="Q36" s="26"/>
      <c r="R36" s="43"/>
      <c r="S36" s="26"/>
      <c r="T36" s="51"/>
      <c r="X36" s="88"/>
      <c r="Y36" s="88"/>
      <c r="Z36" s="88"/>
      <c r="AA36" s="88"/>
      <c r="AB36" s="88"/>
      <c r="AC36" s="88"/>
    </row>
    <row r="37" spans="1:29" x14ac:dyDescent="0.25">
      <c r="C37" s="5" t="s">
        <v>0</v>
      </c>
      <c r="D37" s="33">
        <f>D$1-$A31/2</f>
        <v>9</v>
      </c>
      <c r="E37" s="34">
        <f t="shared" ref="E37:K37" si="91">E$1-$A31/2</f>
        <v>13</v>
      </c>
      <c r="F37" s="34">
        <f t="shared" si="91"/>
        <v>17</v>
      </c>
      <c r="G37" s="34">
        <f t="shared" si="91"/>
        <v>21</v>
      </c>
      <c r="H37" s="34">
        <f t="shared" si="91"/>
        <v>29</v>
      </c>
      <c r="I37" s="34">
        <f t="shared" si="91"/>
        <v>33</v>
      </c>
      <c r="J37" s="34">
        <f t="shared" si="91"/>
        <v>45</v>
      </c>
      <c r="K37" s="35">
        <f t="shared" si="91"/>
        <v>57</v>
      </c>
      <c r="N37" s="47" t="s">
        <v>0</v>
      </c>
      <c r="O37" s="26">
        <f>D$2+$A31/2-0.75</f>
        <v>14.25</v>
      </c>
      <c r="P37" s="26">
        <f t="shared" ref="P37:P39" si="92">E$2+$A31/2-0.75</f>
        <v>18.25</v>
      </c>
      <c r="Q37" s="26">
        <f>G$2+$A31/2-0.75</f>
        <v>26.25</v>
      </c>
      <c r="R37" s="26">
        <f t="shared" ref="R37:T39" si="93">H$2+$A31/2-0.75</f>
        <v>34.25</v>
      </c>
      <c r="S37" s="26">
        <f t="shared" si="93"/>
        <v>38.25</v>
      </c>
      <c r="T37" s="26">
        <f t="shared" si="93"/>
        <v>50.25</v>
      </c>
      <c r="X37" s="88"/>
      <c r="Y37" s="88"/>
      <c r="Z37" s="88"/>
      <c r="AA37" s="88"/>
      <c r="AB37" s="88"/>
      <c r="AC37" s="88"/>
    </row>
    <row r="38" spans="1:29" x14ac:dyDescent="0.25">
      <c r="C38" s="5">
        <v>1806</v>
      </c>
      <c r="D38" s="32">
        <f t="shared" ref="D38:K38" si="94">D$1-$A32/2</f>
        <v>10.875</v>
      </c>
      <c r="E38" s="9">
        <f t="shared" si="94"/>
        <v>14.875</v>
      </c>
      <c r="F38" s="9">
        <f t="shared" si="94"/>
        <v>18.875</v>
      </c>
      <c r="G38" s="9">
        <f t="shared" si="94"/>
        <v>22.875</v>
      </c>
      <c r="H38" s="9">
        <f t="shared" si="94"/>
        <v>30.875</v>
      </c>
      <c r="I38" s="9">
        <f t="shared" si="94"/>
        <v>34.875</v>
      </c>
      <c r="J38" s="9">
        <f t="shared" si="94"/>
        <v>46.875</v>
      </c>
      <c r="K38" s="10">
        <f t="shared" si="94"/>
        <v>58.875</v>
      </c>
      <c r="N38" s="47">
        <v>1806</v>
      </c>
      <c r="O38" s="26">
        <f t="shared" ref="O38:O39" si="95">D$2+$A32/2-0.75</f>
        <v>12.375</v>
      </c>
      <c r="P38" s="26">
        <f t="shared" si="92"/>
        <v>16.375</v>
      </c>
      <c r="Q38" s="26">
        <f t="shared" ref="Q38:Q39" si="96">G$2+$A32/2-0.75</f>
        <v>24.375</v>
      </c>
      <c r="R38" s="26">
        <f t="shared" si="93"/>
        <v>32.375</v>
      </c>
      <c r="S38" s="26">
        <f t="shared" si="93"/>
        <v>36.375</v>
      </c>
      <c r="T38" s="26">
        <f t="shared" si="93"/>
        <v>48.375</v>
      </c>
      <c r="X38" s="88"/>
      <c r="Y38" s="88"/>
      <c r="Z38" s="88"/>
      <c r="AA38" s="88"/>
      <c r="AB38" s="88"/>
      <c r="AC38" s="88"/>
    </row>
    <row r="39" spans="1:29" ht="15.75" thickBot="1" x14ac:dyDescent="0.3">
      <c r="C39" s="6" t="s">
        <v>9</v>
      </c>
      <c r="D39" s="31">
        <f t="shared" ref="D39:K39" si="97">D$1-$A33/2</f>
        <v>10.0625</v>
      </c>
      <c r="E39" s="29">
        <f t="shared" si="97"/>
        <v>14.0625</v>
      </c>
      <c r="F39" s="29">
        <f t="shared" si="97"/>
        <v>18.0625</v>
      </c>
      <c r="G39" s="29">
        <f t="shared" si="97"/>
        <v>22.0625</v>
      </c>
      <c r="H39" s="29">
        <f t="shared" si="97"/>
        <v>30.0625</v>
      </c>
      <c r="I39" s="29">
        <f t="shared" si="97"/>
        <v>34.0625</v>
      </c>
      <c r="J39" s="29">
        <f t="shared" si="97"/>
        <v>46.0625</v>
      </c>
      <c r="K39" s="30">
        <f t="shared" si="97"/>
        <v>58.0625</v>
      </c>
      <c r="N39" s="47" t="s">
        <v>9</v>
      </c>
      <c r="O39" s="25">
        <f t="shared" si="95"/>
        <v>13.1875</v>
      </c>
      <c r="P39" s="26">
        <f t="shared" si="92"/>
        <v>17.1875</v>
      </c>
      <c r="Q39" s="26">
        <f t="shared" si="96"/>
        <v>25.1875</v>
      </c>
      <c r="R39" s="61">
        <f t="shared" si="93"/>
        <v>33.1875</v>
      </c>
      <c r="S39" s="26">
        <f t="shared" si="93"/>
        <v>37.1875</v>
      </c>
      <c r="T39" s="26">
        <f t="shared" si="93"/>
        <v>49.1875</v>
      </c>
      <c r="X39" s="88"/>
      <c r="Y39" s="88"/>
      <c r="Z39" s="88"/>
      <c r="AA39" s="88"/>
      <c r="AB39" s="88"/>
      <c r="AC39" s="88"/>
    </row>
    <row r="40" spans="1:29" x14ac:dyDescent="0.25">
      <c r="P40" s="62"/>
      <c r="Q40" s="24"/>
      <c r="S40" s="24"/>
      <c r="T40" s="24"/>
      <c r="X40" s="88"/>
      <c r="Y40" s="88"/>
      <c r="Z40" s="88"/>
      <c r="AA40" s="88"/>
      <c r="AB40" s="88"/>
      <c r="AC40" s="88"/>
    </row>
    <row r="41" spans="1:29" ht="15.75" thickBot="1" x14ac:dyDescent="0.3">
      <c r="C41" s="2" t="s">
        <v>10</v>
      </c>
      <c r="D41" s="3"/>
      <c r="E41" s="3"/>
      <c r="F41" s="3"/>
      <c r="G41" s="3"/>
      <c r="H41" s="3"/>
      <c r="I41" s="3"/>
      <c r="J41" s="3"/>
      <c r="K41" s="4"/>
      <c r="N41" s="2" t="s">
        <v>16</v>
      </c>
      <c r="O41" s="3"/>
      <c r="P41" s="3"/>
      <c r="Q41" s="3"/>
      <c r="R41" s="3"/>
      <c r="S41" s="3"/>
      <c r="T41" s="3"/>
      <c r="U41" s="45"/>
      <c r="V41" s="46"/>
      <c r="X41" s="88"/>
      <c r="Y41" s="88"/>
      <c r="Z41" s="88"/>
      <c r="AA41" s="88"/>
      <c r="AB41" s="88"/>
      <c r="AC41" s="88"/>
    </row>
    <row r="42" spans="1:29" ht="15.75" thickBot="1" x14ac:dyDescent="0.3">
      <c r="C42" s="1" t="s">
        <v>1</v>
      </c>
      <c r="D42" s="7" t="s">
        <v>2</v>
      </c>
      <c r="E42" s="7" t="s">
        <v>3</v>
      </c>
      <c r="F42" s="7" t="s">
        <v>4</v>
      </c>
      <c r="G42" s="7" t="s">
        <v>5</v>
      </c>
      <c r="H42" s="7" t="s">
        <v>15</v>
      </c>
      <c r="I42" s="7" t="s">
        <v>6</v>
      </c>
      <c r="J42" s="7" t="s">
        <v>7</v>
      </c>
      <c r="K42" s="8" t="s">
        <v>8</v>
      </c>
      <c r="N42" s="70" t="s">
        <v>21</v>
      </c>
      <c r="O42" s="71" t="s">
        <v>2</v>
      </c>
      <c r="P42" s="74" t="s">
        <v>3</v>
      </c>
      <c r="Q42" s="71" t="s">
        <v>5</v>
      </c>
      <c r="R42" s="75" t="s">
        <v>15</v>
      </c>
      <c r="S42" s="71" t="s">
        <v>6</v>
      </c>
      <c r="T42" s="71" t="s">
        <v>7</v>
      </c>
      <c r="X42" s="88"/>
      <c r="Y42" s="88"/>
      <c r="Z42" s="88"/>
      <c r="AA42" s="88"/>
      <c r="AB42" s="88"/>
      <c r="AC42" s="88"/>
    </row>
    <row r="43" spans="1:29" ht="15.75" thickTop="1" x14ac:dyDescent="0.25">
      <c r="A43">
        <v>6</v>
      </c>
      <c r="C43" s="5" t="s">
        <v>0</v>
      </c>
      <c r="D43" s="15">
        <f t="shared" ref="D43:K45" si="98">D$2-$A43</f>
        <v>6</v>
      </c>
      <c r="E43" s="15">
        <f t="shared" si="98"/>
        <v>10</v>
      </c>
      <c r="F43" s="15">
        <f t="shared" si="98"/>
        <v>14</v>
      </c>
      <c r="G43" s="15">
        <f t="shared" si="98"/>
        <v>18</v>
      </c>
      <c r="H43" s="15">
        <f t="shared" si="98"/>
        <v>26</v>
      </c>
      <c r="I43" s="15">
        <f t="shared" si="98"/>
        <v>30</v>
      </c>
      <c r="J43" s="15">
        <f t="shared" si="98"/>
        <v>42</v>
      </c>
      <c r="K43" s="16">
        <f t="shared" si="98"/>
        <v>54</v>
      </c>
      <c r="N43" s="69" t="s">
        <v>20</v>
      </c>
      <c r="O43" s="26"/>
      <c r="P43" s="43"/>
      <c r="Q43" s="26"/>
      <c r="R43" s="43"/>
      <c r="S43" s="26"/>
      <c r="T43" s="26"/>
      <c r="X43" s="88"/>
      <c r="Y43" s="88"/>
      <c r="Z43" s="88"/>
      <c r="AA43" s="88"/>
      <c r="AB43" s="88"/>
      <c r="AC43" s="88"/>
    </row>
    <row r="44" spans="1:29" x14ac:dyDescent="0.25">
      <c r="A44">
        <v>2.25</v>
      </c>
      <c r="C44" s="5">
        <v>1806</v>
      </c>
      <c r="D44" s="13">
        <f t="shared" si="98"/>
        <v>9.75</v>
      </c>
      <c r="E44" s="13">
        <f t="shared" si="98"/>
        <v>13.75</v>
      </c>
      <c r="F44" s="13">
        <f t="shared" si="98"/>
        <v>17.75</v>
      </c>
      <c r="G44" s="13">
        <f t="shared" si="98"/>
        <v>21.75</v>
      </c>
      <c r="H44" s="13">
        <f t="shared" si="98"/>
        <v>29.75</v>
      </c>
      <c r="I44" s="13">
        <f t="shared" si="98"/>
        <v>33.75</v>
      </c>
      <c r="J44" s="13">
        <f t="shared" si="98"/>
        <v>45.75</v>
      </c>
      <c r="K44" s="14">
        <f t="shared" si="98"/>
        <v>57.75</v>
      </c>
      <c r="N44" s="47" t="s">
        <v>0</v>
      </c>
      <c r="O44" s="26">
        <f t="shared" ref="O44:P46" si="99">D$2+$A43</f>
        <v>18</v>
      </c>
      <c r="P44" s="43">
        <f t="shared" si="99"/>
        <v>22</v>
      </c>
      <c r="Q44" s="26">
        <f t="shared" ref="Q44:T46" si="100">G$2+$A43</f>
        <v>30</v>
      </c>
      <c r="R44" s="37">
        <f t="shared" si="100"/>
        <v>38</v>
      </c>
      <c r="S44" s="26">
        <f t="shared" si="100"/>
        <v>42</v>
      </c>
      <c r="T44" s="26">
        <f t="shared" si="100"/>
        <v>54</v>
      </c>
      <c r="X44" s="88"/>
      <c r="Y44" s="88"/>
      <c r="Z44" s="88"/>
      <c r="AA44" s="88"/>
      <c r="AB44" s="88"/>
      <c r="AC44" s="88"/>
    </row>
    <row r="45" spans="1:29" x14ac:dyDescent="0.25">
      <c r="A45">
        <v>3.875</v>
      </c>
      <c r="C45" s="6" t="s">
        <v>9</v>
      </c>
      <c r="D45" s="11">
        <f t="shared" si="98"/>
        <v>8.125</v>
      </c>
      <c r="E45" s="11">
        <f t="shared" si="98"/>
        <v>12.125</v>
      </c>
      <c r="F45" s="11">
        <f t="shared" si="98"/>
        <v>16.125</v>
      </c>
      <c r="G45" s="11">
        <f t="shared" si="98"/>
        <v>20.125</v>
      </c>
      <c r="H45" s="11">
        <f t="shared" si="98"/>
        <v>28.125</v>
      </c>
      <c r="I45" s="11">
        <f t="shared" si="98"/>
        <v>32.125</v>
      </c>
      <c r="J45" s="11">
        <f t="shared" si="98"/>
        <v>44.125</v>
      </c>
      <c r="K45" s="12">
        <f t="shared" si="98"/>
        <v>56.125</v>
      </c>
      <c r="N45" s="47">
        <v>1806</v>
      </c>
      <c r="O45" s="26">
        <f t="shared" si="99"/>
        <v>14.25</v>
      </c>
      <c r="P45" s="43">
        <f t="shared" si="99"/>
        <v>18.25</v>
      </c>
      <c r="Q45" s="26">
        <f t="shared" si="100"/>
        <v>26.25</v>
      </c>
      <c r="R45" s="37">
        <f t="shared" si="100"/>
        <v>34.25</v>
      </c>
      <c r="S45" s="26">
        <f t="shared" si="100"/>
        <v>38.25</v>
      </c>
      <c r="T45" s="26">
        <f t="shared" si="100"/>
        <v>50.25</v>
      </c>
      <c r="X45" s="88"/>
      <c r="Y45" s="88"/>
      <c r="Z45" s="88"/>
      <c r="AA45" s="88"/>
      <c r="AB45" s="88"/>
      <c r="AC45" s="88"/>
    </row>
    <row r="46" spans="1:29" ht="15.75" thickBot="1" x14ac:dyDescent="0.3">
      <c r="N46" s="47" t="s">
        <v>9</v>
      </c>
      <c r="O46" s="25">
        <f t="shared" si="99"/>
        <v>15.875</v>
      </c>
      <c r="P46" s="44">
        <f t="shared" si="99"/>
        <v>19.875</v>
      </c>
      <c r="Q46" s="25">
        <f t="shared" si="100"/>
        <v>27.875</v>
      </c>
      <c r="R46" s="51">
        <f t="shared" si="100"/>
        <v>35.875</v>
      </c>
      <c r="S46" s="25">
        <f t="shared" si="100"/>
        <v>39.875</v>
      </c>
      <c r="T46" s="25">
        <f t="shared" si="100"/>
        <v>51.875</v>
      </c>
      <c r="V46" s="19"/>
      <c r="X46" s="88"/>
      <c r="Y46" s="88"/>
      <c r="Z46" s="88"/>
      <c r="AA46" s="88"/>
      <c r="AB46" s="88"/>
      <c r="AC46" s="88"/>
    </row>
    <row r="47" spans="1:29" x14ac:dyDescent="0.25">
      <c r="C47" s="2" t="s">
        <v>11</v>
      </c>
      <c r="D47" s="3"/>
      <c r="E47" s="3"/>
      <c r="F47" s="3"/>
      <c r="G47" s="3"/>
      <c r="H47" s="3"/>
      <c r="I47" s="3"/>
      <c r="J47" s="3"/>
      <c r="K47" s="4"/>
      <c r="O47" s="19"/>
      <c r="P47" s="19"/>
      <c r="Q47" s="19"/>
      <c r="R47" s="59"/>
      <c r="S47" s="19"/>
      <c r="T47" s="19"/>
      <c r="V47" s="58"/>
      <c r="X47" s="88"/>
      <c r="Y47" s="88"/>
      <c r="Z47" s="88"/>
      <c r="AA47" s="88"/>
      <c r="AB47" s="88"/>
      <c r="AC47" s="88"/>
    </row>
    <row r="48" spans="1:29" ht="15.75" thickBot="1" x14ac:dyDescent="0.3">
      <c r="C48" s="1" t="s">
        <v>1</v>
      </c>
      <c r="D48" s="7" t="s">
        <v>2</v>
      </c>
      <c r="E48" s="7" t="s">
        <v>3</v>
      </c>
      <c r="F48" s="7" t="s">
        <v>4</v>
      </c>
      <c r="G48" s="7" t="s">
        <v>5</v>
      </c>
      <c r="H48" s="7" t="s">
        <v>15</v>
      </c>
      <c r="I48" s="7" t="s">
        <v>6</v>
      </c>
      <c r="J48" s="7" t="s">
        <v>7</v>
      </c>
      <c r="K48" s="8" t="s">
        <v>8</v>
      </c>
      <c r="N48" s="2" t="s">
        <v>22</v>
      </c>
      <c r="O48" s="21"/>
      <c r="P48" s="21"/>
      <c r="Q48" s="21"/>
      <c r="R48" s="21"/>
      <c r="S48" s="21"/>
      <c r="T48" s="21"/>
      <c r="U48" s="45"/>
      <c r="X48" s="88"/>
      <c r="Y48" s="88"/>
      <c r="Z48" s="88"/>
      <c r="AA48" s="88"/>
      <c r="AB48" s="88"/>
      <c r="AC48" s="88"/>
    </row>
    <row r="49" spans="1:29" ht="15.75" thickBot="1" x14ac:dyDescent="0.3">
      <c r="A49">
        <v>6</v>
      </c>
      <c r="C49" s="5" t="s">
        <v>0</v>
      </c>
      <c r="D49" s="13">
        <f t="shared" ref="D49:K51" si="101">D$2-$A49/2+0.25</f>
        <v>9.25</v>
      </c>
      <c r="E49" s="13">
        <f t="shared" si="101"/>
        <v>13.25</v>
      </c>
      <c r="F49" s="13">
        <f t="shared" si="101"/>
        <v>17.25</v>
      </c>
      <c r="G49" s="13">
        <f t="shared" si="101"/>
        <v>21.25</v>
      </c>
      <c r="H49" s="13">
        <f t="shared" si="101"/>
        <v>29.25</v>
      </c>
      <c r="I49" s="13">
        <f t="shared" si="101"/>
        <v>33.25</v>
      </c>
      <c r="J49" s="13">
        <f t="shared" si="101"/>
        <v>45.25</v>
      </c>
      <c r="K49" s="14">
        <f t="shared" si="101"/>
        <v>57.25</v>
      </c>
      <c r="N49" s="70" t="s">
        <v>21</v>
      </c>
      <c r="O49" s="71" t="s">
        <v>2</v>
      </c>
      <c r="P49" s="74" t="s">
        <v>3</v>
      </c>
      <c r="Q49" s="71" t="s">
        <v>5</v>
      </c>
      <c r="R49" s="76" t="s">
        <v>15</v>
      </c>
      <c r="S49" s="71" t="s">
        <v>6</v>
      </c>
      <c r="T49" s="73" t="s">
        <v>7</v>
      </c>
      <c r="X49" s="88"/>
      <c r="Y49" s="88"/>
      <c r="Z49" s="88"/>
      <c r="AA49" s="88"/>
      <c r="AB49" s="88"/>
      <c r="AC49" s="88"/>
    </row>
    <row r="50" spans="1:29" ht="15.75" thickTop="1" x14ac:dyDescent="0.25">
      <c r="A50">
        <v>2.25</v>
      </c>
      <c r="C50" s="5">
        <v>1806</v>
      </c>
      <c r="D50" s="9">
        <f t="shared" si="101"/>
        <v>11.125</v>
      </c>
      <c r="E50" s="9">
        <f t="shared" si="101"/>
        <v>15.125</v>
      </c>
      <c r="F50" s="9">
        <f t="shared" si="101"/>
        <v>19.125</v>
      </c>
      <c r="G50" s="9">
        <f t="shared" si="101"/>
        <v>23.125</v>
      </c>
      <c r="H50" s="9">
        <f t="shared" si="101"/>
        <v>31.125</v>
      </c>
      <c r="I50" s="9">
        <f t="shared" si="101"/>
        <v>35.125</v>
      </c>
      <c r="J50" s="9">
        <f t="shared" si="101"/>
        <v>47.125</v>
      </c>
      <c r="K50" s="10">
        <f t="shared" si="101"/>
        <v>59.125</v>
      </c>
      <c r="N50" s="69" t="s">
        <v>20</v>
      </c>
      <c r="O50" s="26"/>
      <c r="P50" s="43"/>
      <c r="Q50" s="26"/>
      <c r="R50" s="43"/>
      <c r="S50" s="26"/>
      <c r="T50" s="51"/>
      <c r="U50" s="99" t="s">
        <v>12</v>
      </c>
      <c r="X50" s="88"/>
      <c r="Y50" s="88"/>
      <c r="Z50" s="88"/>
      <c r="AA50" s="88"/>
      <c r="AB50" s="88"/>
      <c r="AC50" s="88"/>
    </row>
    <row r="51" spans="1:29" x14ac:dyDescent="0.25">
      <c r="A51">
        <v>3.875</v>
      </c>
      <c r="C51" s="6" t="s">
        <v>9</v>
      </c>
      <c r="D51" s="29">
        <f t="shared" si="101"/>
        <v>10.3125</v>
      </c>
      <c r="E51" s="29">
        <f t="shared" si="101"/>
        <v>14.3125</v>
      </c>
      <c r="F51" s="29">
        <f t="shared" si="101"/>
        <v>18.3125</v>
      </c>
      <c r="G51" s="29">
        <f t="shared" si="101"/>
        <v>22.3125</v>
      </c>
      <c r="H51" s="29">
        <f t="shared" si="101"/>
        <v>30.3125</v>
      </c>
      <c r="I51" s="29">
        <f t="shared" si="101"/>
        <v>34.3125</v>
      </c>
      <c r="J51" s="29">
        <f t="shared" si="101"/>
        <v>46.3125</v>
      </c>
      <c r="K51" s="30">
        <f t="shared" si="101"/>
        <v>58.3125</v>
      </c>
      <c r="N51" s="47" t="s">
        <v>0</v>
      </c>
      <c r="O51" s="26">
        <f t="shared" ref="O51:P53" si="102">D$2+$A49/2-0.25</f>
        <v>14.75</v>
      </c>
      <c r="P51" s="43">
        <f t="shared" si="102"/>
        <v>18.75</v>
      </c>
      <c r="Q51" s="26">
        <f t="shared" ref="Q51:T53" si="103">G$2+$A49/2-0.25</f>
        <v>26.75</v>
      </c>
      <c r="R51" s="37">
        <f t="shared" si="103"/>
        <v>34.75</v>
      </c>
      <c r="S51" s="26">
        <f t="shared" si="103"/>
        <v>38.75</v>
      </c>
      <c r="T51" s="51">
        <f t="shared" si="103"/>
        <v>50.75</v>
      </c>
      <c r="U51" s="99"/>
      <c r="X51" s="88"/>
      <c r="Y51" s="88"/>
      <c r="Z51" s="88"/>
      <c r="AA51" s="88"/>
      <c r="AB51" s="88"/>
      <c r="AC51" s="88"/>
    </row>
    <row r="52" spans="1:29" x14ac:dyDescent="0.25">
      <c r="N52" s="47">
        <v>1806</v>
      </c>
      <c r="O52" s="26">
        <f t="shared" si="102"/>
        <v>12.875</v>
      </c>
      <c r="P52" s="43">
        <f t="shared" si="102"/>
        <v>16.875</v>
      </c>
      <c r="Q52" s="26">
        <f t="shared" si="103"/>
        <v>24.875</v>
      </c>
      <c r="R52" s="37">
        <f t="shared" si="103"/>
        <v>32.875</v>
      </c>
      <c r="S52" s="26">
        <f t="shared" si="103"/>
        <v>36.875</v>
      </c>
      <c r="T52" s="51">
        <f t="shared" si="103"/>
        <v>48.875</v>
      </c>
      <c r="U52" s="99"/>
    </row>
    <row r="53" spans="1:29" ht="15.75" thickBot="1" x14ac:dyDescent="0.3">
      <c r="N53" s="47" t="s">
        <v>9</v>
      </c>
      <c r="O53" s="25">
        <f t="shared" si="102"/>
        <v>13.6875</v>
      </c>
      <c r="P53" s="44">
        <f t="shared" si="102"/>
        <v>17.6875</v>
      </c>
      <c r="Q53" s="25">
        <f t="shared" si="103"/>
        <v>25.6875</v>
      </c>
      <c r="R53" s="61">
        <f t="shared" si="103"/>
        <v>33.6875</v>
      </c>
      <c r="S53" s="25">
        <f t="shared" si="103"/>
        <v>37.6875</v>
      </c>
      <c r="T53" s="52">
        <f t="shared" si="103"/>
        <v>49.6875</v>
      </c>
      <c r="U53" s="99"/>
    </row>
  </sheetData>
  <mergeCells count="2">
    <mergeCell ref="U19:U22"/>
    <mergeCell ref="U50:U53"/>
  </mergeCells>
  <pageMargins left="0.25" right="0.25" top="0.75" bottom="0.75" header="0.3" footer="0.3"/>
  <pageSetup paperSize="158" scale="31" fitToHeight="0" orientation="landscape" r:id="rId1"/>
  <headerFooter>
    <oddFooter>&amp;C&amp;48NET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Feuil3</vt:lpstr>
      <vt:lpstr>BOM</vt:lpstr>
      <vt:lpstr>Confi</vt:lpstr>
      <vt:lpstr>Menu</vt:lpstr>
      <vt:lpstr>Fraction</vt:lpstr>
      <vt:lpstr>Charte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Belair</dc:creator>
  <cp:lastModifiedBy>Alexandre Paquet</cp:lastModifiedBy>
  <cp:lastPrinted>2018-04-24T16:23:03Z</cp:lastPrinted>
  <dcterms:created xsi:type="dcterms:W3CDTF">2015-02-06T14:05:51Z</dcterms:created>
  <dcterms:modified xsi:type="dcterms:W3CDTF">2018-04-24T17:45:00Z</dcterms:modified>
</cp:coreProperties>
</file>