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filterPrivacy="1" defaultThemeVersion="124226"/>
  <bookViews>
    <workbookView xWindow="0" yWindow="0" windowWidth="20730" windowHeight="11760" tabRatio="821" activeTab="1"/>
  </bookViews>
  <sheets>
    <sheet name="Année" sheetId="2" r:id="rId1"/>
    <sheet name="Janvier 2018" sheetId="1" r:id="rId2"/>
    <sheet name="Février" sheetId="4" r:id="rId3"/>
    <sheet name="Mars" sheetId="5" r:id="rId4"/>
    <sheet name="Avril " sheetId="6" r:id="rId5"/>
    <sheet name="Mai" sheetId="7" r:id="rId6"/>
    <sheet name="Juin" sheetId="8" r:id="rId7"/>
    <sheet name="Juillet" sheetId="9" r:id="rId8"/>
    <sheet name="Août" sheetId="10" r:id="rId9"/>
    <sheet name="Septembre" sheetId="11" r:id="rId10"/>
    <sheet name="Octobre" sheetId="12" r:id="rId11"/>
    <sheet name="Novembre" sheetId="13" r:id="rId12"/>
    <sheet name="Décembre" sheetId="14" r:id="rId13"/>
  </sheets>
  <definedNames>
    <definedName name="A" localSheetId="0">Année!#REF!</definedName>
    <definedName name="A">Année!#REF!</definedName>
    <definedName name="An">Année!$B$1</definedName>
    <definedName name="Année">Année!$B$1</definedName>
    <definedName name="Fériés">Année!$E$12:$F$24</definedName>
    <definedName name="Horaires">Année!$C$1:$D$8</definedName>
    <definedName name="Jours_fériés">Année!$C$12:$E$24</definedName>
    <definedName name="Joursem">Année!#REF!</definedName>
    <definedName name="Paques">Année!$C$14:$D$14</definedName>
    <definedName name="semaine">Année!#REF!</definedName>
  </definedNames>
  <calcPr calcId="145621" calcOnSave="0"/>
</workbook>
</file>

<file path=xl/calcChain.xml><?xml version="1.0" encoding="utf-8"?>
<calcChain xmlns="http://schemas.openxmlformats.org/spreadsheetml/2006/main">
  <c r="C16" i="1" l="1"/>
  <c r="C31" i="1"/>
  <c r="N5" i="1"/>
  <c r="M6" i="14" l="1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24" i="14"/>
  <c r="M25" i="14"/>
  <c r="M26" i="14"/>
  <c r="M27" i="14"/>
  <c r="M28" i="14"/>
  <c r="M29" i="14"/>
  <c r="M30" i="14"/>
  <c r="M31" i="14"/>
  <c r="M32" i="14"/>
  <c r="M33" i="14"/>
  <c r="M34" i="14"/>
  <c r="M35" i="14"/>
  <c r="M6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6" i="12"/>
  <c r="M7" i="12"/>
  <c r="M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5" i="8"/>
  <c r="M5" i="14"/>
  <c r="M5" i="13"/>
  <c r="M5" i="12"/>
  <c r="M5" i="11"/>
  <c r="M5" i="10"/>
  <c r="M5" i="9"/>
  <c r="M5" i="7"/>
  <c r="M5" i="6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5" i="5"/>
  <c r="M6" i="4"/>
  <c r="M7" i="4"/>
  <c r="M8" i="4"/>
  <c r="M9" i="4"/>
  <c r="M10" i="4"/>
  <c r="M12" i="4"/>
  <c r="M13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5" i="4"/>
  <c r="N32" i="1"/>
  <c r="N33" i="1"/>
  <c r="N34" i="1"/>
  <c r="N3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F17" i="4" l="1"/>
  <c r="F18" i="4"/>
  <c r="F19" i="4"/>
  <c r="F20" i="4"/>
  <c r="G19" i="1"/>
  <c r="C19" i="1" s="1"/>
  <c r="G20" i="1"/>
  <c r="C20" i="1" s="1"/>
  <c r="G21" i="1"/>
  <c r="C21" i="1" s="1"/>
  <c r="G22" i="1"/>
  <c r="C22" i="1" s="1"/>
  <c r="G23" i="1"/>
  <c r="C23" i="1" s="1"/>
  <c r="M33" i="4" l="1"/>
  <c r="M34" i="4"/>
  <c r="M35" i="4"/>
  <c r="L35" i="8" l="1"/>
  <c r="M35" i="8"/>
  <c r="N35" i="8"/>
  <c r="L35" i="11"/>
  <c r="M35" i="11"/>
  <c r="N35" i="11"/>
  <c r="L36" i="5"/>
  <c r="N36" i="5"/>
  <c r="L33" i="4"/>
  <c r="N33" i="4"/>
  <c r="L34" i="4"/>
  <c r="N34" i="4"/>
  <c r="L35" i="4"/>
  <c r="N35" i="4"/>
  <c r="B6" i="5" l="1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5" i="5"/>
  <c r="A1" i="5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5" i="4"/>
  <c r="A1" i="4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5" i="1"/>
  <c r="A1" i="1"/>
  <c r="A1" i="6" l="1"/>
  <c r="B6" i="14" l="1"/>
  <c r="B7" i="14"/>
  <c r="A7" i="14" s="1"/>
  <c r="B8" i="14"/>
  <c r="B9" i="14"/>
  <c r="A9" i="14" s="1"/>
  <c r="B10" i="14"/>
  <c r="B11" i="14"/>
  <c r="B12" i="14"/>
  <c r="B13" i="14"/>
  <c r="A13" i="14" s="1"/>
  <c r="L13" i="14" s="1"/>
  <c r="B14" i="14"/>
  <c r="B15" i="14"/>
  <c r="A15" i="14" s="1"/>
  <c r="B16" i="14"/>
  <c r="B17" i="14"/>
  <c r="A17" i="14" s="1"/>
  <c r="B18" i="14"/>
  <c r="B19" i="14"/>
  <c r="A19" i="14" s="1"/>
  <c r="L19" i="14" s="1"/>
  <c r="B20" i="14"/>
  <c r="B21" i="14"/>
  <c r="A21" i="14" s="1"/>
  <c r="B22" i="14"/>
  <c r="B23" i="14"/>
  <c r="A23" i="14" s="1"/>
  <c r="B24" i="14"/>
  <c r="B25" i="14"/>
  <c r="A25" i="14" s="1"/>
  <c r="B26" i="14"/>
  <c r="B27" i="14"/>
  <c r="A27" i="14" s="1"/>
  <c r="L27" i="14" s="1"/>
  <c r="B28" i="14"/>
  <c r="B29" i="14"/>
  <c r="A29" i="14" s="1"/>
  <c r="B30" i="14"/>
  <c r="B31" i="14"/>
  <c r="A31" i="14" s="1"/>
  <c r="B32" i="14"/>
  <c r="B33" i="14"/>
  <c r="A33" i="14" s="1"/>
  <c r="L33" i="14" s="1"/>
  <c r="B34" i="14"/>
  <c r="B35" i="14"/>
  <c r="A35" i="14" s="1"/>
  <c r="B5" i="14"/>
  <c r="A5" i="14" s="1"/>
  <c r="L5" i="14" s="1"/>
  <c r="A1" i="14"/>
  <c r="B6" i="13"/>
  <c r="B7" i="13"/>
  <c r="A7" i="13" s="1"/>
  <c r="L7" i="13" s="1"/>
  <c r="B8" i="13"/>
  <c r="B9" i="13"/>
  <c r="A9" i="13" s="1"/>
  <c r="B10" i="13"/>
  <c r="B11" i="13"/>
  <c r="A11" i="13" s="1"/>
  <c r="B12" i="13"/>
  <c r="B13" i="13"/>
  <c r="A13" i="13" s="1"/>
  <c r="B14" i="13"/>
  <c r="B15" i="13"/>
  <c r="A15" i="13" s="1"/>
  <c r="L15" i="13" s="1"/>
  <c r="B16" i="13"/>
  <c r="B17" i="13"/>
  <c r="A17" i="13" s="1"/>
  <c r="B18" i="13"/>
  <c r="B19" i="13"/>
  <c r="A19" i="13" s="1"/>
  <c r="B20" i="13"/>
  <c r="B21" i="13"/>
  <c r="A21" i="13" s="1"/>
  <c r="L21" i="13" s="1"/>
  <c r="B22" i="13"/>
  <c r="B23" i="13"/>
  <c r="A23" i="13" s="1"/>
  <c r="B24" i="13"/>
  <c r="B25" i="13"/>
  <c r="A25" i="13" s="1"/>
  <c r="B26" i="13"/>
  <c r="B27" i="13"/>
  <c r="A27" i="13" s="1"/>
  <c r="B28" i="13"/>
  <c r="B29" i="13"/>
  <c r="A29" i="13" s="1"/>
  <c r="L29" i="13" s="1"/>
  <c r="B30" i="13"/>
  <c r="B31" i="13"/>
  <c r="A31" i="13" s="1"/>
  <c r="B32" i="13"/>
  <c r="B33" i="13"/>
  <c r="A33" i="13" s="1"/>
  <c r="B34" i="13"/>
  <c r="B5" i="13"/>
  <c r="A1" i="13"/>
  <c r="B6" i="12"/>
  <c r="B7" i="12"/>
  <c r="B8" i="12"/>
  <c r="B9" i="12"/>
  <c r="A9" i="12" s="1"/>
  <c r="B10" i="12"/>
  <c r="B11" i="12"/>
  <c r="A11" i="12" s="1"/>
  <c r="L11" i="12" s="1"/>
  <c r="B12" i="12"/>
  <c r="B13" i="12"/>
  <c r="A13" i="12" s="1"/>
  <c r="B14" i="12"/>
  <c r="B15" i="12"/>
  <c r="B16" i="12"/>
  <c r="B17" i="12"/>
  <c r="A17" i="12" s="1"/>
  <c r="L17" i="12" s="1"/>
  <c r="B18" i="12"/>
  <c r="B19" i="12"/>
  <c r="A19" i="12" s="1"/>
  <c r="B20" i="12"/>
  <c r="B21" i="12"/>
  <c r="A21" i="12" s="1"/>
  <c r="B22" i="12"/>
  <c r="B23" i="12"/>
  <c r="A23" i="12" s="1"/>
  <c r="B24" i="12"/>
  <c r="B25" i="12"/>
  <c r="A25" i="12" s="1"/>
  <c r="L25" i="12" s="1"/>
  <c r="B26" i="12"/>
  <c r="B27" i="12"/>
  <c r="A27" i="12" s="1"/>
  <c r="B28" i="12"/>
  <c r="B29" i="12"/>
  <c r="A29" i="12" s="1"/>
  <c r="B30" i="12"/>
  <c r="B31" i="12"/>
  <c r="A31" i="12" s="1"/>
  <c r="L31" i="12" s="1"/>
  <c r="B32" i="12"/>
  <c r="B33" i="12"/>
  <c r="A33" i="12" s="1"/>
  <c r="B34" i="12"/>
  <c r="B35" i="12"/>
  <c r="A35" i="12" s="1"/>
  <c r="B5" i="12"/>
  <c r="A5" i="12" s="1"/>
  <c r="A1" i="12"/>
  <c r="B6" i="11"/>
  <c r="B7" i="11"/>
  <c r="B8" i="11"/>
  <c r="B9" i="11"/>
  <c r="A9" i="11" s="1"/>
  <c r="B10" i="11"/>
  <c r="B11" i="11"/>
  <c r="A11" i="11" s="1"/>
  <c r="B12" i="11"/>
  <c r="B13" i="11"/>
  <c r="A13" i="11" s="1"/>
  <c r="L13" i="11" s="1"/>
  <c r="B14" i="11"/>
  <c r="B15" i="11"/>
  <c r="B16" i="11"/>
  <c r="B17" i="11"/>
  <c r="A17" i="11" s="1"/>
  <c r="B18" i="11"/>
  <c r="B19" i="11"/>
  <c r="A19" i="11" s="1"/>
  <c r="L19" i="11" s="1"/>
  <c r="B20" i="11"/>
  <c r="B21" i="11"/>
  <c r="A21" i="11" s="1"/>
  <c r="B22" i="11"/>
  <c r="B23" i="11"/>
  <c r="A23" i="11" s="1"/>
  <c r="B24" i="11"/>
  <c r="B25" i="11"/>
  <c r="A25" i="11" s="1"/>
  <c r="B26" i="11"/>
  <c r="B27" i="11"/>
  <c r="A27" i="11" s="1"/>
  <c r="L27" i="11" s="1"/>
  <c r="B28" i="11"/>
  <c r="B29" i="11"/>
  <c r="A29" i="11" s="1"/>
  <c r="B30" i="11"/>
  <c r="B31" i="11"/>
  <c r="A31" i="11" s="1"/>
  <c r="B32" i="11"/>
  <c r="B33" i="11"/>
  <c r="A33" i="11" s="1"/>
  <c r="L33" i="11" s="1"/>
  <c r="B34" i="11"/>
  <c r="B5" i="11"/>
  <c r="A5" i="11" s="1"/>
  <c r="L5" i="11" s="1"/>
  <c r="A1" i="11"/>
  <c r="B6" i="10"/>
  <c r="B7" i="10"/>
  <c r="A7" i="10" s="1"/>
  <c r="B8" i="10"/>
  <c r="B9" i="10"/>
  <c r="A9" i="10" s="1"/>
  <c r="L9" i="10" s="1"/>
  <c r="B10" i="10"/>
  <c r="B11" i="10"/>
  <c r="A11" i="10" s="1"/>
  <c r="B12" i="10"/>
  <c r="B13" i="10"/>
  <c r="A13" i="10" s="1"/>
  <c r="B14" i="10"/>
  <c r="B15" i="10"/>
  <c r="A15" i="10" s="1"/>
  <c r="L15" i="10" s="1"/>
  <c r="B16" i="10"/>
  <c r="B17" i="10"/>
  <c r="A17" i="10" s="1"/>
  <c r="B18" i="10"/>
  <c r="B19" i="10"/>
  <c r="A19" i="10" s="1"/>
  <c r="B20" i="10"/>
  <c r="B21" i="10"/>
  <c r="A21" i="10" s="1"/>
  <c r="B22" i="10"/>
  <c r="B23" i="10"/>
  <c r="A23" i="10" s="1"/>
  <c r="L23" i="10" s="1"/>
  <c r="B24" i="10"/>
  <c r="B25" i="10"/>
  <c r="A25" i="10" s="1"/>
  <c r="B26" i="10"/>
  <c r="B27" i="10"/>
  <c r="A27" i="10" s="1"/>
  <c r="B28" i="10"/>
  <c r="B29" i="10"/>
  <c r="A29" i="10" s="1"/>
  <c r="L29" i="10" s="1"/>
  <c r="B30" i="10"/>
  <c r="B31" i="10"/>
  <c r="A31" i="10" s="1"/>
  <c r="B32" i="10"/>
  <c r="B33" i="10"/>
  <c r="A33" i="10" s="1"/>
  <c r="B34" i="10"/>
  <c r="B35" i="10"/>
  <c r="A35" i="10" s="1"/>
  <c r="B5" i="10"/>
  <c r="A1" i="10"/>
  <c r="B6" i="9"/>
  <c r="A6" i="9" s="1"/>
  <c r="B7" i="9"/>
  <c r="A7" i="9" s="1"/>
  <c r="B8" i="9"/>
  <c r="B9" i="9"/>
  <c r="A9" i="9" s="1"/>
  <c r="B10" i="9"/>
  <c r="A10" i="9" s="1"/>
  <c r="B11" i="9"/>
  <c r="A11" i="9" s="1"/>
  <c r="L11" i="9" s="1"/>
  <c r="B12" i="9"/>
  <c r="B13" i="9"/>
  <c r="A13" i="9" s="1"/>
  <c r="B14" i="9"/>
  <c r="B15" i="9"/>
  <c r="A15" i="9" s="1"/>
  <c r="B16" i="9"/>
  <c r="B17" i="9"/>
  <c r="A17" i="9" s="1"/>
  <c r="B18" i="9"/>
  <c r="B19" i="9"/>
  <c r="A19" i="9" s="1"/>
  <c r="L19" i="9" s="1"/>
  <c r="B20" i="9"/>
  <c r="B21" i="9"/>
  <c r="A21" i="9" s="1"/>
  <c r="B22" i="9"/>
  <c r="B23" i="9"/>
  <c r="A23" i="9" s="1"/>
  <c r="B24" i="9"/>
  <c r="B25" i="9"/>
  <c r="A25" i="9" s="1"/>
  <c r="L25" i="9" s="1"/>
  <c r="B26" i="9"/>
  <c r="B27" i="9"/>
  <c r="A27" i="9" s="1"/>
  <c r="B28" i="9"/>
  <c r="B29" i="9"/>
  <c r="A29" i="9" s="1"/>
  <c r="B30" i="9"/>
  <c r="B31" i="9"/>
  <c r="A31" i="9" s="1"/>
  <c r="B32" i="9"/>
  <c r="B33" i="9"/>
  <c r="A33" i="9" s="1"/>
  <c r="L33" i="9" s="1"/>
  <c r="B34" i="9"/>
  <c r="B35" i="9"/>
  <c r="A35" i="9" s="1"/>
  <c r="B5" i="9"/>
  <c r="A5" i="9" s="1"/>
  <c r="L5" i="9" s="1"/>
  <c r="A1" i="9"/>
  <c r="B6" i="8"/>
  <c r="B7" i="8"/>
  <c r="A7" i="8" s="1"/>
  <c r="L7" i="8" s="1"/>
  <c r="B8" i="8"/>
  <c r="B9" i="8"/>
  <c r="A9" i="8" s="1"/>
  <c r="B10" i="8"/>
  <c r="B11" i="8"/>
  <c r="A11" i="8" s="1"/>
  <c r="B12" i="8"/>
  <c r="B13" i="8"/>
  <c r="A13" i="8" s="1"/>
  <c r="L13" i="8" s="1"/>
  <c r="B14" i="8"/>
  <c r="B15" i="8"/>
  <c r="A15" i="8" s="1"/>
  <c r="B16" i="8"/>
  <c r="A16" i="8" s="1"/>
  <c r="B17" i="8"/>
  <c r="A17" i="8" s="1"/>
  <c r="B18" i="8"/>
  <c r="B19" i="8"/>
  <c r="A19" i="8" s="1"/>
  <c r="B20" i="8"/>
  <c r="B21" i="8"/>
  <c r="A21" i="8" s="1"/>
  <c r="L21" i="8" s="1"/>
  <c r="B22" i="8"/>
  <c r="B23" i="8"/>
  <c r="A23" i="8" s="1"/>
  <c r="B24" i="8"/>
  <c r="B25" i="8"/>
  <c r="A25" i="8" s="1"/>
  <c r="B26" i="8"/>
  <c r="B27" i="8"/>
  <c r="A27" i="8" s="1"/>
  <c r="L27" i="8" s="1"/>
  <c r="B28" i="8"/>
  <c r="B29" i="8"/>
  <c r="A29" i="8" s="1"/>
  <c r="B30" i="8"/>
  <c r="B31" i="8"/>
  <c r="A31" i="8" s="1"/>
  <c r="B32" i="8"/>
  <c r="B33" i="8"/>
  <c r="A33" i="8" s="1"/>
  <c r="B34" i="8"/>
  <c r="B5" i="8"/>
  <c r="A5" i="8" s="1"/>
  <c r="A1" i="8"/>
  <c r="B6" i="7"/>
  <c r="B7" i="7"/>
  <c r="A7" i="7" s="1"/>
  <c r="B8" i="7"/>
  <c r="B9" i="7"/>
  <c r="B10" i="7"/>
  <c r="B11" i="7"/>
  <c r="A11" i="7" s="1"/>
  <c r="B12" i="7"/>
  <c r="B13" i="7"/>
  <c r="A13" i="7" s="1"/>
  <c r="B14" i="7"/>
  <c r="B15" i="7"/>
  <c r="A15" i="7" s="1"/>
  <c r="B16" i="7"/>
  <c r="B17" i="7"/>
  <c r="A17" i="7" s="1"/>
  <c r="L17" i="7" s="1"/>
  <c r="B18" i="7"/>
  <c r="B19" i="7"/>
  <c r="A19" i="7" s="1"/>
  <c r="B20" i="7"/>
  <c r="B21" i="7"/>
  <c r="A21" i="7" s="1"/>
  <c r="B22" i="7"/>
  <c r="B23" i="7"/>
  <c r="A23" i="7" s="1"/>
  <c r="L23" i="7" s="1"/>
  <c r="B24" i="7"/>
  <c r="B25" i="7"/>
  <c r="A25" i="7" s="1"/>
  <c r="B26" i="7"/>
  <c r="B27" i="7"/>
  <c r="A27" i="7" s="1"/>
  <c r="B28" i="7"/>
  <c r="B29" i="7"/>
  <c r="A29" i="7" s="1"/>
  <c r="B30" i="7"/>
  <c r="B31" i="7"/>
  <c r="A31" i="7" s="1"/>
  <c r="L31" i="7" s="1"/>
  <c r="B32" i="7"/>
  <c r="B33" i="7"/>
  <c r="A33" i="7" s="1"/>
  <c r="B34" i="7"/>
  <c r="B35" i="7"/>
  <c r="A35" i="7" s="1"/>
  <c r="B5" i="7"/>
  <c r="A1" i="7"/>
  <c r="E13" i="2"/>
  <c r="B6" i="6"/>
  <c r="B7" i="6"/>
  <c r="A7" i="6" s="1"/>
  <c r="B8" i="6"/>
  <c r="A8" i="6" s="1"/>
  <c r="B9" i="6"/>
  <c r="B10" i="6"/>
  <c r="B11" i="6"/>
  <c r="A11" i="6" s="1"/>
  <c r="L11" i="6" s="1"/>
  <c r="B12" i="6"/>
  <c r="B13" i="6"/>
  <c r="B14" i="6"/>
  <c r="A14" i="6" s="1"/>
  <c r="B15" i="6"/>
  <c r="A15" i="6" s="1"/>
  <c r="B16" i="6"/>
  <c r="A16" i="6" s="1"/>
  <c r="B17" i="6"/>
  <c r="A17" i="6" s="1"/>
  <c r="B18" i="6"/>
  <c r="B19" i="6"/>
  <c r="A19" i="6" s="1"/>
  <c r="L19" i="6" s="1"/>
  <c r="B20" i="6"/>
  <c r="B21" i="6"/>
  <c r="A21" i="6" s="1"/>
  <c r="B22" i="6"/>
  <c r="A22" i="6" s="1"/>
  <c r="B23" i="6"/>
  <c r="A23" i="6" s="1"/>
  <c r="B24" i="6"/>
  <c r="B25" i="6"/>
  <c r="A25" i="6" s="1"/>
  <c r="L25" i="6" s="1"/>
  <c r="B26" i="6"/>
  <c r="B27" i="6"/>
  <c r="A27" i="6" s="1"/>
  <c r="B28" i="6"/>
  <c r="B29" i="6"/>
  <c r="A29" i="6" s="1"/>
  <c r="B30" i="6"/>
  <c r="B31" i="6"/>
  <c r="A31" i="6" s="1"/>
  <c r="B32" i="6"/>
  <c r="B33" i="6"/>
  <c r="A33" i="6" s="1"/>
  <c r="L33" i="6" s="1"/>
  <c r="B34" i="6"/>
  <c r="L35" i="6"/>
  <c r="B5" i="6"/>
  <c r="A20" i="5"/>
  <c r="A24" i="4"/>
  <c r="K38" i="14"/>
  <c r="I38" i="14"/>
  <c r="H38" i="14"/>
  <c r="G38" i="14"/>
  <c r="E38" i="14"/>
  <c r="D38" i="14"/>
  <c r="A11" i="14"/>
  <c r="K38" i="13"/>
  <c r="I38" i="13"/>
  <c r="H38" i="13"/>
  <c r="G38" i="13"/>
  <c r="E38" i="13"/>
  <c r="D38" i="13"/>
  <c r="K38" i="12"/>
  <c r="I38" i="12"/>
  <c r="H38" i="12"/>
  <c r="G38" i="12"/>
  <c r="E38" i="12"/>
  <c r="D38" i="12"/>
  <c r="A15" i="12"/>
  <c r="A7" i="12"/>
  <c r="K38" i="11"/>
  <c r="I38" i="11"/>
  <c r="H38" i="11"/>
  <c r="G38" i="11"/>
  <c r="E38" i="11"/>
  <c r="D38" i="11"/>
  <c r="A15" i="11"/>
  <c r="A7" i="11"/>
  <c r="K38" i="10"/>
  <c r="I38" i="10"/>
  <c r="H38" i="10"/>
  <c r="G38" i="10"/>
  <c r="E38" i="10"/>
  <c r="D38" i="10"/>
  <c r="A16" i="10"/>
  <c r="L16" i="10" s="1"/>
  <c r="K38" i="9"/>
  <c r="I38" i="9"/>
  <c r="H38" i="9"/>
  <c r="G38" i="9"/>
  <c r="E38" i="9"/>
  <c r="D38" i="9"/>
  <c r="K38" i="8"/>
  <c r="I38" i="8"/>
  <c r="H38" i="8"/>
  <c r="G38" i="8"/>
  <c r="E38" i="8"/>
  <c r="D38" i="8"/>
  <c r="A12" i="8"/>
  <c r="I38" i="7"/>
  <c r="H38" i="7"/>
  <c r="G38" i="7"/>
  <c r="E38" i="7"/>
  <c r="D38" i="7"/>
  <c r="K38" i="6"/>
  <c r="I38" i="6"/>
  <c r="H38" i="6"/>
  <c r="G38" i="6"/>
  <c r="E38" i="6"/>
  <c r="D38" i="6"/>
  <c r="N35" i="6"/>
  <c r="M35" i="6"/>
  <c r="K38" i="5"/>
  <c r="I38" i="5"/>
  <c r="H38" i="5"/>
  <c r="G38" i="5"/>
  <c r="E38" i="5"/>
  <c r="D38" i="5"/>
  <c r="A24" i="5"/>
  <c r="A22" i="5"/>
  <c r="L22" i="5" s="1"/>
  <c r="A18" i="5"/>
  <c r="K38" i="4"/>
  <c r="I38" i="4"/>
  <c r="H38" i="4"/>
  <c r="G38" i="4"/>
  <c r="E38" i="4"/>
  <c r="D38" i="4"/>
  <c r="A22" i="4"/>
  <c r="L22" i="4" s="1"/>
  <c r="A20" i="4"/>
  <c r="L20" i="4" s="1"/>
  <c r="A18" i="4"/>
  <c r="L18" i="4" s="1"/>
  <c r="A16" i="4"/>
  <c r="M16" i="4" s="1"/>
  <c r="A14" i="4"/>
  <c r="M14" i="4" s="1"/>
  <c r="A6" i="4"/>
  <c r="L14" i="4" l="1"/>
  <c r="A13" i="6"/>
  <c r="A9" i="6"/>
  <c r="A5" i="7"/>
  <c r="A9" i="7"/>
  <c r="L9" i="7" s="1"/>
  <c r="M38" i="13"/>
  <c r="M38" i="10"/>
  <c r="M38" i="7"/>
  <c r="M38" i="8"/>
  <c r="M38" i="9"/>
  <c r="A5" i="13"/>
  <c r="M38" i="14"/>
  <c r="A5" i="10"/>
  <c r="M38" i="11"/>
  <c r="M38" i="12"/>
  <c r="A5" i="6"/>
  <c r="M38" i="5"/>
  <c r="A5" i="5"/>
  <c r="A7" i="5"/>
  <c r="L7" i="5" s="1"/>
  <c r="A9" i="5"/>
  <c r="A11" i="5"/>
  <c r="A13" i="5"/>
  <c r="A15" i="5"/>
  <c r="L15" i="5" s="1"/>
  <c r="A17" i="5"/>
  <c r="A19" i="5"/>
  <c r="A21" i="5"/>
  <c r="L21" i="5" s="1"/>
  <c r="A23" i="5"/>
  <c r="A25" i="5"/>
  <c r="A27" i="5"/>
  <c r="A29" i="5"/>
  <c r="L29" i="5" s="1"/>
  <c r="A31" i="5"/>
  <c r="A33" i="5"/>
  <c r="A35" i="5"/>
  <c r="L35" i="5" s="1"/>
  <c r="A5" i="4"/>
  <c r="A7" i="4"/>
  <c r="L7" i="4" s="1"/>
  <c r="A9" i="4"/>
  <c r="A11" i="4"/>
  <c r="M11" i="4" s="1"/>
  <c r="A13" i="4"/>
  <c r="A15" i="4"/>
  <c r="M15" i="4" s="1"/>
  <c r="A17" i="4"/>
  <c r="L17" i="4" s="1"/>
  <c r="A19" i="4"/>
  <c r="L19" i="4" s="1"/>
  <c r="A21" i="4"/>
  <c r="L21" i="4" s="1"/>
  <c r="A23" i="4"/>
  <c r="A25" i="4"/>
  <c r="A27" i="4"/>
  <c r="A29" i="4"/>
  <c r="L29" i="4" s="1"/>
  <c r="A31" i="4"/>
  <c r="A6" i="14"/>
  <c r="L6" i="14" s="1"/>
  <c r="A8" i="14"/>
  <c r="A10" i="14"/>
  <c r="A12" i="14"/>
  <c r="L12" i="14" s="1"/>
  <c r="A14" i="14"/>
  <c r="A16" i="14"/>
  <c r="A18" i="14"/>
  <c r="A20" i="14"/>
  <c r="L20" i="14" s="1"/>
  <c r="A22" i="14"/>
  <c r="A24" i="14"/>
  <c r="A26" i="14"/>
  <c r="L26" i="14" s="1"/>
  <c r="A28" i="14"/>
  <c r="A30" i="14"/>
  <c r="A32" i="14"/>
  <c r="A34" i="14"/>
  <c r="L34" i="14" s="1"/>
  <c r="A6" i="13"/>
  <c r="A8" i="13"/>
  <c r="L8" i="13" s="1"/>
  <c r="A10" i="13"/>
  <c r="A12" i="13"/>
  <c r="A14" i="13"/>
  <c r="L14" i="13" s="1"/>
  <c r="A16" i="13"/>
  <c r="A18" i="13"/>
  <c r="A20" i="13"/>
  <c r="A22" i="13"/>
  <c r="L22" i="13" s="1"/>
  <c r="A24" i="13"/>
  <c r="A26" i="13"/>
  <c r="A28" i="13"/>
  <c r="L28" i="13" s="1"/>
  <c r="A30" i="13"/>
  <c r="A32" i="13"/>
  <c r="A34" i="13"/>
  <c r="A6" i="12"/>
  <c r="A8" i="12"/>
  <c r="A10" i="12"/>
  <c r="L10" i="12" s="1"/>
  <c r="A12" i="12"/>
  <c r="A14" i="12"/>
  <c r="A16" i="12"/>
  <c r="A18" i="12"/>
  <c r="L18" i="12" s="1"/>
  <c r="A20" i="12"/>
  <c r="A22" i="12"/>
  <c r="A24" i="12"/>
  <c r="L24" i="12" s="1"/>
  <c r="A26" i="12"/>
  <c r="A28" i="12"/>
  <c r="A30" i="12"/>
  <c r="A32" i="12"/>
  <c r="L32" i="12" s="1"/>
  <c r="A34" i="12"/>
  <c r="A6" i="11"/>
  <c r="L6" i="11" s="1"/>
  <c r="A8" i="11"/>
  <c r="A10" i="11"/>
  <c r="A12" i="11"/>
  <c r="L12" i="11" s="1"/>
  <c r="A14" i="11"/>
  <c r="A16" i="11"/>
  <c r="A18" i="11"/>
  <c r="A20" i="11"/>
  <c r="L20" i="11" s="1"/>
  <c r="A22" i="11"/>
  <c r="A24" i="11"/>
  <c r="A26" i="11"/>
  <c r="L26" i="11" s="1"/>
  <c r="A28" i="11"/>
  <c r="A30" i="11"/>
  <c r="A32" i="11"/>
  <c r="A34" i="11"/>
  <c r="L34" i="11" s="1"/>
  <c r="A6" i="10"/>
  <c r="A8" i="10"/>
  <c r="L8" i="10" s="1"/>
  <c r="A10" i="10"/>
  <c r="A12" i="10"/>
  <c r="A14" i="10"/>
  <c r="A18" i="10"/>
  <c r="A20" i="10"/>
  <c r="A22" i="10"/>
  <c r="L22" i="10" s="1"/>
  <c r="A24" i="10"/>
  <c r="A26" i="10"/>
  <c r="A28" i="10"/>
  <c r="A30" i="10"/>
  <c r="L30" i="10" s="1"/>
  <c r="A32" i="10"/>
  <c r="A34" i="10"/>
  <c r="A8" i="9"/>
  <c r="A12" i="9"/>
  <c r="L12" i="9" s="1"/>
  <c r="A14" i="9"/>
  <c r="A16" i="9"/>
  <c r="A18" i="9"/>
  <c r="L18" i="9" s="1"/>
  <c r="A20" i="9"/>
  <c r="A22" i="9"/>
  <c r="A24" i="9"/>
  <c r="A26" i="9"/>
  <c r="L26" i="9" s="1"/>
  <c r="A28" i="9"/>
  <c r="A30" i="9"/>
  <c r="A32" i="9"/>
  <c r="L32" i="9" s="1"/>
  <c r="A34" i="9"/>
  <c r="A6" i="8"/>
  <c r="L6" i="8" s="1"/>
  <c r="A8" i="8"/>
  <c r="A10" i="8"/>
  <c r="A14" i="8"/>
  <c r="L14" i="8" s="1"/>
  <c r="A18" i="8"/>
  <c r="A20" i="8"/>
  <c r="L20" i="8" s="1"/>
  <c r="A22" i="8"/>
  <c r="A24" i="8"/>
  <c r="A26" i="8"/>
  <c r="A28" i="8"/>
  <c r="L28" i="8" s="1"/>
  <c r="A30" i="8"/>
  <c r="A32" i="8"/>
  <c r="A34" i="8"/>
  <c r="L34" i="8" s="1"/>
  <c r="A6" i="7"/>
  <c r="A8" i="7"/>
  <c r="A10" i="7"/>
  <c r="L10" i="7" s="1"/>
  <c r="A12" i="7"/>
  <c r="A14" i="7"/>
  <c r="A16" i="7"/>
  <c r="L16" i="7" s="1"/>
  <c r="A18" i="7"/>
  <c r="A20" i="7"/>
  <c r="A22" i="7"/>
  <c r="A24" i="7"/>
  <c r="L24" i="7" s="1"/>
  <c r="A26" i="7"/>
  <c r="A28" i="7"/>
  <c r="A30" i="7"/>
  <c r="L30" i="7" s="1"/>
  <c r="A32" i="7"/>
  <c r="A34" i="7"/>
  <c r="A6" i="6"/>
  <c r="A10" i="6"/>
  <c r="A12" i="6"/>
  <c r="L12" i="6" s="1"/>
  <c r="A18" i="6"/>
  <c r="L18" i="6" s="1"/>
  <c r="A20" i="6"/>
  <c r="A24" i="6"/>
  <c r="A26" i="6"/>
  <c r="L26" i="6" s="1"/>
  <c r="A28" i="6"/>
  <c r="A30" i="6"/>
  <c r="A32" i="6"/>
  <c r="L32" i="6" s="1"/>
  <c r="A34" i="6"/>
  <c r="A6" i="5"/>
  <c r="A8" i="5"/>
  <c r="L8" i="5" s="1"/>
  <c r="A10" i="5"/>
  <c r="A12" i="5"/>
  <c r="A14" i="5"/>
  <c r="L14" i="5" s="1"/>
  <c r="A16" i="5"/>
  <c r="A26" i="5"/>
  <c r="A28" i="5"/>
  <c r="L28" i="5" s="1"/>
  <c r="A30" i="5"/>
  <c r="A32" i="5"/>
  <c r="A34" i="5"/>
  <c r="A8" i="4"/>
  <c r="L8" i="4" s="1"/>
  <c r="A10" i="4"/>
  <c r="A12" i="4"/>
  <c r="A26" i="4"/>
  <c r="A28" i="4"/>
  <c r="L28" i="4" s="1"/>
  <c r="A30" i="4"/>
  <c r="A32" i="4"/>
  <c r="B27" i="2" l="1"/>
  <c r="L5" i="6"/>
  <c r="L15" i="4"/>
  <c r="M38" i="6"/>
  <c r="E23" i="2" l="1"/>
  <c r="E22" i="2"/>
  <c r="E21" i="2"/>
  <c r="E18" i="2"/>
  <c r="E19" i="2" s="1"/>
  <c r="E12" i="2"/>
  <c r="E24" i="2"/>
  <c r="E20" i="2"/>
  <c r="E16" i="2"/>
  <c r="E15" i="2"/>
  <c r="C6" i="6" l="1"/>
  <c r="C5" i="6"/>
  <c r="C7" i="6"/>
  <c r="F7" i="6" s="1"/>
  <c r="E17" i="2"/>
  <c r="E14" i="2"/>
  <c r="C5" i="7" s="1"/>
  <c r="J5" i="7" l="1"/>
  <c r="F5" i="7"/>
  <c r="J6" i="6"/>
  <c r="F6" i="6"/>
  <c r="J5" i="6"/>
  <c r="F5" i="6"/>
  <c r="J7" i="6"/>
  <c r="N7" i="6"/>
  <c r="C10" i="6"/>
  <c r="C13" i="6"/>
  <c r="C9" i="6"/>
  <c r="C11" i="6"/>
  <c r="C12" i="6"/>
  <c r="C8" i="6"/>
  <c r="C5" i="14"/>
  <c r="C5" i="12"/>
  <c r="C5" i="9"/>
  <c r="C5" i="10"/>
  <c r="C5" i="8"/>
  <c r="C5" i="13"/>
  <c r="C5" i="11"/>
  <c r="C21" i="10"/>
  <c r="C17" i="11"/>
  <c r="C21" i="14"/>
  <c r="C29" i="14"/>
  <c r="C11" i="10"/>
  <c r="C7" i="11"/>
  <c r="C9" i="13"/>
  <c r="C17" i="13"/>
  <c r="C25" i="13"/>
  <c r="C33" i="13"/>
  <c r="C11" i="8"/>
  <c r="C19" i="8"/>
  <c r="C27" i="8"/>
  <c r="C7" i="9"/>
  <c r="C15" i="9"/>
  <c r="C23" i="9"/>
  <c r="C31" i="9"/>
  <c r="C33" i="10"/>
  <c r="C7" i="14"/>
  <c r="C15" i="14"/>
  <c r="C31" i="10"/>
  <c r="C27" i="11"/>
  <c r="C19" i="6"/>
  <c r="C27" i="6"/>
  <c r="C34" i="14"/>
  <c r="C34" i="13"/>
  <c r="C6" i="13"/>
  <c r="C6" i="12"/>
  <c r="C9" i="12"/>
  <c r="C13" i="12"/>
  <c r="C17" i="12"/>
  <c r="C21" i="12"/>
  <c r="C25" i="12"/>
  <c r="C29" i="12"/>
  <c r="C33" i="12"/>
  <c r="C34" i="11"/>
  <c r="C16" i="10"/>
  <c r="C34" i="10"/>
  <c r="C6" i="9"/>
  <c r="C18" i="8"/>
  <c r="C20" i="7"/>
  <c r="F20" i="7" s="1"/>
  <c r="C13" i="7"/>
  <c r="F13" i="7" s="1"/>
  <c r="C21" i="7"/>
  <c r="F21" i="7" s="1"/>
  <c r="C29" i="7"/>
  <c r="F29" i="7" s="1"/>
  <c r="C20" i="5"/>
  <c r="C16" i="4"/>
  <c r="N16" i="4" s="1"/>
  <c r="C24" i="4"/>
  <c r="F24" i="4" s="1"/>
  <c r="C22" i="5"/>
  <c r="C35" i="7"/>
  <c r="F35" i="7" s="1"/>
  <c r="C6" i="4"/>
  <c r="F6" i="4" s="1"/>
  <c r="C29" i="10"/>
  <c r="C25" i="11"/>
  <c r="C23" i="14"/>
  <c r="C31" i="14"/>
  <c r="C19" i="10"/>
  <c r="C15" i="11"/>
  <c r="C11" i="13"/>
  <c r="C19" i="13"/>
  <c r="C27" i="13"/>
  <c r="C13" i="8"/>
  <c r="C21" i="8"/>
  <c r="C29" i="8"/>
  <c r="C9" i="9"/>
  <c r="C17" i="9"/>
  <c r="C25" i="9"/>
  <c r="C33" i="9"/>
  <c r="C9" i="10"/>
  <c r="C13" i="11"/>
  <c r="C9" i="14"/>
  <c r="C7" i="10"/>
  <c r="C33" i="11"/>
  <c r="C21" i="6"/>
  <c r="C29" i="6"/>
  <c r="C9" i="4"/>
  <c r="F9" i="4" s="1"/>
  <c r="C24" i="14"/>
  <c r="C10" i="13"/>
  <c r="C18" i="12"/>
  <c r="C26" i="11"/>
  <c r="C12" i="10"/>
  <c r="C8" i="10"/>
  <c r="C22" i="9"/>
  <c r="C10" i="9"/>
  <c r="C22" i="8"/>
  <c r="C16" i="8"/>
  <c r="C24" i="7"/>
  <c r="F24" i="7" s="1"/>
  <c r="N24" i="7" s="1"/>
  <c r="C31" i="7"/>
  <c r="F31" i="7" s="1"/>
  <c r="N31" i="7" s="1"/>
  <c r="C31" i="11"/>
  <c r="C25" i="14"/>
  <c r="C33" i="14"/>
  <c r="C27" i="10"/>
  <c r="C23" i="11"/>
  <c r="C13" i="13"/>
  <c r="C21" i="13"/>
  <c r="C29" i="13"/>
  <c r="C7" i="8"/>
  <c r="C15" i="8"/>
  <c r="C23" i="8"/>
  <c r="C31" i="8"/>
  <c r="C11" i="9"/>
  <c r="C19" i="9"/>
  <c r="C27" i="9"/>
  <c r="C35" i="9"/>
  <c r="C17" i="10"/>
  <c r="C21" i="11"/>
  <c r="C11" i="14"/>
  <c r="C15" i="10"/>
  <c r="C11" i="11"/>
  <c r="C25" i="6"/>
  <c r="C15" i="6"/>
  <c r="C23" i="6"/>
  <c r="C10" i="14"/>
  <c r="C26" i="14"/>
  <c r="C17" i="14"/>
  <c r="C22" i="13"/>
  <c r="C22" i="12"/>
  <c r="C7" i="12"/>
  <c r="C11" i="12"/>
  <c r="C15" i="12"/>
  <c r="C19" i="12"/>
  <c r="C23" i="12"/>
  <c r="C27" i="12"/>
  <c r="C31" i="12"/>
  <c r="C35" i="12"/>
  <c r="C32" i="11"/>
  <c r="C10" i="10"/>
  <c r="C32" i="9"/>
  <c r="C6" i="8"/>
  <c r="C18" i="7"/>
  <c r="F18" i="7" s="1"/>
  <c r="C7" i="7"/>
  <c r="F7" i="7" s="1"/>
  <c r="C11" i="7"/>
  <c r="F11" i="7" s="1"/>
  <c r="C15" i="7"/>
  <c r="F15" i="7" s="1"/>
  <c r="C19" i="7"/>
  <c r="F19" i="7" s="1"/>
  <c r="C23" i="7"/>
  <c r="F23" i="7" s="1"/>
  <c r="N23" i="7" s="1"/>
  <c r="C27" i="7"/>
  <c r="F27" i="7" s="1"/>
  <c r="C14" i="6"/>
  <c r="C24" i="5"/>
  <c r="C13" i="10"/>
  <c r="C9" i="11"/>
  <c r="C19" i="14"/>
  <c r="C27" i="14"/>
  <c r="C35" i="10"/>
  <c r="C7" i="13"/>
  <c r="C15" i="13"/>
  <c r="C23" i="13"/>
  <c r="C31" i="13"/>
  <c r="C9" i="8"/>
  <c r="C17" i="8"/>
  <c r="C25" i="8"/>
  <c r="C33" i="8"/>
  <c r="C13" i="9"/>
  <c r="C21" i="9"/>
  <c r="C29" i="9"/>
  <c r="C25" i="10"/>
  <c r="C13" i="14"/>
  <c r="C23" i="10"/>
  <c r="C19" i="11"/>
  <c r="C35" i="14"/>
  <c r="C33" i="6"/>
  <c r="C17" i="6"/>
  <c r="C31" i="6"/>
  <c r="C12" i="14"/>
  <c r="C32" i="14"/>
  <c r="C16" i="13"/>
  <c r="C34" i="12"/>
  <c r="C28" i="11"/>
  <c r="C29" i="11"/>
  <c r="C18" i="10"/>
  <c r="C30" i="9"/>
  <c r="C10" i="8"/>
  <c r="C14" i="8"/>
  <c r="C8" i="7"/>
  <c r="F8" i="7" s="1"/>
  <c r="C6" i="7"/>
  <c r="F6" i="7" s="1"/>
  <c r="C22" i="6"/>
  <c r="C16" i="6"/>
  <c r="C18" i="5"/>
  <c r="C14" i="4"/>
  <c r="C22" i="4"/>
  <c r="F22" i="4" s="1"/>
  <c r="N22" i="4" s="1"/>
  <c r="C14" i="9"/>
  <c r="C12" i="8"/>
  <c r="C9" i="7"/>
  <c r="F9" i="7" s="1"/>
  <c r="N9" i="7" s="1"/>
  <c r="C17" i="7"/>
  <c r="F17" i="7" s="1"/>
  <c r="N17" i="7" s="1"/>
  <c r="C25" i="7"/>
  <c r="F25" i="7" s="1"/>
  <c r="C33" i="7"/>
  <c r="F33" i="7" s="1"/>
  <c r="C18" i="4"/>
  <c r="N18" i="4" s="1"/>
  <c r="C20" i="4"/>
  <c r="N20" i="4" s="1"/>
  <c r="C32" i="6"/>
  <c r="C26" i="6"/>
  <c r="C19" i="5"/>
  <c r="C9" i="5"/>
  <c r="C23" i="5"/>
  <c r="C21" i="5"/>
  <c r="C15" i="5"/>
  <c r="C12" i="4"/>
  <c r="F12" i="4" s="1"/>
  <c r="C19" i="4"/>
  <c r="N19" i="4" s="1"/>
  <c r="C7" i="4"/>
  <c r="C29" i="4"/>
  <c r="F29" i="4" s="1"/>
  <c r="N29" i="4" s="1"/>
  <c r="C30" i="14"/>
  <c r="C6" i="14"/>
  <c r="C28" i="13"/>
  <c r="C8" i="12"/>
  <c r="C16" i="11"/>
  <c r="C20" i="8"/>
  <c r="C14" i="7"/>
  <c r="F14" i="7" s="1"/>
  <c r="C30" i="5"/>
  <c r="C10" i="4"/>
  <c r="F10" i="4" s="1"/>
  <c r="C18" i="11"/>
  <c r="C24" i="9"/>
  <c r="C26" i="8"/>
  <c r="C30" i="6"/>
  <c r="C12" i="5"/>
  <c r="C8" i="4"/>
  <c r="C7" i="5"/>
  <c r="C25" i="5"/>
  <c r="C33" i="5"/>
  <c r="C13" i="5"/>
  <c r="C13" i="4"/>
  <c r="F13" i="4" s="1"/>
  <c r="C23" i="4"/>
  <c r="F23" i="4" s="1"/>
  <c r="C21" i="4"/>
  <c r="F21" i="4" s="1"/>
  <c r="N21" i="4" s="1"/>
  <c r="C17" i="4"/>
  <c r="N17" i="4" s="1"/>
  <c r="C20" i="14"/>
  <c r="C28" i="14"/>
  <c r="C32" i="13"/>
  <c r="C30" i="13"/>
  <c r="C26" i="13"/>
  <c r="C14" i="12"/>
  <c r="C26" i="12"/>
  <c r="C20" i="12"/>
  <c r="C30" i="10"/>
  <c r="C16" i="9"/>
  <c r="C30" i="7"/>
  <c r="F30" i="7" s="1"/>
  <c r="N30" i="7" s="1"/>
  <c r="C14" i="5"/>
  <c r="C6" i="5"/>
  <c r="C18" i="6"/>
  <c r="C5" i="5"/>
  <c r="C29" i="5"/>
  <c r="C35" i="5"/>
  <c r="C17" i="5"/>
  <c r="C31" i="5"/>
  <c r="C5" i="4"/>
  <c r="F5" i="4" s="1"/>
  <c r="C15" i="4"/>
  <c r="C27" i="4"/>
  <c r="F27" i="4" s="1"/>
  <c r="C16" i="14"/>
  <c r="C18" i="14"/>
  <c r="C14" i="13"/>
  <c r="C8" i="13"/>
  <c r="C24" i="13"/>
  <c r="C28" i="12"/>
  <c r="C10" i="12"/>
  <c r="C30" i="11"/>
  <c r="C6" i="11"/>
  <c r="C20" i="11"/>
  <c r="C22" i="10"/>
  <c r="C32" i="10"/>
  <c r="C26" i="9"/>
  <c r="C18" i="9"/>
  <c r="C34" i="9"/>
  <c r="C34" i="8"/>
  <c r="C24" i="8"/>
  <c r="C28" i="7"/>
  <c r="F28" i="7" s="1"/>
  <c r="C32" i="7"/>
  <c r="F32" i="7" s="1"/>
  <c r="C16" i="5"/>
  <c r="C34" i="6"/>
  <c r="C26" i="5"/>
  <c r="C10" i="5"/>
  <c r="C27" i="5"/>
  <c r="C34" i="5"/>
  <c r="C11" i="5"/>
  <c r="C32" i="4"/>
  <c r="F32" i="4" s="1"/>
  <c r="C31" i="4"/>
  <c r="F31" i="4" s="1"/>
  <c r="C26" i="4"/>
  <c r="F26" i="4" s="1"/>
  <c r="C25" i="4"/>
  <c r="F25" i="4" s="1"/>
  <c r="C11" i="4"/>
  <c r="C8" i="14"/>
  <c r="C14" i="14"/>
  <c r="C12" i="13"/>
  <c r="C18" i="13"/>
  <c r="C16" i="12"/>
  <c r="C12" i="12"/>
  <c r="C24" i="12"/>
  <c r="C8" i="11"/>
  <c r="C22" i="11"/>
  <c r="C14" i="11"/>
  <c r="C14" i="10"/>
  <c r="C26" i="10"/>
  <c r="C20" i="9"/>
  <c r="C8" i="9"/>
  <c r="C28" i="8"/>
  <c r="C30" i="8"/>
  <c r="C34" i="7"/>
  <c r="F34" i="7" s="1"/>
  <c r="C12" i="7"/>
  <c r="F12" i="7" s="1"/>
  <c r="C16" i="7"/>
  <c r="F16" i="7" s="1"/>
  <c r="N16" i="7" s="1"/>
  <c r="C28" i="6"/>
  <c r="C8" i="5"/>
  <c r="C32" i="5"/>
  <c r="C30" i="4"/>
  <c r="F30" i="4" s="1"/>
  <c r="C22" i="14"/>
  <c r="C20" i="13"/>
  <c r="C30" i="12"/>
  <c r="C32" i="12"/>
  <c r="C10" i="11"/>
  <c r="C24" i="11"/>
  <c r="C28" i="10"/>
  <c r="C20" i="10"/>
  <c r="C28" i="9"/>
  <c r="C12" i="9"/>
  <c r="C8" i="8"/>
  <c r="C10" i="7"/>
  <c r="F10" i="7" s="1"/>
  <c r="N10" i="7" s="1"/>
  <c r="C22" i="7"/>
  <c r="F22" i="7" s="1"/>
  <c r="C24" i="6"/>
  <c r="C28" i="5"/>
  <c r="C12" i="11"/>
  <c r="C24" i="10"/>
  <c r="C6" i="10"/>
  <c r="C32" i="8"/>
  <c r="C26" i="7"/>
  <c r="F26" i="7" s="1"/>
  <c r="C20" i="6"/>
  <c r="C28" i="4"/>
  <c r="F28" i="4" s="1"/>
  <c r="N28" i="4" s="1"/>
  <c r="N28" i="7" l="1"/>
  <c r="L28" i="7" s="1"/>
  <c r="N14" i="7"/>
  <c r="L14" i="7"/>
  <c r="N33" i="7"/>
  <c r="L33" i="7" s="1"/>
  <c r="N8" i="7"/>
  <c r="L8" i="7" s="1"/>
  <c r="N15" i="7"/>
  <c r="L15" i="7"/>
  <c r="N21" i="7"/>
  <c r="L21" i="7" s="1"/>
  <c r="N12" i="7"/>
  <c r="L12" i="7"/>
  <c r="N25" i="7"/>
  <c r="L25" i="7" s="1"/>
  <c r="N27" i="7"/>
  <c r="L27" i="7" s="1"/>
  <c r="N11" i="7"/>
  <c r="L11" i="7" s="1"/>
  <c r="N13" i="7"/>
  <c r="L13" i="7" s="1"/>
  <c r="N26" i="7"/>
  <c r="L26" i="7"/>
  <c r="N7" i="7"/>
  <c r="L7" i="7" s="1"/>
  <c r="N35" i="7"/>
  <c r="L35" i="7"/>
  <c r="N34" i="7"/>
  <c r="L34" i="7" s="1"/>
  <c r="N22" i="7"/>
  <c r="L22" i="7" s="1"/>
  <c r="N32" i="7"/>
  <c r="L32" i="7" s="1"/>
  <c r="N6" i="7"/>
  <c r="L6" i="7" s="1"/>
  <c r="N19" i="7"/>
  <c r="L19" i="7" s="1"/>
  <c r="N18" i="7"/>
  <c r="L18" i="7"/>
  <c r="N29" i="7"/>
  <c r="L29" i="7" s="1"/>
  <c r="J28" i="8"/>
  <c r="F28" i="8"/>
  <c r="N28" i="8" s="1"/>
  <c r="J12" i="8"/>
  <c r="F12" i="8"/>
  <c r="J17" i="8"/>
  <c r="F17" i="8"/>
  <c r="J6" i="8"/>
  <c r="F6" i="8"/>
  <c r="N6" i="8" s="1"/>
  <c r="J7" i="8"/>
  <c r="F7" i="8"/>
  <c r="N7" i="8" s="1"/>
  <c r="J22" i="8"/>
  <c r="F22" i="8"/>
  <c r="J11" i="8"/>
  <c r="F11" i="8"/>
  <c r="J32" i="8"/>
  <c r="F32" i="8"/>
  <c r="J20" i="8"/>
  <c r="F20" i="8"/>
  <c r="N20" i="8" s="1"/>
  <c r="J14" i="8"/>
  <c r="F14" i="8"/>
  <c r="N14" i="8" s="1"/>
  <c r="J9" i="8"/>
  <c r="F9" i="8"/>
  <c r="J31" i="8"/>
  <c r="F31" i="8"/>
  <c r="J29" i="8"/>
  <c r="F29" i="8"/>
  <c r="J8" i="8"/>
  <c r="F8" i="8"/>
  <c r="J24" i="8"/>
  <c r="F24" i="8"/>
  <c r="J34" i="8"/>
  <c r="F34" i="8"/>
  <c r="N34" i="8" s="1"/>
  <c r="J10" i="8"/>
  <c r="F10" i="8"/>
  <c r="J33" i="8"/>
  <c r="F33" i="8"/>
  <c r="J23" i="8"/>
  <c r="F23" i="8"/>
  <c r="J21" i="8"/>
  <c r="F21" i="8"/>
  <c r="N21" i="8" s="1"/>
  <c r="J27" i="8"/>
  <c r="F27" i="8"/>
  <c r="N27" i="8" s="1"/>
  <c r="J30" i="8"/>
  <c r="F30" i="8"/>
  <c r="J26" i="8"/>
  <c r="F26" i="8"/>
  <c r="J25" i="8"/>
  <c r="F25" i="8"/>
  <c r="J15" i="8"/>
  <c r="F15" i="8"/>
  <c r="J16" i="8"/>
  <c r="F16" i="8"/>
  <c r="J13" i="8"/>
  <c r="F13" i="8"/>
  <c r="N13" i="8" s="1"/>
  <c r="J18" i="8"/>
  <c r="F18" i="8"/>
  <c r="J19" i="8"/>
  <c r="F19" i="8"/>
  <c r="J18" i="9"/>
  <c r="F18" i="9"/>
  <c r="N18" i="9" s="1"/>
  <c r="J24" i="9"/>
  <c r="F24" i="9"/>
  <c r="J21" i="9"/>
  <c r="F21" i="9"/>
  <c r="J11" i="9"/>
  <c r="F11" i="9"/>
  <c r="N11" i="9" s="1"/>
  <c r="J9" i="9"/>
  <c r="F9" i="9"/>
  <c r="J6" i="9"/>
  <c r="F6" i="9"/>
  <c r="J15" i="9"/>
  <c r="F15" i="9"/>
  <c r="J26" i="9"/>
  <c r="F26" i="9"/>
  <c r="N26" i="9" s="1"/>
  <c r="J14" i="9"/>
  <c r="F14" i="9"/>
  <c r="J13" i="9"/>
  <c r="F13" i="9"/>
  <c r="J32" i="9"/>
  <c r="F32" i="9"/>
  <c r="N32" i="9" s="1"/>
  <c r="J35" i="9"/>
  <c r="F35" i="9"/>
  <c r="J10" i="9"/>
  <c r="F10" i="9"/>
  <c r="J33" i="9"/>
  <c r="F33" i="9"/>
  <c r="N33" i="9" s="1"/>
  <c r="J7" i="9"/>
  <c r="F7" i="9"/>
  <c r="J8" i="9"/>
  <c r="F8" i="9"/>
  <c r="J12" i="9"/>
  <c r="F12" i="9"/>
  <c r="N12" i="9" s="1"/>
  <c r="J20" i="9"/>
  <c r="F20" i="9"/>
  <c r="J16" i="9"/>
  <c r="F16" i="9"/>
  <c r="J27" i="9"/>
  <c r="F27" i="9"/>
  <c r="J22" i="9"/>
  <c r="F22" i="9"/>
  <c r="J25" i="9"/>
  <c r="F25" i="9"/>
  <c r="N25" i="9" s="1"/>
  <c r="J31" i="9"/>
  <c r="F31" i="9"/>
  <c r="J28" i="9"/>
  <c r="F28" i="9"/>
  <c r="J34" i="9"/>
  <c r="F34" i="9"/>
  <c r="J30" i="9"/>
  <c r="F30" i="9"/>
  <c r="J29" i="9"/>
  <c r="F29" i="9"/>
  <c r="J19" i="9"/>
  <c r="F19" i="9"/>
  <c r="N19" i="9" s="1"/>
  <c r="J17" i="9"/>
  <c r="F17" i="9"/>
  <c r="J23" i="9"/>
  <c r="F23" i="9"/>
  <c r="J20" i="10"/>
  <c r="F20" i="10"/>
  <c r="J18" i="10"/>
  <c r="F18" i="10"/>
  <c r="J23" i="10"/>
  <c r="F23" i="10"/>
  <c r="N23" i="10" s="1"/>
  <c r="J17" i="10"/>
  <c r="F17" i="10"/>
  <c r="J12" i="10"/>
  <c r="F12" i="10"/>
  <c r="J9" i="10"/>
  <c r="F9" i="10"/>
  <c r="N9" i="10" s="1"/>
  <c r="J19" i="10"/>
  <c r="F19" i="10"/>
  <c r="J29" i="10"/>
  <c r="F29" i="10"/>
  <c r="N29" i="10" s="1"/>
  <c r="J14" i="10"/>
  <c r="F14" i="10"/>
  <c r="J28" i="10"/>
  <c r="F28" i="10"/>
  <c r="J15" i="10"/>
  <c r="F15" i="10"/>
  <c r="N15" i="10" s="1"/>
  <c r="J27" i="10"/>
  <c r="F27" i="10"/>
  <c r="J7" i="10"/>
  <c r="F7" i="10"/>
  <c r="J34" i="10"/>
  <c r="F34" i="10"/>
  <c r="J33" i="10"/>
  <c r="F33" i="10"/>
  <c r="J25" i="10"/>
  <c r="F25" i="10"/>
  <c r="J35" i="10"/>
  <c r="F35" i="10"/>
  <c r="J10" i="10"/>
  <c r="F10" i="10"/>
  <c r="J16" i="10"/>
  <c r="F16" i="10"/>
  <c r="N16" i="10" s="1"/>
  <c r="J31" i="10"/>
  <c r="F31" i="10"/>
  <c r="J11" i="10"/>
  <c r="F11" i="10"/>
  <c r="J21" i="10"/>
  <c r="F21" i="10"/>
  <c r="J6" i="10"/>
  <c r="F6" i="10"/>
  <c r="J32" i="10"/>
  <c r="F32" i="10"/>
  <c r="J13" i="10"/>
  <c r="F13" i="10"/>
  <c r="J24" i="10"/>
  <c r="F24" i="10"/>
  <c r="J26" i="10"/>
  <c r="F26" i="10"/>
  <c r="J22" i="10"/>
  <c r="F22" i="10"/>
  <c r="N22" i="10" s="1"/>
  <c r="J30" i="10"/>
  <c r="F30" i="10"/>
  <c r="N30" i="10" s="1"/>
  <c r="J8" i="10"/>
  <c r="F8" i="10"/>
  <c r="N8" i="10" s="1"/>
  <c r="J10" i="11"/>
  <c r="F10" i="11"/>
  <c r="J12" i="11"/>
  <c r="F12" i="11"/>
  <c r="N12" i="11" s="1"/>
  <c r="J20" i="11"/>
  <c r="F20" i="11"/>
  <c r="N20" i="11" s="1"/>
  <c r="J11" i="11"/>
  <c r="F11" i="11"/>
  <c r="J23" i="11"/>
  <c r="F23" i="11"/>
  <c r="J31" i="11"/>
  <c r="F31" i="11"/>
  <c r="J33" i="11"/>
  <c r="F33" i="11"/>
  <c r="N33" i="11" s="1"/>
  <c r="J14" i="11"/>
  <c r="F14" i="11"/>
  <c r="J29" i="11"/>
  <c r="F29" i="11"/>
  <c r="J9" i="11"/>
  <c r="F9" i="11"/>
  <c r="J26" i="11"/>
  <c r="F26" i="11"/>
  <c r="N26" i="11" s="1"/>
  <c r="J27" i="11"/>
  <c r="F27" i="11"/>
  <c r="N27" i="11" s="1"/>
  <c r="J7" i="11"/>
  <c r="F7" i="11"/>
  <c r="J17" i="11"/>
  <c r="F17" i="11"/>
  <c r="J8" i="11"/>
  <c r="F8" i="11"/>
  <c r="J6" i="11"/>
  <c r="F6" i="11"/>
  <c r="N6" i="11" s="1"/>
  <c r="J18" i="11"/>
  <c r="F18" i="11"/>
  <c r="J24" i="11"/>
  <c r="F24" i="11"/>
  <c r="J22" i="11"/>
  <c r="F22" i="11"/>
  <c r="J30" i="11"/>
  <c r="F30" i="11"/>
  <c r="J16" i="11"/>
  <c r="F16" i="11"/>
  <c r="J28" i="11"/>
  <c r="F28" i="11"/>
  <c r="J19" i="11"/>
  <c r="F19" i="11"/>
  <c r="N19" i="11" s="1"/>
  <c r="J32" i="11"/>
  <c r="F32" i="11"/>
  <c r="J21" i="11"/>
  <c r="F21" i="11"/>
  <c r="J13" i="11"/>
  <c r="F13" i="11"/>
  <c r="N13" i="11" s="1"/>
  <c r="J15" i="11"/>
  <c r="F15" i="11"/>
  <c r="J25" i="11"/>
  <c r="F25" i="11"/>
  <c r="J34" i="11"/>
  <c r="F34" i="11"/>
  <c r="N34" i="11" s="1"/>
  <c r="J32" i="12"/>
  <c r="F32" i="12"/>
  <c r="N32" i="12" s="1"/>
  <c r="J28" i="12"/>
  <c r="F28" i="12"/>
  <c r="J20" i="12"/>
  <c r="F20" i="12"/>
  <c r="J35" i="12"/>
  <c r="F35" i="12"/>
  <c r="J19" i="12"/>
  <c r="F19" i="12"/>
  <c r="J22" i="12"/>
  <c r="F22" i="12"/>
  <c r="J33" i="12"/>
  <c r="F33" i="12"/>
  <c r="J17" i="12"/>
  <c r="F17" i="12"/>
  <c r="N17" i="12" s="1"/>
  <c r="J24" i="12"/>
  <c r="F24" i="12"/>
  <c r="N24" i="12" s="1"/>
  <c r="J30" i="12"/>
  <c r="F30" i="12"/>
  <c r="J12" i="12"/>
  <c r="F12" i="12"/>
  <c r="J26" i="12"/>
  <c r="F26" i="12"/>
  <c r="J31" i="12"/>
  <c r="F31" i="12"/>
  <c r="N31" i="12" s="1"/>
  <c r="J15" i="12"/>
  <c r="F15" i="12"/>
  <c r="J29" i="12"/>
  <c r="F29" i="12"/>
  <c r="J13" i="12"/>
  <c r="F13" i="12"/>
  <c r="J14" i="12"/>
  <c r="F14" i="12"/>
  <c r="J27" i="12"/>
  <c r="F27" i="12"/>
  <c r="J11" i="12"/>
  <c r="F11" i="12"/>
  <c r="N11" i="12" s="1"/>
  <c r="J18" i="12"/>
  <c r="F18" i="12"/>
  <c r="N18" i="12" s="1"/>
  <c r="J25" i="12"/>
  <c r="F25" i="12"/>
  <c r="N25" i="12" s="1"/>
  <c r="J9" i="12"/>
  <c r="F9" i="12"/>
  <c r="J16" i="12"/>
  <c r="F16" i="12"/>
  <c r="J10" i="12"/>
  <c r="F10" i="12"/>
  <c r="N10" i="12" s="1"/>
  <c r="J8" i="12"/>
  <c r="F8" i="12"/>
  <c r="J34" i="12"/>
  <c r="F34" i="12"/>
  <c r="J23" i="12"/>
  <c r="F23" i="12"/>
  <c r="J7" i="12"/>
  <c r="F7" i="12"/>
  <c r="J21" i="12"/>
  <c r="F21" i="12"/>
  <c r="J6" i="12"/>
  <c r="F6" i="12"/>
  <c r="J12" i="13"/>
  <c r="F12" i="13"/>
  <c r="J30" i="13"/>
  <c r="F30" i="13"/>
  <c r="J28" i="13"/>
  <c r="F28" i="13"/>
  <c r="N28" i="13" s="1"/>
  <c r="J16" i="13"/>
  <c r="F16" i="13"/>
  <c r="J15" i="13"/>
  <c r="F15" i="13"/>
  <c r="N15" i="13" s="1"/>
  <c r="J27" i="13"/>
  <c r="F27" i="13"/>
  <c r="J6" i="13"/>
  <c r="F6" i="13"/>
  <c r="L6" i="13" s="1"/>
  <c r="J9" i="13"/>
  <c r="F9" i="13"/>
  <c r="J32" i="13"/>
  <c r="F32" i="13"/>
  <c r="J7" i="13"/>
  <c r="F7" i="13"/>
  <c r="N7" i="13" s="1"/>
  <c r="J22" i="13"/>
  <c r="F22" i="13"/>
  <c r="N22" i="13" s="1"/>
  <c r="J29" i="13"/>
  <c r="F29" i="13"/>
  <c r="N29" i="13" s="1"/>
  <c r="J19" i="13"/>
  <c r="F19" i="13"/>
  <c r="J34" i="13"/>
  <c r="F34" i="13"/>
  <c r="J33" i="13"/>
  <c r="F33" i="13"/>
  <c r="J24" i="13"/>
  <c r="F24" i="13"/>
  <c r="J20" i="13"/>
  <c r="F20" i="13"/>
  <c r="J8" i="13"/>
  <c r="F8" i="13"/>
  <c r="N8" i="13" s="1"/>
  <c r="J31" i="13"/>
  <c r="F31" i="13"/>
  <c r="J21" i="13"/>
  <c r="F21" i="13"/>
  <c r="N21" i="13" s="1"/>
  <c r="J11" i="13"/>
  <c r="F11" i="13"/>
  <c r="J25" i="13"/>
  <c r="F25" i="13"/>
  <c r="J18" i="13"/>
  <c r="F18" i="13"/>
  <c r="J14" i="13"/>
  <c r="F14" i="13"/>
  <c r="N14" i="13" s="1"/>
  <c r="J26" i="13"/>
  <c r="F26" i="13"/>
  <c r="J23" i="13"/>
  <c r="F23" i="13"/>
  <c r="J13" i="13"/>
  <c r="F13" i="13"/>
  <c r="J10" i="13"/>
  <c r="F10" i="13"/>
  <c r="J17" i="13"/>
  <c r="F17" i="13"/>
  <c r="J28" i="14"/>
  <c r="F28" i="14"/>
  <c r="J18" i="14"/>
  <c r="F18" i="14"/>
  <c r="J19" i="14"/>
  <c r="F19" i="14"/>
  <c r="N19" i="14" s="1"/>
  <c r="J10" i="14"/>
  <c r="F10" i="14"/>
  <c r="J24" i="14"/>
  <c r="F24" i="14"/>
  <c r="J7" i="14"/>
  <c r="F7" i="14"/>
  <c r="J21" i="14"/>
  <c r="F21" i="14"/>
  <c r="J8" i="14"/>
  <c r="F8" i="14"/>
  <c r="J14" i="14"/>
  <c r="F14" i="14"/>
  <c r="J16" i="14"/>
  <c r="F16" i="14"/>
  <c r="J6" i="14"/>
  <c r="F6" i="14"/>
  <c r="N6" i="14" s="1"/>
  <c r="J32" i="14"/>
  <c r="F32" i="14"/>
  <c r="J13" i="14"/>
  <c r="F13" i="14"/>
  <c r="N13" i="14" s="1"/>
  <c r="J31" i="14"/>
  <c r="F31" i="14"/>
  <c r="J30" i="14"/>
  <c r="F30" i="14"/>
  <c r="J12" i="14"/>
  <c r="F12" i="14"/>
  <c r="N12" i="14" s="1"/>
  <c r="J35" i="14"/>
  <c r="F35" i="14"/>
  <c r="J17" i="14"/>
  <c r="F17" i="14"/>
  <c r="J11" i="14"/>
  <c r="F11" i="14"/>
  <c r="J33" i="14"/>
  <c r="F33" i="14"/>
  <c r="N33" i="14" s="1"/>
  <c r="J9" i="14"/>
  <c r="F9" i="14"/>
  <c r="J23" i="14"/>
  <c r="F23" i="14"/>
  <c r="J34" i="14"/>
  <c r="F34" i="14"/>
  <c r="N34" i="14" s="1"/>
  <c r="J22" i="14"/>
  <c r="F22" i="14"/>
  <c r="J20" i="14"/>
  <c r="F20" i="14"/>
  <c r="N20" i="14" s="1"/>
  <c r="J27" i="14"/>
  <c r="F27" i="14"/>
  <c r="N27" i="14" s="1"/>
  <c r="J26" i="14"/>
  <c r="F26" i="14"/>
  <c r="N26" i="14" s="1"/>
  <c r="J25" i="14"/>
  <c r="F25" i="14"/>
  <c r="J15" i="14"/>
  <c r="F15" i="14"/>
  <c r="J29" i="14"/>
  <c r="F29" i="14"/>
  <c r="J5" i="14"/>
  <c r="F5" i="14"/>
  <c r="J5" i="13"/>
  <c r="F5" i="13"/>
  <c r="J5" i="12"/>
  <c r="F5" i="12"/>
  <c r="J5" i="11"/>
  <c r="J38" i="11" s="1"/>
  <c r="F5" i="11"/>
  <c r="J5" i="10"/>
  <c r="J38" i="10" s="1"/>
  <c r="F5" i="10"/>
  <c r="J5" i="9"/>
  <c r="F5" i="9"/>
  <c r="J5" i="8"/>
  <c r="J38" i="8" s="1"/>
  <c r="F5" i="8"/>
  <c r="N5" i="7"/>
  <c r="F38" i="7"/>
  <c r="L5" i="7"/>
  <c r="J18" i="6"/>
  <c r="F18" i="6"/>
  <c r="N18" i="6" s="1"/>
  <c r="J30" i="6"/>
  <c r="F30" i="6"/>
  <c r="J22" i="6"/>
  <c r="F22" i="6"/>
  <c r="J15" i="6"/>
  <c r="F15" i="6"/>
  <c r="J29" i="6"/>
  <c r="F29" i="6"/>
  <c r="J8" i="6"/>
  <c r="F8" i="6"/>
  <c r="J13" i="6"/>
  <c r="F13" i="6"/>
  <c r="J24" i="6"/>
  <c r="F24" i="6"/>
  <c r="J20" i="6"/>
  <c r="F20" i="6"/>
  <c r="J31" i="6"/>
  <c r="F31" i="6"/>
  <c r="J25" i="6"/>
  <c r="F25" i="6"/>
  <c r="N25" i="6" s="1"/>
  <c r="J21" i="6"/>
  <c r="F21" i="6"/>
  <c r="J27" i="6"/>
  <c r="F27" i="6"/>
  <c r="J12" i="6"/>
  <c r="F12" i="6"/>
  <c r="N12" i="6" s="1"/>
  <c r="J10" i="6"/>
  <c r="F10" i="6"/>
  <c r="J28" i="6"/>
  <c r="F28" i="6"/>
  <c r="J26" i="6"/>
  <c r="F26" i="6"/>
  <c r="N26" i="6" s="1"/>
  <c r="J17" i="6"/>
  <c r="F17" i="6"/>
  <c r="J14" i="6"/>
  <c r="F14" i="6"/>
  <c r="J19" i="6"/>
  <c r="F19" i="6"/>
  <c r="N19" i="6" s="1"/>
  <c r="J11" i="6"/>
  <c r="F11" i="6"/>
  <c r="N11" i="6" s="1"/>
  <c r="J34" i="6"/>
  <c r="F34" i="6"/>
  <c r="J32" i="6"/>
  <c r="F32" i="6"/>
  <c r="N32" i="6" s="1"/>
  <c r="J16" i="6"/>
  <c r="F16" i="6"/>
  <c r="J33" i="6"/>
  <c r="F33" i="6"/>
  <c r="N33" i="6" s="1"/>
  <c r="J23" i="6"/>
  <c r="F23" i="6"/>
  <c r="J9" i="6"/>
  <c r="F9" i="6"/>
  <c r="N6" i="6"/>
  <c r="L6" i="6"/>
  <c r="N5" i="6"/>
  <c r="J8" i="5"/>
  <c r="F8" i="5"/>
  <c r="N8" i="5" s="1"/>
  <c r="F27" i="5"/>
  <c r="J27" i="5"/>
  <c r="J16" i="5"/>
  <c r="F16" i="5"/>
  <c r="F17" i="5"/>
  <c r="J17" i="5"/>
  <c r="F25" i="5"/>
  <c r="J25" i="5"/>
  <c r="F9" i="5"/>
  <c r="J9" i="5"/>
  <c r="J20" i="5"/>
  <c r="F20" i="5"/>
  <c r="J35" i="5"/>
  <c r="F35" i="5"/>
  <c r="N35" i="5" s="1"/>
  <c r="F6" i="5"/>
  <c r="J6" i="5"/>
  <c r="F7" i="5"/>
  <c r="N7" i="5" s="1"/>
  <c r="J7" i="5"/>
  <c r="F30" i="5"/>
  <c r="J30" i="5"/>
  <c r="F15" i="5"/>
  <c r="N15" i="5" s="1"/>
  <c r="J15" i="5"/>
  <c r="F19" i="5"/>
  <c r="J19" i="5"/>
  <c r="J24" i="5"/>
  <c r="F24" i="5"/>
  <c r="F22" i="5"/>
  <c r="N22" i="5" s="1"/>
  <c r="J22" i="5"/>
  <c r="F10" i="5"/>
  <c r="J10" i="5"/>
  <c r="F11" i="5"/>
  <c r="J11" i="5"/>
  <c r="F26" i="5"/>
  <c r="J26" i="5"/>
  <c r="F29" i="5"/>
  <c r="N29" i="5" s="1"/>
  <c r="J29" i="5"/>
  <c r="F14" i="5"/>
  <c r="N14" i="5" s="1"/>
  <c r="J14" i="5"/>
  <c r="F13" i="5"/>
  <c r="J13" i="5"/>
  <c r="F21" i="5"/>
  <c r="N21" i="5" s="1"/>
  <c r="J21" i="5"/>
  <c r="F18" i="5"/>
  <c r="J18" i="5"/>
  <c r="J28" i="5"/>
  <c r="F28" i="5"/>
  <c r="N28" i="5" s="1"/>
  <c r="J32" i="5"/>
  <c r="F32" i="5"/>
  <c r="J34" i="5"/>
  <c r="F31" i="5"/>
  <c r="J31" i="5"/>
  <c r="J33" i="5"/>
  <c r="F33" i="5"/>
  <c r="J12" i="5"/>
  <c r="F12" i="5"/>
  <c r="F23" i="5"/>
  <c r="J23" i="5"/>
  <c r="J5" i="5"/>
  <c r="F5" i="5"/>
  <c r="J8" i="4"/>
  <c r="F8" i="4"/>
  <c r="N8" i="4" s="1"/>
  <c r="J7" i="4"/>
  <c r="F7" i="4"/>
  <c r="N7" i="4" s="1"/>
  <c r="N15" i="4"/>
  <c r="N10" i="4"/>
  <c r="L10" i="4" s="1"/>
  <c r="J10" i="4"/>
  <c r="N12" i="4"/>
  <c r="L12" i="4" s="1"/>
  <c r="J12" i="4"/>
  <c r="N11" i="4"/>
  <c r="L11" i="4" s="1"/>
  <c r="J11" i="4"/>
  <c r="N13" i="4"/>
  <c r="L13" i="4" s="1"/>
  <c r="J13" i="4"/>
  <c r="N9" i="4"/>
  <c r="L9" i="4" s="1"/>
  <c r="J9" i="4"/>
  <c r="N6" i="4"/>
  <c r="L6" i="4" s="1"/>
  <c r="J6" i="4"/>
  <c r="J5" i="4"/>
  <c r="L7" i="6"/>
  <c r="N20" i="7"/>
  <c r="L20" i="7" s="1"/>
  <c r="N32" i="4"/>
  <c r="L32" i="4" s="1"/>
  <c r="N31" i="4"/>
  <c r="L31" i="4" s="1"/>
  <c r="N30" i="4"/>
  <c r="L30" i="4" s="1"/>
  <c r="N27" i="4"/>
  <c r="L27" i="4" s="1"/>
  <c r="N26" i="4"/>
  <c r="L26" i="4" s="1"/>
  <c r="N25" i="4"/>
  <c r="L25" i="4" s="1"/>
  <c r="N24" i="4"/>
  <c r="L24" i="4" s="1"/>
  <c r="N23" i="4"/>
  <c r="L23" i="4" s="1"/>
  <c r="L16" i="4"/>
  <c r="J25" i="4"/>
  <c r="J24" i="4"/>
  <c r="J30" i="4"/>
  <c r="J26" i="4"/>
  <c r="J21" i="4"/>
  <c r="J16" i="4"/>
  <c r="J28" i="4"/>
  <c r="J31" i="4"/>
  <c r="J27" i="4"/>
  <c r="J23" i="4"/>
  <c r="J22" i="4"/>
  <c r="J32" i="4"/>
  <c r="J29" i="4"/>
  <c r="J17" i="4"/>
  <c r="J18" i="4"/>
  <c r="J19" i="4"/>
  <c r="J14" i="4"/>
  <c r="J15" i="4"/>
  <c r="J20" i="4"/>
  <c r="J16" i="7"/>
  <c r="J28" i="7"/>
  <c r="J19" i="7"/>
  <c r="J30" i="7"/>
  <c r="J14" i="7"/>
  <c r="J8" i="7"/>
  <c r="J22" i="7"/>
  <c r="J25" i="7"/>
  <c r="J27" i="7"/>
  <c r="J11" i="7"/>
  <c r="J31" i="7"/>
  <c r="J21" i="7"/>
  <c r="J32" i="7"/>
  <c r="J17" i="7"/>
  <c r="J23" i="7"/>
  <c r="J7" i="7"/>
  <c r="J24" i="7"/>
  <c r="J13" i="7"/>
  <c r="J26" i="7"/>
  <c r="J12" i="7"/>
  <c r="J6" i="7"/>
  <c r="J18" i="7"/>
  <c r="J35" i="7"/>
  <c r="J20" i="7"/>
  <c r="K38" i="7"/>
  <c r="J10" i="7"/>
  <c r="J9" i="7"/>
  <c r="J34" i="7"/>
  <c r="J33" i="7"/>
  <c r="J15" i="7"/>
  <c r="J29" i="7"/>
  <c r="C38" i="8"/>
  <c r="C38" i="9"/>
  <c r="C38" i="12"/>
  <c r="C38" i="5"/>
  <c r="C38" i="7"/>
  <c r="C38" i="10"/>
  <c r="C38" i="14"/>
  <c r="C38" i="11"/>
  <c r="C38" i="6"/>
  <c r="C38" i="13"/>
  <c r="C38" i="4"/>
  <c r="E38" i="1"/>
  <c r="F38" i="1"/>
  <c r="H38" i="1"/>
  <c r="I38" i="1"/>
  <c r="B6" i="2" s="1"/>
  <c r="J38" i="1"/>
  <c r="A10" i="1"/>
  <c r="M10" i="1" s="1"/>
  <c r="A11" i="1"/>
  <c r="M11" i="1" s="1"/>
  <c r="A12" i="1"/>
  <c r="A13" i="1"/>
  <c r="A14" i="1"/>
  <c r="A15" i="1"/>
  <c r="A16" i="1"/>
  <c r="A17" i="1"/>
  <c r="M17" i="1" s="1"/>
  <c r="A18" i="1"/>
  <c r="M18" i="1" s="1"/>
  <c r="A19" i="1"/>
  <c r="A20" i="1"/>
  <c r="A21" i="1"/>
  <c r="A22" i="1"/>
  <c r="A23" i="1"/>
  <c r="A24" i="1"/>
  <c r="M24" i="1" s="1"/>
  <c r="A25" i="1"/>
  <c r="M25" i="1" s="1"/>
  <c r="A26" i="1"/>
  <c r="A27" i="1"/>
  <c r="A28" i="1"/>
  <c r="A29" i="1"/>
  <c r="A30" i="1"/>
  <c r="N30" i="1" s="1"/>
  <c r="A31" i="1"/>
  <c r="N31" i="1" s="1"/>
  <c r="A32" i="1"/>
  <c r="A33" i="1"/>
  <c r="A34" i="1"/>
  <c r="A35" i="1"/>
  <c r="A6" i="1"/>
  <c r="A7" i="1"/>
  <c r="A8" i="1"/>
  <c r="A9" i="1"/>
  <c r="J38" i="14" l="1"/>
  <c r="F38" i="6"/>
  <c r="N38" i="7"/>
  <c r="J38" i="6"/>
  <c r="J38" i="13"/>
  <c r="J38" i="12"/>
  <c r="J38" i="9"/>
  <c r="N18" i="8"/>
  <c r="L18" i="8" s="1"/>
  <c r="N16" i="8"/>
  <c r="L16" i="8" s="1"/>
  <c r="N25" i="8"/>
  <c r="L25" i="8" s="1"/>
  <c r="N30" i="8"/>
  <c r="L30" i="8" s="1"/>
  <c r="N33" i="8"/>
  <c r="L33" i="8" s="1"/>
  <c r="N8" i="8"/>
  <c r="L8" i="8" s="1"/>
  <c r="N31" i="8"/>
  <c r="L31" i="8" s="1"/>
  <c r="N32" i="8"/>
  <c r="L32" i="8" s="1"/>
  <c r="N22" i="8"/>
  <c r="L22" i="8" s="1"/>
  <c r="N12" i="8"/>
  <c r="L12" i="8" s="1"/>
  <c r="N19" i="8"/>
  <c r="L19" i="8" s="1"/>
  <c r="N15" i="8"/>
  <c r="L15" i="8" s="1"/>
  <c r="N26" i="8"/>
  <c r="L26" i="8" s="1"/>
  <c r="N23" i="8"/>
  <c r="L23" i="8" s="1"/>
  <c r="N10" i="8"/>
  <c r="L10" i="8" s="1"/>
  <c r="N24" i="8"/>
  <c r="L24" i="8" s="1"/>
  <c r="N29" i="8"/>
  <c r="L29" i="8" s="1"/>
  <c r="N9" i="8"/>
  <c r="L9" i="8" s="1"/>
  <c r="N11" i="8"/>
  <c r="L11" i="8" s="1"/>
  <c r="N17" i="8"/>
  <c r="L17" i="8" s="1"/>
  <c r="N23" i="9"/>
  <c r="L23" i="9" s="1"/>
  <c r="N30" i="9"/>
  <c r="L30" i="9" s="1"/>
  <c r="N28" i="9"/>
  <c r="L28" i="9" s="1"/>
  <c r="N27" i="9"/>
  <c r="L27" i="9" s="1"/>
  <c r="N20" i="9"/>
  <c r="L20" i="9" s="1"/>
  <c r="N8" i="9"/>
  <c r="L8" i="9" s="1"/>
  <c r="N35" i="9"/>
  <c r="L35" i="9" s="1"/>
  <c r="N13" i="9"/>
  <c r="L13" i="9" s="1"/>
  <c r="N6" i="9"/>
  <c r="L6" i="9" s="1"/>
  <c r="N24" i="9"/>
  <c r="L24" i="9" s="1"/>
  <c r="N17" i="9"/>
  <c r="L17" i="9" s="1"/>
  <c r="N29" i="9"/>
  <c r="L29" i="9" s="1"/>
  <c r="N34" i="9"/>
  <c r="L34" i="9"/>
  <c r="N31" i="9"/>
  <c r="L31" i="9" s="1"/>
  <c r="N22" i="9"/>
  <c r="L22" i="9" s="1"/>
  <c r="N16" i="9"/>
  <c r="L16" i="9" s="1"/>
  <c r="N7" i="9"/>
  <c r="L7" i="9" s="1"/>
  <c r="N10" i="9"/>
  <c r="L10" i="9" s="1"/>
  <c r="N14" i="9"/>
  <c r="L14" i="9" s="1"/>
  <c r="N15" i="9"/>
  <c r="L15" i="9" s="1"/>
  <c r="N9" i="9"/>
  <c r="L9" i="9" s="1"/>
  <c r="N21" i="9"/>
  <c r="L21" i="9" s="1"/>
  <c r="N24" i="10"/>
  <c r="L24" i="10" s="1"/>
  <c r="N32" i="10"/>
  <c r="L32" i="10" s="1"/>
  <c r="N21" i="10"/>
  <c r="L21" i="10"/>
  <c r="N31" i="10"/>
  <c r="L31" i="10" s="1"/>
  <c r="N10" i="10"/>
  <c r="L10" i="10"/>
  <c r="N25" i="10"/>
  <c r="L25" i="10" s="1"/>
  <c r="N34" i="10"/>
  <c r="L34" i="10" s="1"/>
  <c r="N27" i="10"/>
  <c r="L27" i="10" s="1"/>
  <c r="N28" i="10"/>
  <c r="L28" i="10" s="1"/>
  <c r="N17" i="10"/>
  <c r="L17" i="10" s="1"/>
  <c r="N18" i="10"/>
  <c r="L18" i="10" s="1"/>
  <c r="N26" i="10"/>
  <c r="L26" i="10" s="1"/>
  <c r="N13" i="10"/>
  <c r="L13" i="10" s="1"/>
  <c r="N6" i="10"/>
  <c r="L6" i="10" s="1"/>
  <c r="N11" i="10"/>
  <c r="L11" i="10" s="1"/>
  <c r="N35" i="10"/>
  <c r="L35" i="10" s="1"/>
  <c r="N33" i="10"/>
  <c r="L33" i="10" s="1"/>
  <c r="N7" i="10"/>
  <c r="L7" i="10" s="1"/>
  <c r="N14" i="10"/>
  <c r="L14" i="10" s="1"/>
  <c r="N19" i="10"/>
  <c r="L19" i="10"/>
  <c r="N12" i="10"/>
  <c r="L12" i="10" s="1"/>
  <c r="N20" i="10"/>
  <c r="L20" i="10" s="1"/>
  <c r="N25" i="11"/>
  <c r="L25" i="11" s="1"/>
  <c r="N32" i="11"/>
  <c r="L32" i="11" s="1"/>
  <c r="N28" i="11"/>
  <c r="L28" i="11" s="1"/>
  <c r="N30" i="11"/>
  <c r="L30" i="11" s="1"/>
  <c r="N24" i="11"/>
  <c r="L24" i="11" s="1"/>
  <c r="N17" i="11"/>
  <c r="L17" i="11" s="1"/>
  <c r="N9" i="11"/>
  <c r="L9" i="11" s="1"/>
  <c r="N14" i="11"/>
  <c r="L14" i="11" s="1"/>
  <c r="N31" i="11"/>
  <c r="L31" i="11" s="1"/>
  <c r="N11" i="11"/>
  <c r="L11" i="11" s="1"/>
  <c r="N15" i="11"/>
  <c r="L15" i="11" s="1"/>
  <c r="N21" i="11"/>
  <c r="L21" i="11" s="1"/>
  <c r="N16" i="11"/>
  <c r="L16" i="11" s="1"/>
  <c r="N22" i="11"/>
  <c r="L22" i="11" s="1"/>
  <c r="N18" i="11"/>
  <c r="L18" i="11" s="1"/>
  <c r="N8" i="11"/>
  <c r="L8" i="11" s="1"/>
  <c r="N7" i="11"/>
  <c r="L7" i="11" s="1"/>
  <c r="N29" i="11"/>
  <c r="L29" i="11" s="1"/>
  <c r="N23" i="11"/>
  <c r="L23" i="11" s="1"/>
  <c r="N10" i="11"/>
  <c r="L10" i="11" s="1"/>
  <c r="N6" i="12"/>
  <c r="L6" i="12" s="1"/>
  <c r="N7" i="12"/>
  <c r="L7" i="12" s="1"/>
  <c r="N34" i="12"/>
  <c r="L34" i="12" s="1"/>
  <c r="N9" i="12"/>
  <c r="L9" i="12" s="1"/>
  <c r="N27" i="12"/>
  <c r="L27" i="12"/>
  <c r="N13" i="12"/>
  <c r="L13" i="12" s="1"/>
  <c r="N15" i="12"/>
  <c r="L15" i="12" s="1"/>
  <c r="N26" i="12"/>
  <c r="L26" i="12"/>
  <c r="N30" i="12"/>
  <c r="L30" i="12" s="1"/>
  <c r="N22" i="12"/>
  <c r="L22" i="12" s="1"/>
  <c r="N35" i="12"/>
  <c r="L35" i="12" s="1"/>
  <c r="N28" i="12"/>
  <c r="L28" i="12"/>
  <c r="N21" i="12"/>
  <c r="L21" i="12" s="1"/>
  <c r="N23" i="12"/>
  <c r="L23" i="12" s="1"/>
  <c r="N8" i="12"/>
  <c r="L8" i="12" s="1"/>
  <c r="N16" i="12"/>
  <c r="L16" i="12" s="1"/>
  <c r="N14" i="12"/>
  <c r="L14" i="12" s="1"/>
  <c r="N29" i="12"/>
  <c r="L29" i="12" s="1"/>
  <c r="N12" i="12"/>
  <c r="L12" i="12" s="1"/>
  <c r="N33" i="12"/>
  <c r="L33" i="12" s="1"/>
  <c r="N19" i="12"/>
  <c r="L19" i="12" s="1"/>
  <c r="N20" i="12"/>
  <c r="L20" i="12" s="1"/>
  <c r="N10" i="13"/>
  <c r="L10" i="13" s="1"/>
  <c r="N23" i="13"/>
  <c r="L23" i="13" s="1"/>
  <c r="N25" i="13"/>
  <c r="L25" i="13" s="1"/>
  <c r="N24" i="13"/>
  <c r="L24" i="13" s="1"/>
  <c r="N34" i="13"/>
  <c r="L34" i="13" s="1"/>
  <c r="N9" i="13"/>
  <c r="L9" i="13" s="1"/>
  <c r="N27" i="13"/>
  <c r="L27" i="13" s="1"/>
  <c r="N16" i="13"/>
  <c r="L16" i="13" s="1"/>
  <c r="N30" i="13"/>
  <c r="L30" i="13" s="1"/>
  <c r="N17" i="13"/>
  <c r="L17" i="13" s="1"/>
  <c r="N13" i="13"/>
  <c r="L13" i="13" s="1"/>
  <c r="N26" i="13"/>
  <c r="L26" i="13" s="1"/>
  <c r="N18" i="13"/>
  <c r="L18" i="13" s="1"/>
  <c r="N11" i="13"/>
  <c r="L11" i="13" s="1"/>
  <c r="N31" i="13"/>
  <c r="L31" i="13" s="1"/>
  <c r="N20" i="13"/>
  <c r="L20" i="13" s="1"/>
  <c r="N33" i="13"/>
  <c r="L33" i="13" s="1"/>
  <c r="N19" i="13"/>
  <c r="L19" i="13" s="1"/>
  <c r="N32" i="13"/>
  <c r="L32" i="13" s="1"/>
  <c r="N6" i="13"/>
  <c r="N12" i="13"/>
  <c r="L12" i="13" s="1"/>
  <c r="N29" i="14"/>
  <c r="L29" i="14"/>
  <c r="N25" i="14"/>
  <c r="L25" i="14" s="1"/>
  <c r="N22" i="14"/>
  <c r="L22" i="14" s="1"/>
  <c r="N23" i="14"/>
  <c r="L23" i="14" s="1"/>
  <c r="N17" i="14"/>
  <c r="L17" i="14" s="1"/>
  <c r="N31" i="14"/>
  <c r="L31" i="14"/>
  <c r="N32" i="14"/>
  <c r="L32" i="14"/>
  <c r="N16" i="14"/>
  <c r="L16" i="14" s="1"/>
  <c r="N8" i="14"/>
  <c r="L8" i="14" s="1"/>
  <c r="N7" i="14"/>
  <c r="L7" i="14" s="1"/>
  <c r="N10" i="14"/>
  <c r="L10" i="14" s="1"/>
  <c r="N18" i="14"/>
  <c r="L18" i="14" s="1"/>
  <c r="N15" i="14"/>
  <c r="L15" i="14" s="1"/>
  <c r="N9" i="14"/>
  <c r="L9" i="14" s="1"/>
  <c r="N11" i="14"/>
  <c r="L11" i="14" s="1"/>
  <c r="N35" i="14"/>
  <c r="L35" i="14" s="1"/>
  <c r="N30" i="14"/>
  <c r="L30" i="14"/>
  <c r="N14" i="14"/>
  <c r="L14" i="14" s="1"/>
  <c r="N21" i="14"/>
  <c r="L21" i="14" s="1"/>
  <c r="N24" i="14"/>
  <c r="L24" i="14" s="1"/>
  <c r="N28" i="14"/>
  <c r="L28" i="14"/>
  <c r="N5" i="14"/>
  <c r="F38" i="14"/>
  <c r="N5" i="13"/>
  <c r="F38" i="13"/>
  <c r="L5" i="13"/>
  <c r="N5" i="12"/>
  <c r="F38" i="12"/>
  <c r="N5" i="11"/>
  <c r="F38" i="11"/>
  <c r="N5" i="10"/>
  <c r="F38" i="10"/>
  <c r="N5" i="9"/>
  <c r="F38" i="9"/>
  <c r="N5" i="8"/>
  <c r="N38" i="8" s="1"/>
  <c r="F38" i="8"/>
  <c r="N23" i="6"/>
  <c r="L23" i="6" s="1"/>
  <c r="N16" i="6"/>
  <c r="L16" i="6" s="1"/>
  <c r="N34" i="6"/>
  <c r="L34" i="6" s="1"/>
  <c r="N17" i="6"/>
  <c r="L17" i="6" s="1"/>
  <c r="N28" i="6"/>
  <c r="L28" i="6" s="1"/>
  <c r="N21" i="6"/>
  <c r="L21" i="6" s="1"/>
  <c r="N31" i="6"/>
  <c r="L31" i="6" s="1"/>
  <c r="N24" i="6"/>
  <c r="L24" i="6" s="1"/>
  <c r="N8" i="6"/>
  <c r="L8" i="6" s="1"/>
  <c r="N15" i="6"/>
  <c r="L15" i="6" s="1"/>
  <c r="N30" i="6"/>
  <c r="L30" i="6" s="1"/>
  <c r="N9" i="6"/>
  <c r="L9" i="6" s="1"/>
  <c r="N14" i="6"/>
  <c r="L14" i="6" s="1"/>
  <c r="N10" i="6"/>
  <c r="L10" i="6" s="1"/>
  <c r="N27" i="6"/>
  <c r="L27" i="6" s="1"/>
  <c r="N20" i="6"/>
  <c r="L20" i="6" s="1"/>
  <c r="N13" i="6"/>
  <c r="L13" i="6" s="1"/>
  <c r="N29" i="6"/>
  <c r="L29" i="6" s="1"/>
  <c r="N22" i="6"/>
  <c r="L22" i="6" s="1"/>
  <c r="N33" i="5"/>
  <c r="L33" i="5" s="1"/>
  <c r="N24" i="5"/>
  <c r="L24" i="5" s="1"/>
  <c r="N23" i="5"/>
  <c r="L23" i="5" s="1"/>
  <c r="N34" i="5"/>
  <c r="L34" i="5" s="1"/>
  <c r="N26" i="5"/>
  <c r="L26" i="5" s="1"/>
  <c r="N10" i="5"/>
  <c r="L10" i="5" s="1"/>
  <c r="N9" i="5"/>
  <c r="L9" i="5" s="1"/>
  <c r="N17" i="5"/>
  <c r="L17" i="5" s="1"/>
  <c r="N27" i="5"/>
  <c r="L27" i="5" s="1"/>
  <c r="N12" i="5"/>
  <c r="L12" i="5" s="1"/>
  <c r="N32" i="5"/>
  <c r="L32" i="5" s="1"/>
  <c r="N20" i="5"/>
  <c r="L20" i="5" s="1"/>
  <c r="N16" i="5"/>
  <c r="L16" i="5" s="1"/>
  <c r="N31" i="5"/>
  <c r="L31" i="5" s="1"/>
  <c r="N18" i="5"/>
  <c r="L18" i="5" s="1"/>
  <c r="N13" i="5"/>
  <c r="L13" i="5" s="1"/>
  <c r="N11" i="5"/>
  <c r="L11" i="5" s="1"/>
  <c r="N19" i="5"/>
  <c r="L19" i="5" s="1"/>
  <c r="N30" i="5"/>
  <c r="L30" i="5" s="1"/>
  <c r="N6" i="5"/>
  <c r="L6" i="5" s="1"/>
  <c r="N25" i="5"/>
  <c r="L25" i="5" s="1"/>
  <c r="N5" i="5"/>
  <c r="L5" i="5" s="1"/>
  <c r="M38" i="4"/>
  <c r="N14" i="4"/>
  <c r="N5" i="4"/>
  <c r="L5" i="4" s="1"/>
  <c r="J38" i="5"/>
  <c r="M32" i="1"/>
  <c r="M31" i="1"/>
  <c r="L38" i="7"/>
  <c r="F38" i="4"/>
  <c r="J38" i="4"/>
  <c r="J38" i="7"/>
  <c r="D35" i="1"/>
  <c r="G35" i="1" s="1"/>
  <c r="D27" i="1"/>
  <c r="G27" i="1" s="1"/>
  <c r="D19" i="1"/>
  <c r="O19" i="1" s="1"/>
  <c r="D15" i="1"/>
  <c r="G15" i="1" s="1"/>
  <c r="D8" i="1"/>
  <c r="G8" i="1" s="1"/>
  <c r="C8" i="1" s="1"/>
  <c r="D30" i="1"/>
  <c r="G30" i="1" s="1"/>
  <c r="D22" i="1"/>
  <c r="O22" i="1" s="1"/>
  <c r="D14" i="1"/>
  <c r="G14" i="1" s="1"/>
  <c r="D10" i="1"/>
  <c r="G10" i="1" s="1"/>
  <c r="C10" i="1" s="1"/>
  <c r="D33" i="1"/>
  <c r="G33" i="1" s="1"/>
  <c r="D29" i="1"/>
  <c r="G29" i="1" s="1"/>
  <c r="D25" i="1"/>
  <c r="G25" i="1" s="1"/>
  <c r="D21" i="1"/>
  <c r="O21" i="1" s="1"/>
  <c r="D17" i="1"/>
  <c r="G17" i="1" s="1"/>
  <c r="D13" i="1"/>
  <c r="G13" i="1" s="1"/>
  <c r="D9" i="1"/>
  <c r="G9" i="1" s="1"/>
  <c r="C9" i="1" s="1"/>
  <c r="D31" i="1"/>
  <c r="O31" i="1" s="1"/>
  <c r="D23" i="1"/>
  <c r="O23" i="1" s="1"/>
  <c r="D11" i="1"/>
  <c r="G11" i="1" s="1"/>
  <c r="C11" i="1" s="1"/>
  <c r="D34" i="1"/>
  <c r="G34" i="1" s="1"/>
  <c r="D26" i="1"/>
  <c r="G26" i="1" s="1"/>
  <c r="D18" i="1"/>
  <c r="G18" i="1" s="1"/>
  <c r="D7" i="1"/>
  <c r="G7" i="1" s="1"/>
  <c r="C7" i="1" s="1"/>
  <c r="D6" i="1"/>
  <c r="G6" i="1" s="1"/>
  <c r="C6" i="1" s="1"/>
  <c r="D32" i="1"/>
  <c r="G32" i="1" s="1"/>
  <c r="D28" i="1"/>
  <c r="G28" i="1" s="1"/>
  <c r="D24" i="1"/>
  <c r="G24" i="1" s="1"/>
  <c r="D20" i="1"/>
  <c r="O20" i="1" s="1"/>
  <c r="D16" i="1"/>
  <c r="O16" i="1" s="1"/>
  <c r="D12" i="1"/>
  <c r="G12" i="1" s="1"/>
  <c r="C12" i="1" s="1"/>
  <c r="O14" i="1" l="1"/>
  <c r="C14" i="1"/>
  <c r="O24" i="1"/>
  <c r="C24" i="1"/>
  <c r="O13" i="1"/>
  <c r="C13" i="1"/>
  <c r="O29" i="1"/>
  <c r="C29" i="1"/>
  <c r="O15" i="1"/>
  <c r="C15" i="1"/>
  <c r="O28" i="1"/>
  <c r="C28" i="1"/>
  <c r="O18" i="1"/>
  <c r="C18" i="1"/>
  <c r="O17" i="1"/>
  <c r="C17" i="1"/>
  <c r="O33" i="1"/>
  <c r="M33" i="1" s="1"/>
  <c r="C33" i="1"/>
  <c r="O30" i="1"/>
  <c r="C30" i="1"/>
  <c r="O27" i="1"/>
  <c r="C27" i="1"/>
  <c r="O34" i="1"/>
  <c r="C34" i="1"/>
  <c r="O25" i="1"/>
  <c r="C25" i="1"/>
  <c r="O32" i="1"/>
  <c r="C32" i="1"/>
  <c r="O26" i="1"/>
  <c r="M26" i="1" s="1"/>
  <c r="C26" i="1"/>
  <c r="O35" i="1"/>
  <c r="C35" i="1"/>
  <c r="O12" i="1"/>
  <c r="M12" i="1" s="1"/>
  <c r="O7" i="1"/>
  <c r="O11" i="1"/>
  <c r="O10" i="1"/>
  <c r="O8" i="1"/>
  <c r="O6" i="1"/>
  <c r="O9" i="1"/>
  <c r="L5" i="8"/>
  <c r="L38" i="8" s="1"/>
  <c r="N38" i="11"/>
  <c r="L38" i="6"/>
  <c r="N38" i="14"/>
  <c r="N38" i="6"/>
  <c r="N38" i="13"/>
  <c r="N38" i="12"/>
  <c r="N38" i="9"/>
  <c r="N38" i="10"/>
  <c r="L38" i="9"/>
  <c r="L5" i="10"/>
  <c r="L38" i="10" s="1"/>
  <c r="L38" i="11"/>
  <c r="L38" i="13"/>
  <c r="L38" i="14"/>
  <c r="L5" i="12"/>
  <c r="L38" i="12" s="1"/>
  <c r="L38" i="4"/>
  <c r="N38" i="4"/>
  <c r="K14" i="1"/>
  <c r="K12" i="1"/>
  <c r="K28" i="1"/>
  <c r="K18" i="1"/>
  <c r="K23" i="1"/>
  <c r="K17" i="1"/>
  <c r="K33" i="1"/>
  <c r="K30" i="1"/>
  <c r="K27" i="1"/>
  <c r="K34" i="1"/>
  <c r="M34" i="1"/>
  <c r="K16" i="1"/>
  <c r="K32" i="1"/>
  <c r="K26" i="1"/>
  <c r="K31" i="1"/>
  <c r="K21" i="1"/>
  <c r="K10" i="1"/>
  <c r="K35" i="1"/>
  <c r="M35" i="1"/>
  <c r="K20" i="1"/>
  <c r="K25" i="1"/>
  <c r="K15" i="1"/>
  <c r="M15" i="1"/>
  <c r="K24" i="1"/>
  <c r="K11" i="1"/>
  <c r="K13" i="1"/>
  <c r="K29" i="1"/>
  <c r="M29" i="1"/>
  <c r="K22" i="1"/>
  <c r="K19" i="1"/>
  <c r="K7" i="1"/>
  <c r="K6" i="1"/>
  <c r="K9" i="1"/>
  <c r="M9" i="1"/>
  <c r="K8" i="1"/>
  <c r="M19" i="1"/>
  <c r="M7" i="1"/>
  <c r="M30" i="1"/>
  <c r="A5" i="1"/>
  <c r="N38" i="1" l="1"/>
  <c r="B12" i="2" s="1"/>
  <c r="M14" i="1"/>
  <c r="M28" i="1"/>
  <c r="M27" i="1"/>
  <c r="M16" i="1"/>
  <c r="M13" i="1"/>
  <c r="M20" i="1"/>
  <c r="M21" i="1"/>
  <c r="M23" i="1"/>
  <c r="M22" i="1"/>
  <c r="M6" i="1"/>
  <c r="M8" i="1"/>
  <c r="D5" i="1"/>
  <c r="G5" i="1" s="1"/>
  <c r="C5" i="1" s="1"/>
  <c r="C38" i="1" s="1"/>
  <c r="O5" i="1" l="1"/>
  <c r="M5" i="1"/>
  <c r="K5" i="1"/>
  <c r="L38" i="1"/>
  <c r="B7" i="2" s="1"/>
  <c r="D38" i="1"/>
  <c r="B5" i="2" s="1"/>
  <c r="K38" i="1" l="1"/>
  <c r="B4" i="2" s="1"/>
  <c r="B8" i="2" s="1"/>
  <c r="G38" i="1"/>
  <c r="O38" i="1"/>
  <c r="B21" i="2"/>
  <c r="F38" i="5"/>
  <c r="L38" i="5"/>
  <c r="B9" i="2" l="1"/>
  <c r="M38" i="1"/>
  <c r="N38" i="5"/>
  <c r="B13" i="2" s="1"/>
  <c r="B14" i="2" s="1"/>
  <c r="B15" i="2" l="1"/>
  <c r="B20" i="2" s="1"/>
  <c r="B22" i="2" l="1"/>
  <c r="B24" i="2" s="1"/>
  <c r="B16" i="2"/>
  <c r="B29" i="2" l="1"/>
</calcChain>
</file>

<file path=xl/sharedStrings.xml><?xml version="1.0" encoding="utf-8"?>
<sst xmlns="http://schemas.openxmlformats.org/spreadsheetml/2006/main" count="230" uniqueCount="64">
  <si>
    <t>Heures à faire:</t>
  </si>
  <si>
    <t>ASA</t>
  </si>
  <si>
    <t>22hà3h30à6h 
(X2,5)</t>
  </si>
  <si>
    <t>16h45à22h 
(X1,25)</t>
  </si>
  <si>
    <t>Heures pointées 
Bâtiment</t>
  </si>
  <si>
    <t>Congés</t>
  </si>
  <si>
    <t>Heures
Neige</t>
  </si>
  <si>
    <t>Heures faites:</t>
  </si>
  <si>
    <t>Année :</t>
  </si>
  <si>
    <t>Heures :</t>
  </si>
  <si>
    <t>Neige :</t>
  </si>
  <si>
    <t>TOTAL des heures déjà récupérées</t>
  </si>
  <si>
    <t>TOTAL Récup neige</t>
  </si>
  <si>
    <t>Moins une semaine de congés</t>
  </si>
  <si>
    <t>Récup Heures
Neige</t>
  </si>
  <si>
    <t>Congés : (en heures)</t>
  </si>
  <si>
    <t>Totaux :</t>
  </si>
  <si>
    <t>Jours 
Fériés</t>
  </si>
  <si>
    <t>Heures 
Supp</t>
  </si>
  <si>
    <t>7h30à16h45
 (X1)</t>
  </si>
  <si>
    <t>6hà7h30 
(X1,25)</t>
  </si>
  <si>
    <t>Lundi</t>
  </si>
  <si>
    <t>Vendredi</t>
  </si>
  <si>
    <t>Mardi</t>
  </si>
  <si>
    <t>Mercredi</t>
  </si>
  <si>
    <t>Jeudi</t>
  </si>
  <si>
    <t>Samedi</t>
  </si>
  <si>
    <t>Dimanche</t>
  </si>
  <si>
    <t>Mes Horaires</t>
  </si>
  <si>
    <t>Dates :</t>
  </si>
  <si>
    <t>en jours :</t>
  </si>
  <si>
    <t>Lundi de Pâques</t>
  </si>
  <si>
    <t>Assomption</t>
  </si>
  <si>
    <t>Toussaint</t>
  </si>
  <si>
    <t>Armistice 1945</t>
  </si>
  <si>
    <t>Fête du travail</t>
  </si>
  <si>
    <t>Pâques</t>
  </si>
  <si>
    <t>Jour de l'an</t>
  </si>
  <si>
    <t xml:space="preserve">Ascension </t>
  </si>
  <si>
    <t xml:space="preserve">Pentecôte </t>
  </si>
  <si>
    <t>Lundi de Pentecote</t>
  </si>
  <si>
    <t>Fête nationale</t>
  </si>
  <si>
    <t>Armistice 1918</t>
  </si>
  <si>
    <t>NOEL</t>
  </si>
  <si>
    <t>Jours_fériés</t>
  </si>
  <si>
    <t>Heures théoriques faites sur l'année :</t>
  </si>
  <si>
    <t>Semaine</t>
  </si>
  <si>
    <t>Heures jours fériés :</t>
  </si>
  <si>
    <t>Heures théoriques restantes à faire :</t>
  </si>
  <si>
    <t>Heures réelles restantes à faire :</t>
  </si>
  <si>
    <t>heures à faire sur 1 an</t>
  </si>
  <si>
    <t>TOTAL heures supp neige de janv à avril</t>
  </si>
  <si>
    <t xml:space="preserve">Jour de fractionnement à prendre </t>
  </si>
  <si>
    <t>TOTAL heures supp neige de oct au 31/12année précédente</t>
  </si>
  <si>
    <t>TOTAL heures supp neige de Oct à Déc /année suivante :</t>
  </si>
  <si>
    <r>
      <t xml:space="preserve">Heures réelles faites sur l'année :                                 </t>
    </r>
    <r>
      <rPr>
        <b/>
        <sz val="16"/>
        <color theme="1"/>
        <rFont val="Calibri"/>
        <family val="2"/>
        <scheme val="minor"/>
      </rPr>
      <t>= A</t>
    </r>
  </si>
  <si>
    <r>
      <t xml:space="preserve">Heures à faire sur l'année :                                           </t>
    </r>
    <r>
      <rPr>
        <b/>
        <sz val="16"/>
        <color theme="1"/>
        <rFont val="Calibri"/>
        <family val="2"/>
        <scheme val="minor"/>
      </rPr>
      <t xml:space="preserve"> = H</t>
    </r>
  </si>
  <si>
    <r>
      <t xml:space="preserve">Congés neige 35h :                                                       </t>
    </r>
    <r>
      <rPr>
        <b/>
        <sz val="16"/>
        <color theme="1"/>
        <rFont val="Calibri"/>
        <family val="2"/>
        <scheme val="minor"/>
      </rPr>
      <t>= B</t>
    </r>
  </si>
  <si>
    <r>
      <t xml:space="preserve">Congés à prendre :                                                       </t>
    </r>
    <r>
      <rPr>
        <b/>
        <sz val="16"/>
        <color theme="1"/>
        <rFont val="Calibri"/>
        <family val="2"/>
        <scheme val="minor"/>
      </rPr>
      <t>= E</t>
    </r>
  </si>
  <si>
    <r>
      <t xml:space="preserve">Congés pris sur l'année en cours :                              </t>
    </r>
    <r>
      <rPr>
        <b/>
        <sz val="16"/>
        <color theme="1"/>
        <rFont val="Calibri"/>
        <family val="2"/>
        <scheme val="minor"/>
      </rPr>
      <t>= F</t>
    </r>
  </si>
  <si>
    <r>
      <t xml:space="preserve">restant à prendre pour l'année en cours :             </t>
    </r>
    <r>
      <rPr>
        <b/>
        <sz val="16"/>
        <color theme="1"/>
        <rFont val="Calibri"/>
        <family val="2"/>
        <scheme val="minor"/>
      </rPr>
      <t xml:space="preserve"> G = E-F</t>
    </r>
  </si>
  <si>
    <r>
      <t xml:space="preserve">Reliquat année précédente :   Solde N-1                   </t>
    </r>
    <r>
      <rPr>
        <b/>
        <sz val="16"/>
        <color theme="1"/>
        <rFont val="Calibri"/>
        <family val="2"/>
        <scheme val="minor"/>
      </rPr>
      <t>= I</t>
    </r>
  </si>
  <si>
    <t>Bilan au 31/12 : (A+B)-(h-i+g)+g</t>
  </si>
  <si>
    <t>Jours 
travaillés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</si>
</sst>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$-F800]dddd\,\ mmmm\ dd\,\ yyyy"/>
    <numFmt numFmtId="166" formatCode="[$-40C]mmmm\-yy;@"/>
    <numFmt numFmtId="167" formatCode="[h]:mm"/>
    <numFmt numFmtId="168" formatCode="dddd\ dd\ mmmm\ yyyy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22"/>
      <color theme="1"/>
      <name val="Times New Roman"/>
      <family val="1"/>
    </font>
    <font>
      <sz val="36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75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>
      <alignment vertical="center"/>
    </xf>
    <xf numFmtId="164" fontId="0" fillId="4" borderId="2" xfId="0" applyNumberFormat="1" applyFill="1" applyBorder="1"/>
    <xf numFmtId="164" fontId="0" fillId="5" borderId="5" xfId="0" applyNumberFormat="1" applyFill="1" applyBorder="1"/>
    <xf numFmtId="164" fontId="0" fillId="6" borderId="5" xfId="0" applyNumberFormat="1" applyFill="1" applyBorder="1"/>
    <xf numFmtId="0" fontId="4" fillId="5" borderId="4" xfId="0" applyFont="1" applyFill="1" applyBorder="1" applyAlignment="1" applyProtection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 wrapText="1"/>
    </xf>
    <xf numFmtId="0" fontId="0" fillId="7" borderId="2" xfId="0" applyFill="1" applyBorder="1"/>
    <xf numFmtId="0" fontId="0" fillId="7" borderId="3" xfId="0" applyFill="1" applyBorder="1"/>
    <xf numFmtId="14" fontId="0" fillId="3" borderId="5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165" fontId="0" fillId="3" borderId="3" xfId="0" applyNumberFormat="1" applyFill="1" applyBorder="1" applyAlignment="1">
      <alignment horizontal="center"/>
    </xf>
    <xf numFmtId="0" fontId="1" fillId="8" borderId="2" xfId="0" applyFont="1" applyFill="1" applyBorder="1"/>
    <xf numFmtId="0" fontId="1" fillId="8" borderId="2" xfId="0" applyFont="1" applyFill="1" applyBorder="1" applyAlignment="1">
      <alignment vertical="center"/>
    </xf>
    <xf numFmtId="167" fontId="2" fillId="8" borderId="2" xfId="0" applyNumberFormat="1" applyFont="1" applyFill="1" applyBorder="1" applyAlignment="1">
      <alignment vertical="center"/>
    </xf>
    <xf numFmtId="0" fontId="10" fillId="9" borderId="0" xfId="1" applyFont="1" applyFill="1" applyBorder="1"/>
    <xf numFmtId="0" fontId="11" fillId="9" borderId="0" xfId="1" applyFont="1" applyFill="1" applyBorder="1"/>
    <xf numFmtId="168" fontId="10" fillId="9" borderId="0" xfId="1" applyNumberFormat="1" applyFont="1" applyFill="1" applyBorder="1" applyAlignment="1">
      <alignment horizontal="center"/>
    </xf>
    <xf numFmtId="165" fontId="10" fillId="9" borderId="0" xfId="1" applyNumberFormat="1" applyFont="1" applyFill="1" applyBorder="1" applyAlignment="1">
      <alignment horizontal="center"/>
    </xf>
    <xf numFmtId="0" fontId="0" fillId="11" borderId="2" xfId="0" applyFill="1" applyBorder="1"/>
    <xf numFmtId="20" fontId="0" fillId="11" borderId="2" xfId="0" applyNumberFormat="1" applyFill="1" applyBorder="1"/>
    <xf numFmtId="46" fontId="0" fillId="0" borderId="0" xfId="0" applyNumberFormat="1"/>
    <xf numFmtId="0" fontId="0" fillId="0" borderId="0" xfId="0" applyAlignment="1">
      <alignment horizontal="right"/>
    </xf>
    <xf numFmtId="167" fontId="2" fillId="8" borderId="2" xfId="0" applyNumberFormat="1" applyFont="1" applyFill="1" applyBorder="1"/>
    <xf numFmtId="0" fontId="1" fillId="8" borderId="2" xfId="0" applyFont="1" applyFill="1" applyBorder="1" applyAlignment="1">
      <alignment horizontal="right"/>
    </xf>
    <xf numFmtId="0" fontId="2" fillId="8" borderId="2" xfId="0" applyFont="1" applyFill="1" applyBorder="1"/>
    <xf numFmtId="167" fontId="2" fillId="8" borderId="2" xfId="0" applyNumberFormat="1" applyFont="1" applyFill="1" applyBorder="1" applyAlignment="1" applyProtection="1">
      <alignment vertical="center"/>
      <protection locked="0"/>
    </xf>
    <xf numFmtId="167" fontId="2" fillId="8" borderId="2" xfId="0" applyNumberFormat="1" applyFont="1" applyFill="1" applyBorder="1" applyProtection="1">
      <protection locked="0"/>
    </xf>
    <xf numFmtId="20" fontId="2" fillId="8" borderId="0" xfId="0" applyNumberFormat="1" applyFont="1" applyFill="1" applyProtection="1">
      <protection locked="0"/>
    </xf>
    <xf numFmtId="0" fontId="14" fillId="10" borderId="21" xfId="0" applyFont="1" applyFill="1" applyBorder="1" applyAlignment="1">
      <alignment horizontal="center"/>
    </xf>
    <xf numFmtId="167" fontId="14" fillId="10" borderId="22" xfId="0" applyNumberFormat="1" applyFont="1" applyFill="1" applyBorder="1"/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2" fillId="5" borderId="0" xfId="0" applyFont="1" applyFill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0" fillId="10" borderId="2" xfId="0" applyNumberFormat="1" applyFill="1" applyBorder="1" applyAlignment="1">
      <alignment horizontal="center"/>
    </xf>
    <xf numFmtId="167" fontId="0" fillId="4" borderId="11" xfId="0" applyNumberFormat="1" applyFill="1" applyBorder="1" applyAlignment="1">
      <alignment horizontal="center"/>
    </xf>
    <xf numFmtId="167" fontId="0" fillId="4" borderId="12" xfId="0" applyNumberFormat="1" applyFill="1" applyBorder="1" applyAlignment="1">
      <alignment horizontal="center"/>
    </xf>
    <xf numFmtId="0" fontId="5" fillId="5" borderId="9" xfId="0" applyFont="1" applyFill="1" applyBorder="1" applyAlignment="1" applyProtection="1">
      <alignment horizontal="center" vertical="center" wrapText="1"/>
    </xf>
    <xf numFmtId="0" fontId="5" fillId="5" borderId="10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5" fillId="6" borderId="7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 applyProtection="1">
      <alignment horizontal="center" vertical="center"/>
    </xf>
    <xf numFmtId="0" fontId="5" fillId="5" borderId="6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166" fontId="8" fillId="3" borderId="0" xfId="0" applyNumberFormat="1" applyFont="1" applyFill="1" applyBorder="1" applyAlignment="1">
      <alignment horizontal="left" vertical="center" indent="16"/>
    </xf>
    <xf numFmtId="166" fontId="8" fillId="3" borderId="1" xfId="0" applyNumberFormat="1" applyFont="1" applyFill="1" applyBorder="1" applyAlignment="1">
      <alignment horizontal="left" vertical="center" indent="16"/>
    </xf>
    <xf numFmtId="0" fontId="6" fillId="6" borderId="19" xfId="0" applyFont="1" applyFill="1" applyBorder="1" applyAlignment="1" applyProtection="1">
      <alignment horizontal="center" vertical="center"/>
    </xf>
    <xf numFmtId="0" fontId="6" fillId="6" borderId="20" xfId="0" applyFont="1" applyFill="1" applyBorder="1" applyAlignment="1" applyProtection="1">
      <alignment horizontal="center" vertical="center"/>
    </xf>
    <xf numFmtId="0" fontId="6" fillId="6" borderId="8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0" fillId="7" borderId="5" xfId="0" applyFill="1" applyBorder="1"/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5" fillId="4" borderId="11" xfId="0" applyFont="1" applyFill="1" applyBorder="1" applyAlignment="1" applyProtection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</xf>
    <xf numFmtId="0" fontId="15" fillId="3" borderId="25" xfId="0" applyFont="1" applyFill="1" applyBorder="1" applyAlignment="1" applyProtection="1">
      <alignment horizontal="center" vertical="center" wrapText="1"/>
    </xf>
    <xf numFmtId="0" fontId="15" fillId="3" borderId="26" xfId="0" applyFont="1" applyFill="1" applyBorder="1" applyAlignment="1" applyProtection="1">
      <alignment horizontal="center" vertical="center"/>
    </xf>
    <xf numFmtId="0" fontId="7" fillId="3" borderId="13" xfId="0" applyFont="1" applyFill="1" applyBorder="1" applyAlignment="1" applyProtection="1">
      <alignment horizontal="center" vertical="center"/>
    </xf>
    <xf numFmtId="0" fontId="7" fillId="3" borderId="14" xfId="0" applyFont="1" applyFill="1" applyBorder="1" applyAlignment="1" applyProtection="1">
      <alignment horizontal="center" vertical="center"/>
    </xf>
    <xf numFmtId="0" fontId="7" fillId="3" borderId="15" xfId="0" applyFont="1" applyFill="1" applyBorder="1" applyAlignment="1" applyProtection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_feries" xfId="1"/>
  </cellStyles>
  <dxfs count="191"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solid">
          <bgColor theme="0"/>
        </patternFill>
      </fill>
    </dxf>
    <dxf>
      <fill>
        <patternFill>
          <bgColor rgb="FF92D050"/>
        </patternFill>
      </fill>
    </dxf>
    <dxf>
      <fill>
        <patternFill>
          <bgColor indexed="57"/>
        </patternFill>
      </fill>
    </dxf>
  </dxfs>
  <tableStyles count="0" defaultTableStyle="TableStyleMedium2" defaultPivotStyle="PivotStyleMedium9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70" zoomScaleNormal="70" workbookViewId="0">
      <selection activeCell="E10" sqref="E10"/>
    </sheetView>
  </sheetViews>
  <sheetFormatPr baseColWidth="10" defaultColWidth="9.140625" defaultRowHeight="15" x14ac:dyDescent="0.25"/>
  <cols>
    <col min="1" max="1" width="68.42578125" bestFit="1" customWidth="1"/>
    <col min="2" max="2" width="29.7109375" customWidth="1"/>
    <col min="3" max="3" width="18.28515625" bestFit="1" customWidth="1"/>
    <col min="4" max="4" width="11.5703125" customWidth="1"/>
    <col min="5" max="5" width="27" bestFit="1" customWidth="1"/>
    <col min="6" max="6" width="14.85546875" customWidth="1"/>
  </cols>
  <sheetData>
    <row r="1" spans="1:7" x14ac:dyDescent="0.25">
      <c r="A1" s="32" t="s">
        <v>8</v>
      </c>
      <c r="B1" s="33">
        <v>2018</v>
      </c>
      <c r="C1" s="35" t="s">
        <v>28</v>
      </c>
      <c r="D1" s="36"/>
    </row>
    <row r="2" spans="1:7" x14ac:dyDescent="0.25">
      <c r="A2" s="32"/>
      <c r="B2" s="33"/>
      <c r="C2" s="20" t="s">
        <v>21</v>
      </c>
      <c r="D2" s="21">
        <v>0.32291666666666669</v>
      </c>
    </row>
    <row r="3" spans="1:7" ht="18.75" x14ac:dyDescent="0.3">
      <c r="A3" s="37" t="s">
        <v>9</v>
      </c>
      <c r="B3" s="37"/>
      <c r="C3" s="20" t="s">
        <v>23</v>
      </c>
      <c r="D3" s="21">
        <v>0.32291666666666669</v>
      </c>
    </row>
    <row r="4" spans="1:7" ht="21" x14ac:dyDescent="0.35">
      <c r="A4" s="13" t="s">
        <v>56</v>
      </c>
      <c r="B4" s="24">
        <f>F5+'Janvier 2018'!K38+Février!J38+Mars!J38+'Avril '!J38+Mai!J38+Juin!J38+Juillet!J38+Août!J38+Septembre!J38+Octobre!J38+Novembre!J38+Décembre!J38+B18</f>
        <v>70.412500000000023</v>
      </c>
      <c r="C4" s="20" t="s">
        <v>24</v>
      </c>
      <c r="D4" s="21">
        <v>0.32291666666666669</v>
      </c>
    </row>
    <row r="5" spans="1:7" ht="18.75" x14ac:dyDescent="0.3">
      <c r="A5" s="13" t="s">
        <v>45</v>
      </c>
      <c r="B5" s="24">
        <f>'Janvier 2018'!D38+Février!C38+Mars!C38+'Avril '!C38+Mai!C38+Juin!C38+Juillet!C38+Août!C38+Septembre!C38+Octobre!C38+Novembre!C38+Décembre!C38</f>
        <v>73.572916666666686</v>
      </c>
      <c r="C5" s="20" t="s">
        <v>25</v>
      </c>
      <c r="D5" s="21">
        <v>0.32291666666666669</v>
      </c>
      <c r="E5" s="23" t="s">
        <v>50</v>
      </c>
      <c r="F5" s="22">
        <v>65.625</v>
      </c>
    </row>
    <row r="6" spans="1:7" ht="21" x14ac:dyDescent="0.35">
      <c r="A6" s="13" t="s">
        <v>55</v>
      </c>
      <c r="B6" s="24">
        <f>'Avril '!H38+Mai!H38+Juin!H38+Juillet!H38+Août!H38+Septembre!H38+Octobre!H38+Novembre!H38+Décembre!H38+'Janvier 2018'!I38+Février!H38+Mars!H38</f>
        <v>5.0513888888888898</v>
      </c>
      <c r="C6" s="20" t="s">
        <v>22</v>
      </c>
      <c r="D6" s="21">
        <v>0.16666666666666666</v>
      </c>
      <c r="E6" s="23" t="s">
        <v>46</v>
      </c>
      <c r="F6" s="22">
        <v>1.4583333333333333</v>
      </c>
    </row>
    <row r="7" spans="1:7" ht="19.5" customHeight="1" x14ac:dyDescent="0.3">
      <c r="A7" s="13" t="s">
        <v>47</v>
      </c>
      <c r="B7" s="24">
        <f>'Avril '!J38+Mai!J38+Juin!J38+Juillet!J38+Août!J38+Septembre!J38+Octobre!J38+Novembre!J38+Décembre!J38+'Janvier 2018'!L38+Février!J38+Mars!J38</f>
        <v>3.7187500000000004</v>
      </c>
      <c r="C7" s="20" t="s">
        <v>26</v>
      </c>
      <c r="D7" s="21">
        <v>0</v>
      </c>
    </row>
    <row r="8" spans="1:7" ht="18.75" x14ac:dyDescent="0.3">
      <c r="A8" s="13" t="s">
        <v>48</v>
      </c>
      <c r="B8" s="24">
        <f>B4-B5+B7</f>
        <v>0.55833333333333757</v>
      </c>
      <c r="C8" s="20" t="s">
        <v>27</v>
      </c>
      <c r="D8" s="21">
        <v>0</v>
      </c>
    </row>
    <row r="9" spans="1:7" ht="19.5" customHeight="1" x14ac:dyDescent="0.3">
      <c r="A9" s="13" t="s">
        <v>49</v>
      </c>
      <c r="B9" s="24">
        <f>B4-B6-B7+B21</f>
        <v>71.704861111111128</v>
      </c>
      <c r="C9" s="1"/>
      <c r="D9" s="1"/>
      <c r="E9" s="1"/>
      <c r="F9" s="1"/>
      <c r="G9" s="1"/>
    </row>
    <row r="10" spans="1:7" ht="23.25" customHeight="1" x14ac:dyDescent="0.3">
      <c r="A10" s="37" t="s">
        <v>10</v>
      </c>
      <c r="B10" s="37"/>
      <c r="C10" s="1"/>
      <c r="D10" s="1"/>
      <c r="E10" s="1"/>
      <c r="F10" s="1"/>
      <c r="G10" s="1"/>
    </row>
    <row r="11" spans="1:7" ht="18.75" x14ac:dyDescent="0.25">
      <c r="A11" s="14" t="s">
        <v>53</v>
      </c>
      <c r="B11" s="27">
        <v>3.4416666666666664</v>
      </c>
      <c r="C11" s="38" t="s">
        <v>44</v>
      </c>
      <c r="D11" s="38"/>
      <c r="E11" s="38"/>
      <c r="F11" s="2"/>
      <c r="G11" s="1"/>
    </row>
    <row r="12" spans="1:7" ht="18.75" x14ac:dyDescent="0.25">
      <c r="A12" s="14" t="s">
        <v>51</v>
      </c>
      <c r="B12" s="15">
        <f>'Janvier 2018'!N38+Février!M38+Mars!M38+'Avril '!M38</f>
        <v>2.877604166666667</v>
      </c>
      <c r="C12" s="16" t="s">
        <v>37</v>
      </c>
      <c r="D12" s="17"/>
      <c r="E12" s="18">
        <f>DATE(Année,1,1)</f>
        <v>41639</v>
      </c>
      <c r="F12" s="21">
        <v>0</v>
      </c>
      <c r="G12" s="1"/>
    </row>
    <row r="13" spans="1:7" ht="18.75" x14ac:dyDescent="0.25">
      <c r="A13" s="14" t="s">
        <v>11</v>
      </c>
      <c r="B13" s="15">
        <f>'Janvier 2018'!P38+Février!N38+Mars!N38+'Avril '!N38+Mai!N38+Juin!N38+Juillet!N38+Août!N38+Septembre!N38+Octobre!N38+Novembre!N38+Décembre!N38</f>
        <v>0.36527777777777781</v>
      </c>
      <c r="C13" s="16" t="s">
        <v>36</v>
      </c>
      <c r="D13" s="17"/>
      <c r="E13" s="19">
        <f>IF(MOD(19*MOD(Année,19)+24,30)+MOD(2*MOD(Année,4)+4*MOD(Année,7)+6*
MOD(19*MOD(Année,19)+24,30)+5,7)-9&lt;=0,DATE(Année,3,22+MOD(19*MOD(Année,
19)+24,30)+MOD(2*MOD(Année,4)+4*MOD(Année,7)+6*MOD(19*MOD(Année,19)+24,
30)+5,7)),DATE(Année,4,MOD(19*MOD(Année,19)+24,30)+MOD(2*MOD(Année,4)+4*
MOD(Année,7)+6*MOD(19*MOD(Année,19)+24,30)+5,7)-9))</f>
        <v>41729</v>
      </c>
      <c r="F13" s="21">
        <v>0</v>
      </c>
      <c r="G13" s="1"/>
    </row>
    <row r="14" spans="1:7" ht="18.75" x14ac:dyDescent="0.25">
      <c r="A14" s="14" t="s">
        <v>12</v>
      </c>
      <c r="B14" s="15">
        <f>B11+B12-B13</f>
        <v>5.9539930555555554</v>
      </c>
      <c r="C14" s="16" t="s">
        <v>31</v>
      </c>
      <c r="D14" s="17"/>
      <c r="E14" s="19">
        <f>E13+1</f>
        <v>41730</v>
      </c>
      <c r="F14" s="21">
        <v>0</v>
      </c>
      <c r="G14" s="1"/>
    </row>
    <row r="15" spans="1:7" ht="18.75" x14ac:dyDescent="0.25">
      <c r="A15" s="14" t="s">
        <v>13</v>
      </c>
      <c r="B15" s="15">
        <f>IF(B14&lt;F6,0,F6)</f>
        <v>1.4583333333333333</v>
      </c>
      <c r="C15" s="16" t="s">
        <v>35</v>
      </c>
      <c r="D15" s="17"/>
      <c r="E15" s="19">
        <f>DATE(An,5,1)</f>
        <v>41759</v>
      </c>
      <c r="F15" s="21">
        <v>0</v>
      </c>
      <c r="G15" s="1"/>
    </row>
    <row r="16" spans="1:7" ht="18.75" x14ac:dyDescent="0.25">
      <c r="A16" s="14" t="s">
        <v>12</v>
      </c>
      <c r="B16" s="15">
        <f>B14-B15</f>
        <v>4.4956597222222223</v>
      </c>
      <c r="C16" s="16" t="s">
        <v>34</v>
      </c>
      <c r="D16" s="17"/>
      <c r="E16" s="19">
        <f>DATE(An,5,8)</f>
        <v>41766</v>
      </c>
      <c r="F16" s="21">
        <v>0</v>
      </c>
      <c r="G16" s="1"/>
    </row>
    <row r="17" spans="1:6" ht="18.75" x14ac:dyDescent="0.3">
      <c r="A17" s="34" t="s">
        <v>15</v>
      </c>
      <c r="B17" s="34"/>
      <c r="C17" s="16" t="s">
        <v>38</v>
      </c>
      <c r="D17" s="17"/>
      <c r="E17" s="19">
        <f>E13+39</f>
        <v>41768</v>
      </c>
      <c r="F17" s="21">
        <v>0</v>
      </c>
    </row>
    <row r="18" spans="1:6" ht="21" x14ac:dyDescent="0.3">
      <c r="A18" s="14" t="s">
        <v>61</v>
      </c>
      <c r="B18" s="28">
        <v>2.2041666666666666</v>
      </c>
      <c r="C18" s="16" t="s">
        <v>39</v>
      </c>
      <c r="D18" s="17"/>
      <c r="E18" s="18">
        <f>E13+49</f>
        <v>41778</v>
      </c>
      <c r="F18" s="21">
        <v>0</v>
      </c>
    </row>
    <row r="19" spans="1:6" ht="21" x14ac:dyDescent="0.3">
      <c r="A19" s="14" t="s">
        <v>58</v>
      </c>
      <c r="B19" s="24">
        <v>7.875</v>
      </c>
      <c r="C19" s="16" t="s">
        <v>40</v>
      </c>
      <c r="D19" s="17"/>
      <c r="E19" s="18">
        <f>E18+1</f>
        <v>41779</v>
      </c>
      <c r="F19" s="21">
        <v>0.32291666666666669</v>
      </c>
    </row>
    <row r="20" spans="1:6" ht="21" x14ac:dyDescent="0.3">
      <c r="A20" s="14" t="s">
        <v>57</v>
      </c>
      <c r="B20" s="24">
        <f>B15</f>
        <v>1.4583333333333333</v>
      </c>
      <c r="C20" s="16" t="s">
        <v>41</v>
      </c>
      <c r="D20" s="17"/>
      <c r="E20" s="18">
        <f>DATE(An,7,14)</f>
        <v>41833</v>
      </c>
      <c r="F20" s="21">
        <v>0</v>
      </c>
    </row>
    <row r="21" spans="1:6" ht="21" x14ac:dyDescent="0.3">
      <c r="A21" s="14" t="s">
        <v>59</v>
      </c>
      <c r="B21" s="24">
        <f>'Janvier 2018'!L38+Février!K38+Mars!K38+'Avril '!K38+Mai!K38+Juin!K38+Juillet!K38+Août!K38+Septembre!K38+Octobre!K38+Novembre!K38+Décembre!K38</f>
        <v>10.062499999999998</v>
      </c>
      <c r="C21" s="16" t="s">
        <v>32</v>
      </c>
      <c r="D21" s="17"/>
      <c r="E21" s="18">
        <f>DATE(Année,8,15)</f>
        <v>41865</v>
      </c>
      <c r="F21" s="21">
        <v>0</v>
      </c>
    </row>
    <row r="22" spans="1:6" ht="21" x14ac:dyDescent="0.3">
      <c r="A22" s="14" t="s">
        <v>60</v>
      </c>
      <c r="B22" s="24">
        <f>B18+B19+B20-B21</f>
        <v>1.4750000000000014</v>
      </c>
      <c r="C22" s="16" t="s">
        <v>33</v>
      </c>
      <c r="D22" s="17"/>
      <c r="E22" s="18">
        <f>DATE(Année,11,1)</f>
        <v>41943</v>
      </c>
      <c r="F22" s="21">
        <v>0</v>
      </c>
    </row>
    <row r="23" spans="1:6" ht="18.75" x14ac:dyDescent="0.3">
      <c r="A23" s="14" t="s">
        <v>52</v>
      </c>
      <c r="B23" s="29">
        <v>0.32291666666666669</v>
      </c>
      <c r="C23" s="16" t="s">
        <v>42</v>
      </c>
      <c r="D23" s="17"/>
      <c r="E23" s="18">
        <f>DATE(Année,11,11)</f>
        <v>41953</v>
      </c>
      <c r="F23" s="21">
        <v>0</v>
      </c>
    </row>
    <row r="24" spans="1:6" ht="18.75" x14ac:dyDescent="0.3">
      <c r="A24" s="25" t="s">
        <v>30</v>
      </c>
      <c r="B24" s="24">
        <f>(B22+B23)/7.45</f>
        <v>0.24133109619686821</v>
      </c>
      <c r="C24" s="16" t="s">
        <v>43</v>
      </c>
      <c r="D24" s="17"/>
      <c r="E24" s="18">
        <f>DATE(An,12,25)</f>
        <v>41997</v>
      </c>
      <c r="F24" s="21">
        <v>0</v>
      </c>
    </row>
    <row r="27" spans="1:6" ht="18.75" x14ac:dyDescent="0.3">
      <c r="A27" s="14" t="s">
        <v>54</v>
      </c>
      <c r="B27" s="26">
        <f>Octobre!M38+Novembre!M38+Décembre!M38</f>
        <v>0</v>
      </c>
    </row>
    <row r="29" spans="1:6" ht="24" thickBot="1" x14ac:dyDescent="0.4">
      <c r="A29" s="30" t="s">
        <v>62</v>
      </c>
      <c r="B29" s="31">
        <f>B6+B20-B4-B18+B22+B22</f>
        <v>-63.156944444444456</v>
      </c>
    </row>
    <row r="30" spans="1:6" ht="15.75" thickTop="1" x14ac:dyDescent="0.25"/>
  </sheetData>
  <mergeCells count="7">
    <mergeCell ref="A1:A2"/>
    <mergeCell ref="B1:B2"/>
    <mergeCell ref="A17:B17"/>
    <mergeCell ref="C1:D1"/>
    <mergeCell ref="A3:B3"/>
    <mergeCell ref="C11:E11"/>
    <mergeCell ref="A10:B10"/>
  </mergeCells>
  <conditionalFormatting sqref="C12:E24">
    <cfRule type="expression" dxfId="190" priority="1" stopIfTrue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ignoredErrors>
    <ignoredError sqref="B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O39"/>
  <sheetViews>
    <sheetView tabSelected="1" workbookViewId="0">
      <pane ySplit="4" topLeftCell="A29" activePane="bottomLeft" state="frozen"/>
      <selection activeCell="B36" sqref="B36"/>
      <selection pane="bottomLeft" sqref="A1:O39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3" width="8" bestFit="1" customWidth="1"/>
    <col min="4" max="9" width="14.5703125" customWidth="1"/>
    <col min="10" max="12" width="10.85546875" customWidth="1"/>
    <col min="13" max="13" width="14.28515625" customWidth="1"/>
    <col min="14" max="15" width="10.85546875" customWidth="1"/>
  </cols>
  <sheetData>
    <row r="1" spans="1:15" ht="26.25" customHeight="1" x14ac:dyDescent="0.25">
      <c r="A1" s="49">
        <f>DATE(Année!B1,1,1)</f>
        <v>41639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</row>
    <row r="2" spans="1:15" ht="24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</row>
    <row r="3" spans="1:15" ht="30" customHeight="1" x14ac:dyDescent="0.25">
      <c r="A3" s="71" t="s">
        <v>29</v>
      </c>
      <c r="B3" s="72"/>
      <c r="C3" s="69" t="s">
        <v>63</v>
      </c>
      <c r="D3" s="67" t="s">
        <v>0</v>
      </c>
      <c r="E3" s="51" t="s">
        <v>7</v>
      </c>
      <c r="F3" s="52"/>
      <c r="G3" s="52"/>
      <c r="H3" s="52"/>
      <c r="I3" s="53"/>
      <c r="J3" s="45" t="s">
        <v>1</v>
      </c>
      <c r="K3" s="43" t="s">
        <v>17</v>
      </c>
      <c r="L3" s="45" t="s">
        <v>5</v>
      </c>
      <c r="M3" s="43" t="s">
        <v>18</v>
      </c>
      <c r="N3" s="47" t="s">
        <v>6</v>
      </c>
      <c r="O3" s="41" t="s">
        <v>14</v>
      </c>
    </row>
    <row r="4" spans="1:15" ht="30.75" customHeight="1" thickBot="1" x14ac:dyDescent="0.3">
      <c r="A4" s="73"/>
      <c r="B4" s="74"/>
      <c r="C4" s="70"/>
      <c r="D4" s="68"/>
      <c r="E4" s="6" t="s">
        <v>2</v>
      </c>
      <c r="F4" s="6" t="s">
        <v>20</v>
      </c>
      <c r="G4" s="7" t="s">
        <v>19</v>
      </c>
      <c r="H4" s="6" t="s">
        <v>3</v>
      </c>
      <c r="I4" s="7" t="s">
        <v>4</v>
      </c>
      <c r="J4" s="46"/>
      <c r="K4" s="44"/>
      <c r="L4" s="46"/>
      <c r="M4" s="44"/>
      <c r="N4" s="48"/>
      <c r="O4" s="42"/>
    </row>
    <row r="5" spans="1:15" x14ac:dyDescent="0.25">
      <c r="A5" s="62" t="str">
        <f>CHOOSE(WEEKDAY(B5),"Dimanche","Lundi","Mardi","Mercredi","Jeudi","Vendredi","Samedi")</f>
        <v>Lundi</v>
      </c>
      <c r="B5" s="10">
        <f>DATE(An,1,ROW(1:31))</f>
        <v>41639</v>
      </c>
      <c r="C5" s="62" t="str">
        <f>IF(G5&lt;=0,"0","1")</f>
        <v>0</v>
      </c>
      <c r="D5" s="3">
        <f>IFERROR((VLOOKUP(B5,Fériés:Fériés,2,0)),VLOOKUP(A5,Année!$C$2:$C$8:'Année'!$D$2:$D$8,2,0))</f>
        <v>0</v>
      </c>
      <c r="E5" s="4"/>
      <c r="F5" s="4"/>
      <c r="G5" s="5">
        <f>IF(L5="",D5,0)</f>
        <v>0</v>
      </c>
      <c r="H5" s="4"/>
      <c r="I5" s="5"/>
      <c r="J5" s="5"/>
      <c r="K5" s="5">
        <f>IF(D5=0,VLOOKUP(A5,Horaires,2,FALSE)," ")</f>
        <v>0.32291666666666669</v>
      </c>
      <c r="L5" s="5"/>
      <c r="M5" s="5" t="str">
        <f>IF(A5="dimanche","",IF(A5="samedi","",IF(G5&lt;=0,"",(IF(I5="",G5-D5,I5-D5))+(J5+L5+O5))))</f>
        <v/>
      </c>
      <c r="N5" s="4" t="str">
        <f>IF(E5="","",IF(AND(A5="Dimanche",E5&gt;0),SUM(E5*2.5+(F5+G5+H5)*2),IF(A5="samedi",SUM(E5*2.5,F5*1.25,H5*1.25,G5*1.25),SUM(E5*2.5,F5*1.25,H5*1.25,))))</f>
        <v/>
      </c>
      <c r="O5" s="4" t="str">
        <f>IF(G5="","",IF((G5+J5+L5)&gt;=D5,"0:00",D5-G5))</f>
        <v>0:00</v>
      </c>
    </row>
    <row r="6" spans="1:15" x14ac:dyDescent="0.25">
      <c r="A6" s="8" t="str">
        <f>CHOOSE(WEEKDAY(B6),"Dimanche","Lundi","Mardi","Mercredi","Jeudi","Vendredi","Samedi")</f>
        <v>Mardi</v>
      </c>
      <c r="B6" s="10">
        <f>DATE(An,1,ROW(2:32))</f>
        <v>41640</v>
      </c>
      <c r="C6" s="62" t="str">
        <f t="shared" ref="C6:C35" si="0">IF(G6&lt;=0,"0","1")</f>
        <v>1</v>
      </c>
      <c r="D6" s="3">
        <f>IFERROR((VLOOKUP(B6,Fériés:Fériés,2,0)),VLOOKUP(A6,Année!$C$2:$C$8:'Année'!$D$2:$D$8,2,0))</f>
        <v>0.32291666666666669</v>
      </c>
      <c r="E6" s="4"/>
      <c r="F6" s="4"/>
      <c r="G6" s="5">
        <f t="shared" ref="G6:G35" si="1">IF(L6="",D6,0)</f>
        <v>0.32291666666666669</v>
      </c>
      <c r="H6" s="4"/>
      <c r="I6" s="5">
        <v>0.32500000000000001</v>
      </c>
      <c r="J6" s="5"/>
      <c r="K6" s="5" t="str">
        <f>IF(D6=0,VLOOKUP(A6,Horaires,2,FALSE)," ")</f>
        <v xml:space="preserve"> </v>
      </c>
      <c r="L6" s="5"/>
      <c r="M6" s="5">
        <f>IF(A6="dimanche","",IF(A6="samedi","",IF(G6&lt;=0,"",(IF(I6="",G6-D6,I6-D6))+(J6+L6+O6))))</f>
        <v>2.0833333333333259E-3</v>
      </c>
      <c r="N6" s="4" t="str">
        <f>IF(E6="","",IF(AND(A6="Dimanche",E6&gt;0),SUM(E6*2.5+(F6+G6+H6)*2),IF(A6="samedi",SUM(E6*2.5,F6*1.25,H6*1.25,G6*1.25),SUM(E6*2.5,F6*1.25,H6*1.25,))))</f>
        <v/>
      </c>
      <c r="O6" s="4" t="str">
        <f t="shared" ref="O6:O35" si="2">IF(G6="","",IF((G6+J6+L6)&gt;=D6,"0:00",D6-G6))</f>
        <v>0:00</v>
      </c>
    </row>
    <row r="7" spans="1:15" x14ac:dyDescent="0.25">
      <c r="A7" s="8" t="str">
        <f>CHOOSE(WEEKDAY(B7),"Dimanche","Lundi","Mardi","Mercredi","Jeudi","Vendredi","Samedi")</f>
        <v>Mercredi</v>
      </c>
      <c r="B7" s="10">
        <f>DATE(An,1,ROW(3:33))</f>
        <v>41641</v>
      </c>
      <c r="C7" s="62" t="str">
        <f t="shared" si="0"/>
        <v>1</v>
      </c>
      <c r="D7" s="3">
        <f>IFERROR((VLOOKUP(B7,Fériés:Fériés,2,0)),VLOOKUP(A7,Année!$C$2:$C$8:'Année'!$D$2:$D$8,2,0))</f>
        <v>0.32291666666666669</v>
      </c>
      <c r="E7" s="4"/>
      <c r="F7" s="4"/>
      <c r="G7" s="5">
        <f t="shared" si="1"/>
        <v>0.32291666666666669</v>
      </c>
      <c r="H7" s="4"/>
      <c r="I7" s="5">
        <v>0.32500000000000001</v>
      </c>
      <c r="J7" s="5"/>
      <c r="K7" s="5" t="str">
        <f>IF(D7=0,VLOOKUP(A7,Horaires,2,FALSE)," ")</f>
        <v xml:space="preserve"> </v>
      </c>
      <c r="L7" s="5"/>
      <c r="M7" s="5">
        <f>IF(A7="dimanche","",IF(A7="samedi","",IF(G7&lt;=0,"",(IF(I7="",G7-D7,I7-D7))+(J7+L7+O7))))</f>
        <v>2.0833333333333259E-3</v>
      </c>
      <c r="N7" s="4" t="str">
        <f>IF(E7="","",IF(AND(A7="Dimanche",E7&gt;0),SUM(E7*2.5+(F7+G7+H7)*2),IF(A7="samedi",SUM(E7*2.5,F7*1.25,H7*1.25,G7*1.25),SUM(E7*2.5,F7*1.25,H7*1.25,))))</f>
        <v/>
      </c>
      <c r="O7" s="4" t="str">
        <f t="shared" si="2"/>
        <v>0:00</v>
      </c>
    </row>
    <row r="8" spans="1:15" x14ac:dyDescent="0.25">
      <c r="A8" s="8" t="str">
        <f>CHOOSE(WEEKDAY(B8),"Dimanche","Lundi","Mardi","Mercredi","Jeudi","Vendredi","Samedi")</f>
        <v>Jeudi</v>
      </c>
      <c r="B8" s="10">
        <f>DATE(An,1,ROW(4:34))</f>
        <v>41642</v>
      </c>
      <c r="C8" s="62" t="str">
        <f t="shared" si="0"/>
        <v>1</v>
      </c>
      <c r="D8" s="3">
        <f>IFERROR((VLOOKUP(B8,Fériés:Fériés,2,0)),VLOOKUP(A8,Année!$C$2:$C$8:'Année'!$D$2:$D$8,2,0))</f>
        <v>0.32291666666666669</v>
      </c>
      <c r="E8" s="4"/>
      <c r="F8" s="4"/>
      <c r="G8" s="5">
        <f t="shared" si="1"/>
        <v>0.32291666666666669</v>
      </c>
      <c r="H8" s="4"/>
      <c r="I8" s="5">
        <v>0.32361111111111113</v>
      </c>
      <c r="J8" s="5"/>
      <c r="K8" s="5" t="str">
        <f>IF(D8=0,VLOOKUP(A8,Horaires,2,FALSE)," ")</f>
        <v xml:space="preserve"> </v>
      </c>
      <c r="L8" s="5"/>
      <c r="M8" s="5">
        <f>IF(A8="dimanche","",IF(A8="samedi","",IF(G8&lt;=0,"",(IF(I8="",G8-D8,I8-D8))+(J8+L8+O8))))</f>
        <v>6.9444444444444198E-4</v>
      </c>
      <c r="N8" s="4" t="str">
        <f>IF(E8="","",IF(AND(A8="Dimanche",E8&gt;0),SUM(E8*2.5+(F8+G8+H8)*2),IF(A8="samedi",SUM(E8*2.5,F8*1.25,H8*1.25,G8*1.25),SUM(E8*2.5,F8*1.25,H8*1.25,))))</f>
        <v/>
      </c>
      <c r="O8" s="4" t="str">
        <f t="shared" si="2"/>
        <v>0:00</v>
      </c>
    </row>
    <row r="9" spans="1:15" x14ac:dyDescent="0.25">
      <c r="A9" s="8" t="str">
        <f>CHOOSE(WEEKDAY(B9),"Dimanche","Lundi","Mardi","Mercredi","Jeudi","Vendredi","Samedi")</f>
        <v>Vendredi</v>
      </c>
      <c r="B9" s="10">
        <f>DATE(An,1,ROW(5:35))</f>
        <v>41643</v>
      </c>
      <c r="C9" s="62" t="str">
        <f t="shared" si="0"/>
        <v>1</v>
      </c>
      <c r="D9" s="3">
        <f>IFERROR((VLOOKUP(B9,Fériés:Fériés,2,0)),VLOOKUP(A9,Année!$C$2:$C$8:'Année'!$D$2:$D$8,2,0))</f>
        <v>0.16666666666666666</v>
      </c>
      <c r="E9" s="4"/>
      <c r="F9" s="4"/>
      <c r="G9" s="5">
        <f t="shared" si="1"/>
        <v>0.16666666666666666</v>
      </c>
      <c r="H9" s="4"/>
      <c r="I9" s="5">
        <v>0.16874999999999998</v>
      </c>
      <c r="J9" s="5"/>
      <c r="K9" s="5" t="str">
        <f>IF(D9=0,VLOOKUP(A9,Horaires,2,FALSE)," ")</f>
        <v xml:space="preserve"> </v>
      </c>
      <c r="L9" s="5"/>
      <c r="M9" s="5">
        <f>IF(A9="dimanche","",IF(A9="samedi","",IF(G9&lt;=0,"",(IF(I9="",G9-D9,I9-D9))+(J9+L9+O9))))</f>
        <v>2.0833333333333259E-3</v>
      </c>
      <c r="N9" s="4" t="str">
        <f>IF(E9="","",IF(AND(A9="Dimanche",E9&gt;0),SUM(E9*2.5+(F9+G9+H9)*2),IF(A9="samedi",SUM(E9*2.5,F9*1.25,H9*1.25,G9*1.25),SUM(E9*2.5,F9*1.25,H9*1.25,))))</f>
        <v/>
      </c>
      <c r="O9" s="4" t="str">
        <f t="shared" si="2"/>
        <v>0:00</v>
      </c>
    </row>
    <row r="10" spans="1:15" x14ac:dyDescent="0.25">
      <c r="A10" s="8" t="str">
        <f t="shared" ref="A10:A35" si="3">CHOOSE(WEEKDAY(B10),"Dimanche","Lundi","Mardi","Mercredi","Jeudi","Vendredi","Samedi")</f>
        <v>Samedi</v>
      </c>
      <c r="B10" s="10">
        <f>DATE(An,1,ROW(6:36))</f>
        <v>41644</v>
      </c>
      <c r="C10" s="62" t="str">
        <f t="shared" si="0"/>
        <v>0</v>
      </c>
      <c r="D10" s="3">
        <f>IFERROR((VLOOKUP(B10,Fériés:Fériés,2,0)),VLOOKUP(A10,Année!$C$2:$C$8:'Année'!$D$2:$D$8,2,0))</f>
        <v>0</v>
      </c>
      <c r="E10" s="4"/>
      <c r="F10" s="4"/>
      <c r="G10" s="5">
        <f t="shared" si="1"/>
        <v>0</v>
      </c>
      <c r="H10" s="4"/>
      <c r="I10" s="5"/>
      <c r="J10" s="5"/>
      <c r="K10" s="5">
        <f>IF(D10=0,VLOOKUP(A10,Horaires,2,FALSE)," ")</f>
        <v>0</v>
      </c>
      <c r="L10" s="5"/>
      <c r="M10" s="5" t="str">
        <f>IF(A10="dimanche","",IF(A10="samedi","",IF(G10&lt;=0,"",(IF(I10="",G10-D10,I10-D10))+(J10+L10+O10))))</f>
        <v/>
      </c>
      <c r="N10" s="4" t="str">
        <f>IF(E10="","",IF(AND(A10="Dimanche",E10&gt;0),SUM(E10*2.5+(F10+G10+H10)*2),IF(A10="samedi",SUM(E10*2.5,F10*1.25,H10*1.25,G10*1.25),SUM(E10*2.5,F10*1.25,H10*1.25,))))</f>
        <v/>
      </c>
      <c r="O10" s="4" t="str">
        <f t="shared" si="2"/>
        <v>0:00</v>
      </c>
    </row>
    <row r="11" spans="1:15" x14ac:dyDescent="0.25">
      <c r="A11" s="8" t="str">
        <f t="shared" si="3"/>
        <v>Dimanche</v>
      </c>
      <c r="B11" s="10">
        <f>DATE(An,1,ROW(7:37))</f>
        <v>41645</v>
      </c>
      <c r="C11" s="62" t="str">
        <f t="shared" si="0"/>
        <v>0</v>
      </c>
      <c r="D11" s="3">
        <f>IFERROR((VLOOKUP(B11,Fériés:Fériés,2,0)),VLOOKUP(A11,Année!$C$2:$C$8:'Année'!$D$2:$D$8,2,0))</f>
        <v>0</v>
      </c>
      <c r="E11" s="4"/>
      <c r="F11" s="4"/>
      <c r="G11" s="5">
        <f t="shared" si="1"/>
        <v>0</v>
      </c>
      <c r="H11" s="4"/>
      <c r="I11" s="5"/>
      <c r="J11" s="5"/>
      <c r="K11" s="5">
        <f>IF(D11=0,VLOOKUP(A11,Horaires,2,FALSE)," ")</f>
        <v>0</v>
      </c>
      <c r="L11" s="5"/>
      <c r="M11" s="5" t="str">
        <f>IF(A11="dimanche","",IF(A11="samedi","",IF(G11&lt;=0,"",(IF(I11="",G11-D11,I11-D11))+(J11+L11+O11))))</f>
        <v/>
      </c>
      <c r="N11" s="4" t="str">
        <f>IF(E11="","",IF(AND(A11="Dimanche",E11&gt;0),SUM(E11*2.5+(F11+G11+H11)*2),IF(A11="samedi",SUM(E11*2.5,F11*1.25,H11*1.25,G11*1.25),SUM(E11*2.5,F11*1.25,H11*1.25,))))</f>
        <v/>
      </c>
      <c r="O11" s="4" t="str">
        <f t="shared" si="2"/>
        <v>0:00</v>
      </c>
    </row>
    <row r="12" spans="1:15" x14ac:dyDescent="0.25">
      <c r="A12" s="8" t="str">
        <f t="shared" si="3"/>
        <v>Lundi</v>
      </c>
      <c r="B12" s="10">
        <f>DATE(An,1,ROW(8:38))</f>
        <v>41646</v>
      </c>
      <c r="C12" s="62" t="str">
        <f t="shared" si="0"/>
        <v>1</v>
      </c>
      <c r="D12" s="3">
        <f>IFERROR((VLOOKUP(B12,Fériés:Fériés,2,0)),VLOOKUP(A12,Année!$C$2:$C$8:'Année'!$D$2:$D$8,2,0))</f>
        <v>0.32291666666666669</v>
      </c>
      <c r="E12" s="4"/>
      <c r="F12" s="4"/>
      <c r="G12" s="5">
        <f t="shared" si="1"/>
        <v>0.32291666666666669</v>
      </c>
      <c r="H12" s="4"/>
      <c r="I12" s="5">
        <v>0.32430555555555557</v>
      </c>
      <c r="J12" s="5"/>
      <c r="K12" s="5" t="str">
        <f>IF(D12=0,VLOOKUP(A12,Horaires,2,FALSE)," ")</f>
        <v xml:space="preserve"> </v>
      </c>
      <c r="L12" s="5"/>
      <c r="M12" s="5">
        <f>IF(A12="dimanche","",IF(A12="samedi","",IF(G12&lt;=0,"",(IF(I12="",G12-D12,I12-D12))+(J12+L12+O12))))</f>
        <v>1.388888888888884E-3</v>
      </c>
      <c r="N12" s="4" t="str">
        <f>IF(E12="","",IF(AND(A12="Dimanche",E12&gt;0),SUM(E12*2.5+(F12+G12+H12)*2),IF(A12="samedi",SUM(E12*2.5,F12*1.25,H12*1.25,G12*1.25),SUM(E12*2.5,F12*1.25,H12*1.25,))))</f>
        <v/>
      </c>
      <c r="O12" s="4" t="str">
        <f t="shared" si="2"/>
        <v>0:00</v>
      </c>
    </row>
    <row r="13" spans="1:15" x14ac:dyDescent="0.25">
      <c r="A13" s="8" t="str">
        <f t="shared" si="3"/>
        <v>Mardi</v>
      </c>
      <c r="B13" s="10">
        <f>DATE(An,1,ROW(9:39))</f>
        <v>41647</v>
      </c>
      <c r="C13" s="62" t="str">
        <f t="shared" si="0"/>
        <v>1</v>
      </c>
      <c r="D13" s="3">
        <f>IFERROR((VLOOKUP(B13,Fériés:Fériés,2,0)),VLOOKUP(A13,Année!$C$2:$C$8:'Année'!$D$2:$D$8,2,0))</f>
        <v>0.32291666666666669</v>
      </c>
      <c r="E13" s="4"/>
      <c r="F13" s="4"/>
      <c r="G13" s="5">
        <f t="shared" si="1"/>
        <v>0.32291666666666669</v>
      </c>
      <c r="H13" s="4"/>
      <c r="I13" s="5">
        <v>0.32430555555555557</v>
      </c>
      <c r="J13" s="5"/>
      <c r="K13" s="5" t="str">
        <f>IF(D13=0,VLOOKUP(A13,Horaires,2,FALSE)," ")</f>
        <v xml:space="preserve"> </v>
      </c>
      <c r="L13" s="5"/>
      <c r="M13" s="5">
        <f>IF(A13="dimanche","",IF(A13="samedi","",IF(G13&lt;=0,"",(IF(I13="",G13-D13,I13-D13))+(J13+L13+O13))))</f>
        <v>1.388888888888884E-3</v>
      </c>
      <c r="N13" s="4" t="str">
        <f>IF(E13="","",IF(AND(A13="Dimanche",E13&gt;0),SUM(E13*2.5+(F13+G13+H13)*2),IF(A13="samedi",SUM(E13*2.5,F13*1.25,H13*1.25,G13*1.25),SUM(E13*2.5,F13*1.25,H13*1.25,))))</f>
        <v/>
      </c>
      <c r="O13" s="4" t="str">
        <f t="shared" si="2"/>
        <v>0:00</v>
      </c>
    </row>
    <row r="14" spans="1:15" x14ac:dyDescent="0.25">
      <c r="A14" s="8" t="str">
        <f t="shared" si="3"/>
        <v>Mercredi</v>
      </c>
      <c r="B14" s="10">
        <f>DATE(An,1,ROW(10:40))</f>
        <v>41648</v>
      </c>
      <c r="C14" s="62" t="str">
        <f t="shared" si="0"/>
        <v>1</v>
      </c>
      <c r="D14" s="3">
        <f>IFERROR((VLOOKUP(B14,Fériés:Fériés,2,0)),VLOOKUP(A14,Année!$C$2:$C$8:'Année'!$D$2:$D$8,2,0))</f>
        <v>0.32291666666666669</v>
      </c>
      <c r="E14" s="4"/>
      <c r="F14" s="4"/>
      <c r="G14" s="5">
        <f t="shared" si="1"/>
        <v>0.32291666666666669</v>
      </c>
      <c r="H14" s="4"/>
      <c r="I14" s="5">
        <v>0.32708333333333334</v>
      </c>
      <c r="J14" s="5"/>
      <c r="K14" s="5" t="str">
        <f>IF(D14=0,VLOOKUP(A14,Horaires,2,FALSE)," ")</f>
        <v xml:space="preserve"> </v>
      </c>
      <c r="L14" s="5"/>
      <c r="M14" s="5">
        <f>IF(A14="dimanche","",IF(A14="samedi","",IF(G14&lt;=0,"",(IF(I14="",G14-D14,I14-D14))+(J14+L14+O14))))</f>
        <v>4.1666666666666519E-3</v>
      </c>
      <c r="N14" s="4" t="str">
        <f>IF(E14="","",IF(AND(A14="Dimanche",E14&gt;0),SUM(E14*2.5+(F14+G14+H14)*2),IF(A14="samedi",SUM(E14*2.5,F14*1.25,H14*1.25,G14*1.25),SUM(E14*2.5,F14*1.25,H14*1.25,))))</f>
        <v/>
      </c>
      <c r="O14" s="4" t="str">
        <f t="shared" si="2"/>
        <v>0:00</v>
      </c>
    </row>
    <row r="15" spans="1:15" x14ac:dyDescent="0.25">
      <c r="A15" s="8" t="str">
        <f t="shared" si="3"/>
        <v>Jeudi</v>
      </c>
      <c r="B15" s="10">
        <f>DATE(An,1,ROW(11:41))</f>
        <v>41649</v>
      </c>
      <c r="C15" s="62" t="str">
        <f t="shared" si="0"/>
        <v>1</v>
      </c>
      <c r="D15" s="3">
        <f>IFERROR((VLOOKUP(B15,Fériés:Fériés,2,0)),VLOOKUP(A15,Année!$C$2:$C$8:'Année'!$D$2:$D$8,2,0))</f>
        <v>0.32291666666666669</v>
      </c>
      <c r="E15" s="4"/>
      <c r="F15" s="4"/>
      <c r="G15" s="5">
        <f t="shared" si="1"/>
        <v>0.32291666666666669</v>
      </c>
      <c r="H15" s="4"/>
      <c r="I15" s="5">
        <v>0.32430555555555557</v>
      </c>
      <c r="J15" s="5"/>
      <c r="K15" s="5" t="str">
        <f>IF(D15=0,VLOOKUP(A15,Horaires,2,FALSE)," ")</f>
        <v xml:space="preserve"> </v>
      </c>
      <c r="L15" s="5"/>
      <c r="M15" s="5">
        <f>IF(A15="dimanche","",IF(A15="samedi","",IF(G15&lt;=0,"",(IF(I15="",G15-D15,I15-D15))+(J15+L15+O15))))</f>
        <v>1.388888888888884E-3</v>
      </c>
      <c r="N15" s="4" t="str">
        <f>IF(E15="","",IF(AND(A15="Dimanche",E15&gt;0),SUM(E15*2.5+(F15+G15+H15)*2),IF(A15="samedi",SUM(E15*2.5,F15*1.25,H15*1.25,G15*1.25),SUM(E15*2.5,F15*1.25,H15*1.25,))))</f>
        <v/>
      </c>
      <c r="O15" s="4" t="str">
        <f t="shared" si="2"/>
        <v>0:00</v>
      </c>
    </row>
    <row r="16" spans="1:15" x14ac:dyDescent="0.25">
      <c r="A16" s="8" t="str">
        <f t="shared" si="3"/>
        <v>Vendredi</v>
      </c>
      <c r="B16" s="10">
        <f>DATE(An,1,ROW(12:42))</f>
        <v>41650</v>
      </c>
      <c r="C16" s="62" t="str">
        <f t="shared" si="0"/>
        <v>1</v>
      </c>
      <c r="D16" s="3">
        <f>IFERROR((VLOOKUP(B16,Fériés:Fériés,2,0)),VLOOKUP(A16,Année!$C$2:$C$8:'Année'!$D$2:$D$8,2,0))</f>
        <v>0.16666666666666666</v>
      </c>
      <c r="E16" s="4"/>
      <c r="F16" s="4"/>
      <c r="G16" s="5">
        <v>0.16666666666666666</v>
      </c>
      <c r="H16" s="4"/>
      <c r="I16" s="5">
        <v>0.17013888888888887</v>
      </c>
      <c r="J16" s="5"/>
      <c r="K16" s="5" t="str">
        <f>IF(D16=0,VLOOKUP(A16,Horaires,2,FALSE)," ")</f>
        <v xml:space="preserve"> </v>
      </c>
      <c r="L16" s="5"/>
      <c r="M16" s="5">
        <f>IF(A16="dimanche","",IF(A16="samedi","",IF(G16&lt;=0,"",(IF(I16="",G16-D16,I16-D16))+(J16+L16+O16))))</f>
        <v>3.4722222222222099E-3</v>
      </c>
      <c r="N16" s="4" t="str">
        <f>IF(E16="","",IF(AND(A16="Dimanche",E16&gt;0),SUM(E16*2.5+(F16+G16+H16)*2),IF(A16="samedi",SUM(E16*2.5,F16*1.25,H16*1.25,G16*1.25),SUM(E16*2.5,F16*1.25,H16*1.25,))))</f>
        <v/>
      </c>
      <c r="O16" s="4" t="str">
        <f t="shared" si="2"/>
        <v>0:00</v>
      </c>
    </row>
    <row r="17" spans="1:15" x14ac:dyDescent="0.25">
      <c r="A17" s="8" t="str">
        <f t="shared" si="3"/>
        <v>Samedi</v>
      </c>
      <c r="B17" s="10">
        <f>DATE(An,1,ROW(13:43))</f>
        <v>41651</v>
      </c>
      <c r="C17" s="62" t="str">
        <f t="shared" si="0"/>
        <v>0</v>
      </c>
      <c r="D17" s="3">
        <f>IFERROR((VLOOKUP(B17,Fériés:Fériés,2,0)),VLOOKUP(A17,Année!$C$2:$C$8:'Année'!$D$2:$D$8,2,0))</f>
        <v>0</v>
      </c>
      <c r="E17" s="4"/>
      <c r="F17" s="4"/>
      <c r="G17" s="5">
        <f t="shared" si="1"/>
        <v>0</v>
      </c>
      <c r="H17" s="4"/>
      <c r="I17" s="5"/>
      <c r="J17" s="5"/>
      <c r="K17" s="5">
        <f>IF(D17=0,VLOOKUP(A17,Horaires,2,FALSE)," ")</f>
        <v>0</v>
      </c>
      <c r="L17" s="5"/>
      <c r="M17" s="5" t="str">
        <f>IF(A17="dimanche","",IF(A17="samedi","",IF(G17&lt;=0,"",(IF(I17="",G17-D17,I17-D17))+(J17+L17+O17))))</f>
        <v/>
      </c>
      <c r="N17" s="4" t="str">
        <f>IF(E17="","",IF(AND(A17="Dimanche",E17&gt;0),SUM(E17*2.5+(F17+G17+H17)*2),IF(A17="samedi",SUM(E17*2.5,F17*1.25,H17*1.25,G17*1.25),SUM(E17*2.5,F17*1.25,H17*1.25,))))</f>
        <v/>
      </c>
      <c r="O17" s="4" t="str">
        <f t="shared" si="2"/>
        <v>0:00</v>
      </c>
    </row>
    <row r="18" spans="1:15" x14ac:dyDescent="0.25">
      <c r="A18" s="8" t="str">
        <f t="shared" si="3"/>
        <v>Dimanche</v>
      </c>
      <c r="B18" s="10">
        <f>DATE(An,1,ROW(14:44))</f>
        <v>41652</v>
      </c>
      <c r="C18" s="62" t="str">
        <f t="shared" si="0"/>
        <v>0</v>
      </c>
      <c r="D18" s="3">
        <f>IFERROR((VLOOKUP(B18,Fériés:Fériés,2,0)),VLOOKUP(A18,Année!$C$2:$C$8:'Année'!$D$2:$D$8,2,0))</f>
        <v>0</v>
      </c>
      <c r="E18" s="4"/>
      <c r="F18" s="4"/>
      <c r="G18" s="5">
        <f t="shared" si="1"/>
        <v>0</v>
      </c>
      <c r="H18" s="4"/>
      <c r="I18" s="5"/>
      <c r="J18" s="5"/>
      <c r="K18" s="5">
        <f>IF(D18=0,VLOOKUP(A18,Horaires,2,FALSE)," ")</f>
        <v>0</v>
      </c>
      <c r="L18" s="5"/>
      <c r="M18" s="5" t="str">
        <f>IF(A18="dimanche","",IF(A18="samedi","",IF(G18&lt;=0,"",(IF(I18="",G18-D18,I18-D18))+(J18+L18+O18))))</f>
        <v/>
      </c>
      <c r="N18" s="4" t="str">
        <f>IF(E18="","",IF(AND(A18="Dimanche",E18&gt;0),SUM(E18*2.5+(F18+G18+H18)*2),IF(A18="samedi",SUM(E18*2.5,F18*1.25,H18*1.25,G18*1.25),SUM(E18*2.5,F18*1.25,H18*1.25,))))</f>
        <v/>
      </c>
      <c r="O18" s="4" t="str">
        <f t="shared" si="2"/>
        <v>0:00</v>
      </c>
    </row>
    <row r="19" spans="1:15" x14ac:dyDescent="0.25">
      <c r="A19" s="8" t="str">
        <f t="shared" si="3"/>
        <v>Lundi</v>
      </c>
      <c r="B19" s="10">
        <f>DATE(An,1,ROW(15:45))</f>
        <v>41653</v>
      </c>
      <c r="C19" s="62" t="str">
        <f t="shared" si="0"/>
        <v>0</v>
      </c>
      <c r="D19" s="3">
        <f>IFERROR((VLOOKUP(B19,Fériés:Fériés,2,0)),VLOOKUP(A19,Année!$C$2:$C$8:'Année'!$D$2:$D$8,2,0))</f>
        <v>0.32291666666666669</v>
      </c>
      <c r="E19" s="4"/>
      <c r="F19" s="4"/>
      <c r="G19" s="5">
        <f t="shared" si="1"/>
        <v>0</v>
      </c>
      <c r="H19" s="4"/>
      <c r="I19" s="5"/>
      <c r="J19" s="5"/>
      <c r="K19" s="5" t="str">
        <f>IF(D19=0,VLOOKUP(A19,Horaires,2,FALSE)," ")</f>
        <v xml:space="preserve"> </v>
      </c>
      <c r="L19" s="5">
        <v>0.32291666666666669</v>
      </c>
      <c r="M19" s="5" t="str">
        <f>IF(A19="dimanche","",IF(A19="samedi","",IF(G19&lt;=0,"",(IF(I19="",G19-D19,I19-D19))+(J19+L19+O19))))</f>
        <v/>
      </c>
      <c r="N19" s="4" t="str">
        <f>IF(E19="","",IF(AND(A19="Dimanche",E19&gt;0),SUM(E19*2.5+(F19+G19+H19)*2),IF(A19="samedi",SUM(E19*2.5,F19*1.25,H19*1.25,G19*1.25),SUM(E19*2.5,F19*1.25,H19*1.25,))))</f>
        <v/>
      </c>
      <c r="O19" s="4" t="str">
        <f t="shared" si="2"/>
        <v>0:00</v>
      </c>
    </row>
    <row r="20" spans="1:15" x14ac:dyDescent="0.25">
      <c r="A20" s="8" t="str">
        <f t="shared" si="3"/>
        <v>Mardi</v>
      </c>
      <c r="B20" s="10">
        <f>DATE(An,1,ROW(16:46))</f>
        <v>41654</v>
      </c>
      <c r="C20" s="62" t="str">
        <f t="shared" si="0"/>
        <v>0</v>
      </c>
      <c r="D20" s="3">
        <f>IFERROR((VLOOKUP(B20,Fériés:Fériés,2,0)),VLOOKUP(A20,Année!$C$2:$C$8:'Année'!$D$2:$D$8,2,0))</f>
        <v>0.32291666666666669</v>
      </c>
      <c r="E20" s="4"/>
      <c r="F20" s="4"/>
      <c r="G20" s="5">
        <f t="shared" si="1"/>
        <v>0</v>
      </c>
      <c r="H20" s="4"/>
      <c r="I20" s="5"/>
      <c r="J20" s="5"/>
      <c r="K20" s="5" t="str">
        <f>IF(D20=0,VLOOKUP(A20,Horaires,2,FALSE)," ")</f>
        <v xml:space="preserve"> </v>
      </c>
      <c r="L20" s="5">
        <v>0.32291666666666669</v>
      </c>
      <c r="M20" s="5" t="str">
        <f>IF(A20="dimanche","",IF(A20="samedi","",IF(G20&lt;=0,"",(IF(I20="",G20-D20,I20-D20))+(J20+L20+O20))))</f>
        <v/>
      </c>
      <c r="N20" s="4" t="str">
        <f>IF(E20="","",IF(AND(A20="Dimanche",E20&gt;0),SUM(E20*2.5+(F20+G20+H20)*2),IF(A20="samedi",SUM(E20*2.5,F20*1.25,H20*1.25,G20*1.25),SUM(E20*2.5,F20*1.25,H20*1.25,))))</f>
        <v/>
      </c>
      <c r="O20" s="4" t="str">
        <f t="shared" si="2"/>
        <v>0:00</v>
      </c>
    </row>
    <row r="21" spans="1:15" x14ac:dyDescent="0.25">
      <c r="A21" s="8" t="str">
        <f t="shared" si="3"/>
        <v>Mercredi</v>
      </c>
      <c r="B21" s="10">
        <f>DATE(An,1,ROW(17:47))</f>
        <v>41655</v>
      </c>
      <c r="C21" s="62" t="str">
        <f t="shared" si="0"/>
        <v>0</v>
      </c>
      <c r="D21" s="3">
        <f>IFERROR((VLOOKUP(B21,Fériés:Fériés,2,0)),VLOOKUP(A21,Année!$C$2:$C$8:'Année'!$D$2:$D$8,2,0))</f>
        <v>0.32291666666666669</v>
      </c>
      <c r="E21" s="4"/>
      <c r="F21" s="4"/>
      <c r="G21" s="5">
        <f t="shared" si="1"/>
        <v>0</v>
      </c>
      <c r="H21" s="4"/>
      <c r="I21" s="5"/>
      <c r="J21" s="5"/>
      <c r="K21" s="5" t="str">
        <f>IF(D21=0,VLOOKUP(A21,Horaires,2,FALSE)," ")</f>
        <v xml:space="preserve"> </v>
      </c>
      <c r="L21" s="5">
        <v>0.32291666666666669</v>
      </c>
      <c r="M21" s="5" t="str">
        <f>IF(A21="dimanche","",IF(A21="samedi","",IF(G21&lt;=0,"",(IF(I21="",G21-D21,I21-D21))+(J21+L21+O21))))</f>
        <v/>
      </c>
      <c r="N21" s="4" t="str">
        <f>IF(E21="","",IF(AND(A21="Dimanche",E21&gt;0),SUM(E21*2.5+(F21+G21+H21)*2),IF(A21="samedi",SUM(E21*2.5,F21*1.25,H21*1.25,G21*1.25),SUM(E21*2.5,F21*1.25,H21*1.25,))))</f>
        <v/>
      </c>
      <c r="O21" s="4" t="str">
        <f t="shared" si="2"/>
        <v>0:00</v>
      </c>
    </row>
    <row r="22" spans="1:15" x14ac:dyDescent="0.25">
      <c r="A22" s="8" t="str">
        <f t="shared" si="3"/>
        <v>Jeudi</v>
      </c>
      <c r="B22" s="10">
        <f>DATE(An,1,ROW(18:48))</f>
        <v>41656</v>
      </c>
      <c r="C22" s="62" t="str">
        <f t="shared" si="0"/>
        <v>0</v>
      </c>
      <c r="D22" s="3">
        <f>IFERROR((VLOOKUP(B22,Fériés:Fériés,2,0)),VLOOKUP(A22,Année!$C$2:$C$8:'Année'!$D$2:$D$8,2,0))</f>
        <v>0.32291666666666669</v>
      </c>
      <c r="E22" s="4"/>
      <c r="F22" s="4"/>
      <c r="G22" s="5">
        <f t="shared" si="1"/>
        <v>0</v>
      </c>
      <c r="H22" s="4"/>
      <c r="I22" s="5"/>
      <c r="J22" s="5"/>
      <c r="K22" s="5" t="str">
        <f>IF(D22=0,VLOOKUP(A22,Horaires,2,FALSE)," ")</f>
        <v xml:space="preserve"> </v>
      </c>
      <c r="L22" s="5">
        <v>0.32291666666666669</v>
      </c>
      <c r="M22" s="5" t="str">
        <f>IF(A22="dimanche","",IF(A22="samedi","",IF(G22&lt;=0,"",(IF(I22="",G22-D22,I22-D22))+(J22+L22+O22))))</f>
        <v/>
      </c>
      <c r="N22" s="4" t="str">
        <f>IF(E22="","",IF(AND(A22="Dimanche",E22&gt;0),SUM(E22*2.5+(F22+G22+H22)*2),IF(A22="samedi",SUM(E22*2.5,F22*1.25,H22*1.25,G22*1.25),SUM(E22*2.5,F22*1.25,H22*1.25,))))</f>
        <v/>
      </c>
      <c r="O22" s="4" t="str">
        <f t="shared" si="2"/>
        <v>0:00</v>
      </c>
    </row>
    <row r="23" spans="1:15" x14ac:dyDescent="0.25">
      <c r="A23" s="8" t="str">
        <f t="shared" si="3"/>
        <v>Vendredi</v>
      </c>
      <c r="B23" s="10">
        <f>DATE(An,1,ROW(19:49))</f>
        <v>41657</v>
      </c>
      <c r="C23" s="62" t="str">
        <f t="shared" si="0"/>
        <v>0</v>
      </c>
      <c r="D23" s="3">
        <f>IFERROR((VLOOKUP(B23,Fériés:Fériés,2,0)),VLOOKUP(A23,Année!$C$2:$C$8:'Année'!$D$2:$D$8,2,0))</f>
        <v>0.16666666666666666</v>
      </c>
      <c r="E23" s="4"/>
      <c r="F23" s="4"/>
      <c r="G23" s="5">
        <f t="shared" si="1"/>
        <v>0</v>
      </c>
      <c r="H23" s="4"/>
      <c r="I23" s="5"/>
      <c r="J23" s="5"/>
      <c r="K23" s="5" t="str">
        <f>IF(D23=0,VLOOKUP(A23,Horaires,2,FALSE)," ")</f>
        <v xml:space="preserve"> </v>
      </c>
      <c r="L23" s="5">
        <v>0.16666666666666666</v>
      </c>
      <c r="M23" s="5" t="str">
        <f>IF(A23="dimanche","",IF(A23="samedi","",IF(G23&lt;=0,"",(IF(I23="",G23-D23,I23-D23))+(J23+L23+O23))))</f>
        <v/>
      </c>
      <c r="N23" s="4" t="str">
        <f>IF(E23="","",IF(AND(A23="Dimanche",E23&gt;0),SUM(E23*2.5+(F23+G23+H23)*2),IF(A23="samedi",SUM(E23*2.5,F23*1.25,H23*1.25,G23*1.25),SUM(E23*2.5,F23*1.25,H23*1.25,))))</f>
        <v/>
      </c>
      <c r="O23" s="4" t="str">
        <f t="shared" si="2"/>
        <v>0:00</v>
      </c>
    </row>
    <row r="24" spans="1:15" x14ac:dyDescent="0.25">
      <c r="A24" s="8" t="str">
        <f t="shared" si="3"/>
        <v>Samedi</v>
      </c>
      <c r="B24" s="10">
        <f>DATE(An,1,ROW(20:50))</f>
        <v>41658</v>
      </c>
      <c r="C24" s="62" t="str">
        <f t="shared" si="0"/>
        <v>0</v>
      </c>
      <c r="D24" s="3">
        <f>IFERROR((VLOOKUP(B24,Fériés:Fériés,2,0)),VLOOKUP(A24,Année!$C$2:$C$8:'Année'!$D$2:$D$8,2,0))</f>
        <v>0</v>
      </c>
      <c r="E24" s="4"/>
      <c r="F24" s="4"/>
      <c r="G24" s="5">
        <f t="shared" si="1"/>
        <v>0</v>
      </c>
      <c r="H24" s="4"/>
      <c r="I24" s="5"/>
      <c r="J24" s="5"/>
      <c r="K24" s="5">
        <f>IF(D24=0,VLOOKUP(A24,Horaires,2,FALSE)," ")</f>
        <v>0</v>
      </c>
      <c r="L24" s="5"/>
      <c r="M24" s="5" t="str">
        <f>IF(A24="dimanche","",IF(A24="samedi","",IF(G24&lt;=0,"",(IF(I24="",G24-D24,I24-D24))+(J24+L24+O24))))</f>
        <v/>
      </c>
      <c r="N24" s="4" t="str">
        <f>IF(E24="","",IF(AND(A24="Dimanche",E24&gt;0),SUM(E24*2.5+(F24+G24+H24)*2),IF(A24="samedi",SUM(E24*2.5,F24*1.25,H24*1.25,G24*1.25),SUM(E24*2.5,F24*1.25,H24*1.25,))))</f>
        <v/>
      </c>
      <c r="O24" s="4" t="str">
        <f t="shared" si="2"/>
        <v>0:00</v>
      </c>
    </row>
    <row r="25" spans="1:15" x14ac:dyDescent="0.25">
      <c r="A25" s="8" t="str">
        <f t="shared" si="3"/>
        <v>Dimanche</v>
      </c>
      <c r="B25" s="10">
        <f>DATE(An,1,ROW(21:51))</f>
        <v>41659</v>
      </c>
      <c r="C25" s="62" t="str">
        <f t="shared" si="0"/>
        <v>0</v>
      </c>
      <c r="D25" s="3">
        <f>IFERROR((VLOOKUP(B25,Fériés:Fériés,2,0)),VLOOKUP(A25,Année!$C$2:$C$8:'Année'!$D$2:$D$8,2,0))</f>
        <v>0</v>
      </c>
      <c r="E25" s="4"/>
      <c r="F25" s="4"/>
      <c r="G25" s="5">
        <f t="shared" si="1"/>
        <v>0</v>
      </c>
      <c r="H25" s="4"/>
      <c r="I25" s="5"/>
      <c r="J25" s="5"/>
      <c r="K25" s="5">
        <f>IF(D25=0,VLOOKUP(A25,Horaires,2,FALSE)," ")</f>
        <v>0</v>
      </c>
      <c r="L25" s="5"/>
      <c r="M25" s="5" t="str">
        <f>IF(A25="dimanche","",IF(A25="samedi","",IF(G25&lt;=0,"",(IF(I25="",G25-D25,I25-D25))+(J25+L25+O25))))</f>
        <v/>
      </c>
      <c r="N25" s="4" t="str">
        <f>IF(E25="","",IF(AND(A25="Dimanche",E25&gt;0),SUM(E25*2.5+(F25+G25+H25)*2),IF(A25="samedi",SUM(E25*2.5,F25*1.25,H25*1.25,G25*1.25),SUM(E25*2.5,F25*1.25,H25*1.25,))))</f>
        <v/>
      </c>
      <c r="O25" s="4" t="str">
        <f t="shared" si="2"/>
        <v>0:00</v>
      </c>
    </row>
    <row r="26" spans="1:15" x14ac:dyDescent="0.25">
      <c r="A26" s="8" t="str">
        <f t="shared" si="3"/>
        <v>Lundi</v>
      </c>
      <c r="B26" s="10">
        <f>DATE(An,1,ROW(22:52))</f>
        <v>41660</v>
      </c>
      <c r="C26" s="62" t="str">
        <f t="shared" si="0"/>
        <v>1</v>
      </c>
      <c r="D26" s="3">
        <f>IFERROR((VLOOKUP(B26,Fériés:Fériés,2,0)),VLOOKUP(A26,Année!$C$2:$C$8:'Année'!$D$2:$D$8,2,0))</f>
        <v>0.32291666666666669</v>
      </c>
      <c r="E26" s="4"/>
      <c r="F26" s="4"/>
      <c r="G26" s="5">
        <f t="shared" si="1"/>
        <v>0.32291666666666669</v>
      </c>
      <c r="H26" s="4"/>
      <c r="I26" s="5">
        <v>0.3263888888888889</v>
      </c>
      <c r="J26" s="5"/>
      <c r="K26" s="5" t="str">
        <f>IF(D26=0,VLOOKUP(A26,Horaires,2,FALSE)," ")</f>
        <v xml:space="preserve"> </v>
      </c>
      <c r="L26" s="5"/>
      <c r="M26" s="5">
        <f>IF(A26="dimanche","",IF(A26="samedi","",IF(G26&lt;=0,"",(IF(I26="",G26-D26,I26-D26))+(J26+L26+O26))))</f>
        <v>3.4722222222222099E-3</v>
      </c>
      <c r="N26" s="4" t="str">
        <f>IF(E26="","",IF(AND(A26="Dimanche",E26&gt;0),SUM(E26*2.5+(F26+G26+H26)*2),IF(A26="samedi",SUM(E26*2.5,F26*1.25,H26*1.25,G26*1.25),SUM(E26*2.5,F26*1.25,H26*1.25,))))</f>
        <v/>
      </c>
      <c r="O26" s="4" t="str">
        <f t="shared" si="2"/>
        <v>0:00</v>
      </c>
    </row>
    <row r="27" spans="1:15" x14ac:dyDescent="0.25">
      <c r="A27" s="8" t="str">
        <f t="shared" si="3"/>
        <v>Mardi</v>
      </c>
      <c r="B27" s="10">
        <f>DATE(An,1,ROW(23:53))</f>
        <v>41661</v>
      </c>
      <c r="C27" s="62" t="str">
        <f t="shared" si="0"/>
        <v>1</v>
      </c>
      <c r="D27" s="3">
        <f>IFERROR((VLOOKUP(B27,Fériés:Fériés,2,0)),VLOOKUP(A27,Année!$C$2:$C$8:'Année'!$D$2:$D$8,2,0))</f>
        <v>0.32291666666666669</v>
      </c>
      <c r="E27" s="4"/>
      <c r="F27" s="4"/>
      <c r="G27" s="5">
        <f t="shared" si="1"/>
        <v>0.32291666666666669</v>
      </c>
      <c r="H27" s="4"/>
      <c r="I27" s="5">
        <v>0.32500000000000001</v>
      </c>
      <c r="J27" s="5"/>
      <c r="K27" s="5" t="str">
        <f>IF(D27=0,VLOOKUP(A27,Horaires,2,FALSE)," ")</f>
        <v xml:space="preserve"> </v>
      </c>
      <c r="L27" s="5"/>
      <c r="M27" s="5">
        <f>IF(A27="dimanche","",IF(A27="samedi","",IF(G27&lt;=0,"",(IF(I27="",G27-D27,I27-D27))+(J27+L27+O27))))</f>
        <v>2.0833333333333259E-3</v>
      </c>
      <c r="N27" s="4" t="str">
        <f>IF(E27="","",IF(AND(A27="Dimanche",E27&gt;0),SUM(E27*2.5+(F27+G27+H27)*2),IF(A27="samedi",SUM(E27*2.5,F27*1.25,H27*1.25,G27*1.25),SUM(E27*2.5,F27*1.25,H27*1.25,))))</f>
        <v/>
      </c>
      <c r="O27" s="4" t="str">
        <f t="shared" si="2"/>
        <v>0:00</v>
      </c>
    </row>
    <row r="28" spans="1:15" x14ac:dyDescent="0.25">
      <c r="A28" s="8" t="str">
        <f t="shared" si="3"/>
        <v>Mercredi</v>
      </c>
      <c r="B28" s="10">
        <f>DATE(An,1,ROW(24:54))</f>
        <v>41662</v>
      </c>
      <c r="C28" s="62" t="str">
        <f t="shared" si="0"/>
        <v>1</v>
      </c>
      <c r="D28" s="3">
        <f>IFERROR((VLOOKUP(B28,Fériés:Fériés,2,0)),VLOOKUP(A28,Année!$C$2:$C$8:'Année'!$D$2:$D$8,2,0))</f>
        <v>0.32291666666666669</v>
      </c>
      <c r="E28" s="4"/>
      <c r="F28" s="4"/>
      <c r="G28" s="5">
        <f t="shared" si="1"/>
        <v>0.32291666666666669</v>
      </c>
      <c r="H28" s="4"/>
      <c r="I28" s="5">
        <v>0.32430555555555557</v>
      </c>
      <c r="J28" s="5"/>
      <c r="K28" s="5" t="str">
        <f>IF(D28=0,VLOOKUP(A28,Horaires,2,FALSE)," ")</f>
        <v xml:space="preserve"> </v>
      </c>
      <c r="L28" s="5"/>
      <c r="M28" s="5">
        <f>IF(A28="dimanche","",IF(A28="samedi","",IF(G28&lt;=0,"",(IF(I28="",G28-D28,I28-D28))+(J28+L28+O28))))</f>
        <v>1.388888888888884E-3</v>
      </c>
      <c r="N28" s="4" t="str">
        <f>IF(E28="","",IF(AND(A28="Dimanche",E28&gt;0),SUM(E28*2.5+(F28+G28+H28)*2),IF(A28="samedi",SUM(E28*2.5,F28*1.25,H28*1.25,G28*1.25),SUM(E28*2.5,F28*1.25,H28*1.25,))))</f>
        <v/>
      </c>
      <c r="O28" s="4" t="str">
        <f t="shared" si="2"/>
        <v>0:00</v>
      </c>
    </row>
    <row r="29" spans="1:15" x14ac:dyDescent="0.25">
      <c r="A29" s="8" t="str">
        <f t="shared" si="3"/>
        <v>Jeudi</v>
      </c>
      <c r="B29" s="10">
        <f>DATE(An,1,ROW(25:55))</f>
        <v>41663</v>
      </c>
      <c r="C29" s="62" t="str">
        <f t="shared" si="0"/>
        <v>1</v>
      </c>
      <c r="D29" s="3">
        <f>IFERROR((VLOOKUP(B29,Fériés:Fériés,2,0)),VLOOKUP(A29,Année!$C$2:$C$8:'Année'!$D$2:$D$8,2,0))</f>
        <v>0.32291666666666669</v>
      </c>
      <c r="E29" s="4"/>
      <c r="F29" s="4"/>
      <c r="G29" s="5">
        <f t="shared" si="1"/>
        <v>0.32291666666666669</v>
      </c>
      <c r="H29" s="4"/>
      <c r="I29" s="5">
        <v>0.32430555555555557</v>
      </c>
      <c r="J29" s="5"/>
      <c r="K29" s="5" t="str">
        <f>IF(D29=0,VLOOKUP(A29,Horaires,2,FALSE)," ")</f>
        <v xml:space="preserve"> </v>
      </c>
      <c r="L29" s="5"/>
      <c r="M29" s="5">
        <f>IF(A29="dimanche","",IF(A29="samedi","",IF(G29&lt;=0,"",(IF(I29="",G29-D29,I29-D29))+(J29+L29+O29))))</f>
        <v>1.388888888888884E-3</v>
      </c>
      <c r="N29" s="4" t="str">
        <f>IF(E29="","",IF(AND(A29="Dimanche",E29&gt;0),SUM(E29*2.5+(F29+G29+H29)*2),IF(A29="samedi",SUM(E29*2.5,F29*1.25,H29*1.25,G29*1.25),SUM(E29*2.5,F29*1.25,H29*1.25,))))</f>
        <v/>
      </c>
      <c r="O29" s="4" t="str">
        <f t="shared" si="2"/>
        <v>0:00</v>
      </c>
    </row>
    <row r="30" spans="1:15" x14ac:dyDescent="0.25">
      <c r="A30" s="8" t="str">
        <f t="shared" si="3"/>
        <v>Vendredi</v>
      </c>
      <c r="B30" s="10">
        <f>DATE(An,1,ROW(26:56))</f>
        <v>41664</v>
      </c>
      <c r="C30" s="62" t="str">
        <f t="shared" si="0"/>
        <v>1</v>
      </c>
      <c r="D30" s="3">
        <f>IFERROR((VLOOKUP(B30,Fériés:Fériés,2,0)),VLOOKUP(A30,Année!$C$2:$C$8:'Année'!$D$2:$D$8,2,0))</f>
        <v>0.16666666666666666</v>
      </c>
      <c r="E30" s="4">
        <v>6.9444444444444447E-4</v>
      </c>
      <c r="F30" s="4"/>
      <c r="G30" s="5">
        <f t="shared" si="1"/>
        <v>0.16666666666666666</v>
      </c>
      <c r="H30" s="4">
        <v>0.2673611111111111</v>
      </c>
      <c r="I30" s="5">
        <v>0.16666666666666666</v>
      </c>
      <c r="J30" s="5"/>
      <c r="K30" s="5" t="str">
        <f>IF(D30=0,VLOOKUP(A30,Horaires,2,FALSE)," ")</f>
        <v xml:space="preserve"> </v>
      </c>
      <c r="L30" s="5"/>
      <c r="M30" s="5">
        <f>IF(A30="dimanche","",IF(A30="samedi","",IF(G30&lt;=0,"",(IF(I30="",G30-D30,I30-D30))+(J30+L30+O30))))</f>
        <v>0</v>
      </c>
      <c r="N30" s="4">
        <f>IF(E30="","",IF(AND(A30="Dimanche",E30&gt;0),SUM(E30*2.5+(F30+G30+H30)*2),IF(A30="samedi",SUM(E30*2.5,F30*1.25,H30*1.25,G30*1.25),SUM(E30*2.5,F30*1.25,H30*1.25,))))</f>
        <v>0.3359375</v>
      </c>
      <c r="O30" s="4" t="str">
        <f t="shared" si="2"/>
        <v>0:00</v>
      </c>
    </row>
    <row r="31" spans="1:15" x14ac:dyDescent="0.25">
      <c r="A31" s="8" t="str">
        <f t="shared" si="3"/>
        <v>Samedi</v>
      </c>
      <c r="B31" s="10">
        <f>DATE(An,1,ROW(27:57))</f>
        <v>41665</v>
      </c>
      <c r="C31" s="62" t="str">
        <f t="shared" si="0"/>
        <v>1</v>
      </c>
      <c r="D31" s="3">
        <f>IFERROR((VLOOKUP(B31,Fériés:Fériés,2,0)),VLOOKUP(A31,Année!$C$2:$C$8:'Année'!$D$2:$D$8,2,0))</f>
        <v>0</v>
      </c>
      <c r="E31" s="4">
        <v>0.10416666666666667</v>
      </c>
      <c r="F31" s="4">
        <v>6.25E-2</v>
      </c>
      <c r="G31" s="5">
        <v>0.27916666666666667</v>
      </c>
      <c r="H31" s="4"/>
      <c r="I31" s="5"/>
      <c r="J31" s="5"/>
      <c r="K31" s="5">
        <f>IF(D31=0,VLOOKUP(A31,Horaires,2,FALSE)," ")</f>
        <v>0</v>
      </c>
      <c r="L31" s="5"/>
      <c r="M31" s="5" t="str">
        <f>IF(A31="dimanche","",IF(A31="samedi","",IF(G31&lt;=0,"",(IF(I31="",G31-D31,I31-D31))+(J31+L31+O31))))</f>
        <v/>
      </c>
      <c r="N31" s="4">
        <f>IF(E31="","",IF(AND(A31="Dimanche",E31&gt;0),SUM(E31*2.5+(F31+G31+H31)*2),IF(A31="samedi",SUM(E31*2.5,F31*1.25,H31*1.25,G31*1.25),SUM(E31*2.5,F31*1.25,H31*1.25,))))</f>
        <v>0.6875</v>
      </c>
      <c r="O31" s="4" t="str">
        <f t="shared" si="2"/>
        <v>0:00</v>
      </c>
    </row>
    <row r="32" spans="1:15" x14ac:dyDescent="0.25">
      <c r="A32" s="8" t="str">
        <f t="shared" si="3"/>
        <v>Dimanche</v>
      </c>
      <c r="B32" s="10">
        <f>DATE(An,1,ROW(28:58))</f>
        <v>41666</v>
      </c>
      <c r="C32" s="62" t="str">
        <f t="shared" si="0"/>
        <v>0</v>
      </c>
      <c r="D32" s="3">
        <f>IFERROR((VLOOKUP(B32,Fériés:Fériés,2,0)),VLOOKUP(A32,Année!$C$2:$C$8:'Année'!$D$2:$D$8,2,0))</f>
        <v>0</v>
      </c>
      <c r="E32" s="4"/>
      <c r="F32" s="4"/>
      <c r="G32" s="5">
        <f t="shared" si="1"/>
        <v>0</v>
      </c>
      <c r="H32" s="4"/>
      <c r="I32" s="5"/>
      <c r="J32" s="5"/>
      <c r="K32" s="5">
        <f>IF(D32=0,VLOOKUP(A32,Horaires,2,FALSE)," ")</f>
        <v>0</v>
      </c>
      <c r="L32" s="5"/>
      <c r="M32" s="5" t="str">
        <f>IF(A32="dimanche","",IF(A32="samedi","",IF(G32&lt;=0,"",(IF(I32="",G32-D32,I32-D32))+(J32+L32+O32))))</f>
        <v/>
      </c>
      <c r="N32" s="4" t="str">
        <f>IF(E32="","",IF(AND(A32="Dimanche",E32&gt;0),SUM(E32*2.5+(F32+G32+H32)*2),IF(A32="samedi",SUM(E32*2.5,F32*1.25,H32*1.25,G32*1.25),SUM(E32*2.5,F32*1.25,H32*1.25,))))</f>
        <v/>
      </c>
      <c r="O32" s="4" t="str">
        <f t="shared" si="2"/>
        <v>0:00</v>
      </c>
    </row>
    <row r="33" spans="1:15" x14ac:dyDescent="0.25">
      <c r="A33" s="8" t="str">
        <f t="shared" si="3"/>
        <v>Lundi</v>
      </c>
      <c r="B33" s="10">
        <f>DATE(An,1,ROW(29:59))</f>
        <v>41667</v>
      </c>
      <c r="C33" s="62" t="str">
        <f t="shared" si="0"/>
        <v>1</v>
      </c>
      <c r="D33" s="3">
        <f>IFERROR((VLOOKUP(B33,Fériés:Fériés,2,0)),VLOOKUP(A33,Année!$C$2:$C$8:'Année'!$D$2:$D$8,2,0))</f>
        <v>0.32291666666666669</v>
      </c>
      <c r="E33" s="4"/>
      <c r="F33" s="4"/>
      <c r="G33" s="5">
        <f t="shared" si="1"/>
        <v>0.32291666666666669</v>
      </c>
      <c r="H33" s="4"/>
      <c r="I33" s="5">
        <v>0.32500000000000001</v>
      </c>
      <c r="J33" s="5"/>
      <c r="K33" s="5" t="str">
        <f>IF(D33=0,VLOOKUP(A33,Horaires,2,FALSE)," ")</f>
        <v xml:space="preserve"> </v>
      </c>
      <c r="L33" s="5"/>
      <c r="M33" s="5">
        <f>IF(A33="dimanche","",IF(A33="samedi","",IF(G33&lt;=0,"",(IF(I33="",G33-D33,I33-D33))+(J33+L33+O33))))</f>
        <v>2.0833333333333259E-3</v>
      </c>
      <c r="N33" s="4" t="str">
        <f>IF(E33="","",IF(AND(A33="Dimanche",E33&gt;0),SUM(E33*2.5+(F33+G33+H33)*2),IF(A33="samedi",SUM(E33*2.5,F33*1.25,H33*1.25,G33*1.25),SUM(E33*2.5,F33*1.25,H33*1.25,))))</f>
        <v/>
      </c>
      <c r="O33" s="4" t="str">
        <f t="shared" si="2"/>
        <v>0:00</v>
      </c>
    </row>
    <row r="34" spans="1:15" x14ac:dyDescent="0.25">
      <c r="A34" s="8" t="str">
        <f t="shared" si="3"/>
        <v>Mardi</v>
      </c>
      <c r="B34" s="10">
        <f>DATE(An,1,ROW(30:60))</f>
        <v>41668</v>
      </c>
      <c r="C34" s="62" t="str">
        <f t="shared" si="0"/>
        <v>1</v>
      </c>
      <c r="D34" s="3">
        <f>IFERROR((VLOOKUP(B34,Fériés:Fériés,2,0)),VLOOKUP(A34,Année!$C$2:$C$8:'Année'!$D$2:$D$8,2,0))</f>
        <v>0.32291666666666669</v>
      </c>
      <c r="E34" s="4"/>
      <c r="F34" s="4"/>
      <c r="G34" s="5">
        <f t="shared" si="1"/>
        <v>0.32291666666666669</v>
      </c>
      <c r="H34" s="4"/>
      <c r="I34" s="5">
        <v>0.32361111111111113</v>
      </c>
      <c r="J34" s="5"/>
      <c r="K34" s="5" t="str">
        <f>IF(D34=0,VLOOKUP(A34,Horaires,2,FALSE)," ")</f>
        <v xml:space="preserve"> </v>
      </c>
      <c r="L34" s="5"/>
      <c r="M34" s="5">
        <f>IF(A34="dimanche","",IF(A34="samedi","",IF(G34&lt;=0,"",(IF(I34="",G34-D34,I34-D34))+(J34+L34+O34))))</f>
        <v>6.9444444444444198E-4</v>
      </c>
      <c r="N34" s="4" t="str">
        <f>IF(E34="","",IF(AND(A34="Dimanche",E34&gt;0),SUM(E34*2.5+(F34+G34+H34)*2),IF(A34="samedi",SUM(E34*2.5,F34*1.25,H34*1.25,G34*1.25),SUM(E34*2.5,F34*1.25,H34*1.25,))))</f>
        <v/>
      </c>
      <c r="O34" s="4" t="str">
        <f t="shared" si="2"/>
        <v>0:00</v>
      </c>
    </row>
    <row r="35" spans="1:15" x14ac:dyDescent="0.25">
      <c r="A35" s="8" t="str">
        <f t="shared" si="3"/>
        <v>Mercredi</v>
      </c>
      <c r="B35" s="10">
        <f>DATE(An,1,ROW(31:61))</f>
        <v>41669</v>
      </c>
      <c r="C35" s="62" t="str">
        <f t="shared" si="0"/>
        <v>1</v>
      </c>
      <c r="D35" s="3">
        <f>IFERROR((VLOOKUP(B35,Fériés:Fériés,2,0)),VLOOKUP(A35,Année!$C$2:$C$8:'Année'!$D$2:$D$8,2,0))</f>
        <v>0.32291666666666669</v>
      </c>
      <c r="E35" s="4"/>
      <c r="F35" s="4"/>
      <c r="G35" s="5">
        <f t="shared" si="1"/>
        <v>0.32291666666666669</v>
      </c>
      <c r="H35" s="4"/>
      <c r="I35" s="5">
        <v>0.32361111111111113</v>
      </c>
      <c r="J35" s="5"/>
      <c r="K35" s="5" t="str">
        <f>IF(D35=0,VLOOKUP(A35,Horaires,2,FALSE)," ")</f>
        <v xml:space="preserve"> </v>
      </c>
      <c r="L35" s="5"/>
      <c r="M35" s="5">
        <f>IF(A35="dimanche","",IF(A35="samedi","",IF(G35&lt;=0,"",(IF(I35="",G35-D35,I35-D35))+(J35+L35+O35))))</f>
        <v>6.9444444444444198E-4</v>
      </c>
      <c r="N35" s="4" t="str">
        <f>IF(E35="","",IF(AND(A35="Dimanche",E35&gt;0),SUM(E35*2.5+(F35+G35+H35)*2),IF(A35="samedi",SUM(E35*2.5,F35*1.25,H35*1.25,G35*1.25),SUM(E35*2.5,F35*1.25,H35*1.25,))))</f>
        <v/>
      </c>
      <c r="O35" s="4" t="str">
        <f t="shared" si="2"/>
        <v>0:00</v>
      </c>
    </row>
    <row r="36" spans="1:15" x14ac:dyDescent="0.25">
      <c r="A36" s="8"/>
      <c r="B36" s="11"/>
      <c r="C36" s="11"/>
      <c r="D36" s="3"/>
      <c r="E36" s="4"/>
      <c r="F36" s="4"/>
      <c r="G36" s="5"/>
      <c r="H36" s="4"/>
      <c r="I36" s="5"/>
      <c r="J36" s="5"/>
      <c r="K36" s="5"/>
      <c r="L36" s="5"/>
      <c r="M36" s="5"/>
      <c r="N36" s="4"/>
      <c r="O36" s="4"/>
    </row>
    <row r="37" spans="1:15" ht="15.75" thickBot="1" x14ac:dyDescent="0.3">
      <c r="A37" s="9"/>
      <c r="B37" s="12"/>
      <c r="C37" s="12"/>
      <c r="D37" s="3"/>
      <c r="E37" s="4"/>
      <c r="F37" s="4"/>
      <c r="G37" s="5"/>
      <c r="H37" s="4"/>
      <c r="I37" s="5"/>
      <c r="J37" s="5"/>
      <c r="K37" s="5"/>
      <c r="L37" s="5"/>
      <c r="M37" s="5"/>
      <c r="N37" s="4"/>
      <c r="O37" s="4"/>
    </row>
    <row r="38" spans="1:15" x14ac:dyDescent="0.25">
      <c r="A38" s="56" t="s">
        <v>16</v>
      </c>
      <c r="B38" s="63"/>
      <c r="C38" s="65">
        <f>SUM(C5:C35)</f>
        <v>0</v>
      </c>
      <c r="D38" s="39">
        <f>SUM(D5:D37)</f>
        <v>6.4791666666666687</v>
      </c>
      <c r="E38" s="39">
        <f t="shared" ref="E38:O38" si="4">SUM(E5:E37)</f>
        <v>0.10486111111111111</v>
      </c>
      <c r="F38" s="39">
        <f t="shared" si="4"/>
        <v>6.25E-2</v>
      </c>
      <c r="G38" s="39">
        <f t="shared" si="4"/>
        <v>5.3000000000000007</v>
      </c>
      <c r="H38" s="39">
        <f t="shared" si="4"/>
        <v>0.2673611111111111</v>
      </c>
      <c r="I38" s="39">
        <f t="shared" si="4"/>
        <v>5.0513888888888898</v>
      </c>
      <c r="J38" s="39">
        <f t="shared" si="4"/>
        <v>0</v>
      </c>
      <c r="K38" s="39">
        <f t="shared" si="4"/>
        <v>0.32291666666666669</v>
      </c>
      <c r="L38" s="39">
        <f t="shared" si="4"/>
        <v>1.4583333333333335</v>
      </c>
      <c r="M38" s="39">
        <f t="shared" si="4"/>
        <v>3.0555555555555447E-2</v>
      </c>
      <c r="N38" s="39">
        <f t="shared" si="4"/>
        <v>1.0234375</v>
      </c>
      <c r="O38" s="39">
        <f t="shared" si="4"/>
        <v>0</v>
      </c>
    </row>
    <row r="39" spans="1:15" ht="15.75" thickBot="1" x14ac:dyDescent="0.3">
      <c r="A39" s="58"/>
      <c r="B39" s="64"/>
      <c r="C39" s="66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</row>
  </sheetData>
  <mergeCells count="25">
    <mergeCell ref="C3:C4"/>
    <mergeCell ref="C38:C39"/>
    <mergeCell ref="A1:O2"/>
    <mergeCell ref="E3:I3"/>
    <mergeCell ref="D3:D4"/>
    <mergeCell ref="J3:J4"/>
    <mergeCell ref="A38:B39"/>
    <mergeCell ref="D38:D39"/>
    <mergeCell ref="I38:I39"/>
    <mergeCell ref="J38:J39"/>
    <mergeCell ref="M38:M39"/>
    <mergeCell ref="O38:O39"/>
    <mergeCell ref="L38:L39"/>
    <mergeCell ref="N38:N39"/>
    <mergeCell ref="E38:E39"/>
    <mergeCell ref="F38:F39"/>
    <mergeCell ref="G38:G39"/>
    <mergeCell ref="A3:B4"/>
    <mergeCell ref="H38:H39"/>
    <mergeCell ref="O3:O4"/>
    <mergeCell ref="M3:M4"/>
    <mergeCell ref="L3:L4"/>
    <mergeCell ref="N3:N4"/>
    <mergeCell ref="K3:K4"/>
    <mergeCell ref="K38:K39"/>
  </mergeCells>
  <conditionalFormatting sqref="A5:A37">
    <cfRule type="expression" dxfId="189" priority="17">
      <formula>$N5&lt;&gt;""</formula>
    </cfRule>
  </conditionalFormatting>
  <conditionalFormatting sqref="M36:O36 A36:J36 A5:D35">
    <cfRule type="expression" dxfId="188" priority="30">
      <formula>COUNTIF(Jours_fériés,$B5)=1</formula>
    </cfRule>
  </conditionalFormatting>
  <conditionalFormatting sqref="H5:O35 A36:O36 A5:F35">
    <cfRule type="expression" dxfId="187" priority="19">
      <formula>$A5="Dimanche"</formula>
    </cfRule>
  </conditionalFormatting>
  <conditionalFormatting sqref="G5:G35">
    <cfRule type="expression" dxfId="186" priority="2">
      <formula>$A5="Dimanche"</formula>
    </cfRule>
    <cfRule type="expression" dxfId="185" priority="3">
      <formula>$A5="Samedi"</formula>
    </cfRule>
  </conditionalFormatting>
  <conditionalFormatting sqref="G5:G35">
    <cfRule type="expression" dxfId="184" priority="4">
      <formula>COUNTIF(Jours_fériés,$B5)=1</formula>
    </cfRule>
  </conditionalFormatting>
  <conditionalFormatting sqref="C5:C35">
    <cfRule type="expression" dxfId="183" priority="1">
      <formula>$N5&lt;&gt;""</formula>
    </cfRule>
  </conditionalFormatting>
  <conditionalFormatting sqref="A36:O37 H5:O35 A5:F35">
    <cfRule type="expression" dxfId="1" priority="31">
      <formula>COUNTIF(Jours_fériés,$B5)=1</formula>
    </cfRule>
    <cfRule type="expression" dxfId="0" priority="32">
      <formula>$A5="Samedi"</formula>
    </cfRule>
  </conditionalFormatting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39"/>
  <sheetViews>
    <sheetView workbookViewId="0">
      <pane ySplit="4" topLeftCell="A5" activePane="bottomLeft" state="frozen"/>
      <selection activeCell="B36" sqref="B36"/>
      <selection pane="bottomLeft" activeCell="M5" sqref="M5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DATE(Année!B1,2,1)</f>
        <v>41670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ht="15" customHeight="1" x14ac:dyDescent="0.25">
      <c r="A5" s="8" t="str">
        <f t="shared" ref="A5:A8" si="0">CHOOSE(WEEKDAY(B5),"Dimanche","Lundi","Mardi","Mercredi","Jeudi","Vendredi","Samedi")</f>
        <v>Jeudi</v>
      </c>
      <c r="B5" s="10">
        <f t="shared" ref="B5:B32" si="1">DATE(An,2,ROW(1:31))</f>
        <v>41670</v>
      </c>
      <c r="C5" s="3">
        <f>IFERROR((VLOOKUP(B5,Fériés:Fériés,2,0)),VLOOKUP(A5,Année!$C$2:$C$8:'Année'!$D$2:$D$8,2,0))</f>
        <v>0.32291666666666669</v>
      </c>
      <c r="D5" s="4"/>
      <c r="E5" s="4"/>
      <c r="F5" s="5">
        <f>IF(K5="",C5,0)</f>
        <v>0.32291666666666669</v>
      </c>
      <c r="G5" s="4"/>
      <c r="H5" s="5"/>
      <c r="I5" s="5"/>
      <c r="J5" s="5" t="str">
        <f t="shared" ref="J5" si="2">IF(C5=0,VLOOKUP(A5,Horaires,2,FALSE)," ")</f>
        <v xml:space="preserve"> </v>
      </c>
      <c r="K5" s="5"/>
      <c r="L5" s="5">
        <f t="shared" ref="L5" si="3">IF(A5="dimanche","",IF(A5="samedi","",IF(F5&lt;=0,"",(IF(H5="",F5-C5,H5-C5))+(I5+K5+N5))))</f>
        <v>0</v>
      </c>
      <c r="M5" s="4" t="str">
        <f t="shared" ref="M5:M32" si="4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ht="15.75" customHeight="1" x14ac:dyDescent="0.25">
      <c r="A6" s="8" t="str">
        <f t="shared" si="0"/>
        <v>Vendredi</v>
      </c>
      <c r="B6" s="10">
        <f t="shared" si="1"/>
        <v>41671</v>
      </c>
      <c r="C6" s="3">
        <f>IFERROR((VLOOKUP(B6,Fériés:Fériés,2,0)),VLOOKUP(A6,Année!$C$2:$C$8:'Année'!$D$2:$D$8,2,0))</f>
        <v>0.16666666666666666</v>
      </c>
      <c r="D6" s="4"/>
      <c r="E6" s="4"/>
      <c r="F6" s="5">
        <f>IF(K6="",C6,0)</f>
        <v>0.16666666666666666</v>
      </c>
      <c r="G6" s="4"/>
      <c r="H6" s="5"/>
      <c r="I6" s="5"/>
      <c r="J6" s="5" t="str">
        <f t="shared" ref="J6:J32" si="5">IF(C6=0,VLOOKUP(A6,Horaires,2,FALSE)," ")</f>
        <v xml:space="preserve"> </v>
      </c>
      <c r="K6" s="5"/>
      <c r="L6" s="5">
        <f t="shared" ref="L6:L35" si="6">IF(A6="dimanche","",IF(A6="samedi","",IF(F6&lt;=0,"",(IF(H6="",F6-C6,H6-C6))+(I6+K6+N6))))</f>
        <v>0</v>
      </c>
      <c r="M6" s="4" t="str">
        <f t="shared" si="4"/>
        <v/>
      </c>
      <c r="N6" s="4" t="str">
        <f t="shared" ref="N6:N35" si="7">IF(F6="","",IF((F6+I6+K6)&gt;=C6,"0:00",C6-F6))</f>
        <v>0:00</v>
      </c>
    </row>
    <row r="7" spans="1:14" ht="18.75" customHeight="1" x14ac:dyDescent="0.25">
      <c r="A7" s="8" t="str">
        <f t="shared" si="0"/>
        <v>Samedi</v>
      </c>
      <c r="B7" s="10">
        <f t="shared" si="1"/>
        <v>41672</v>
      </c>
      <c r="C7" s="3">
        <f>IFERROR((VLOOKUP(B7,Fériés:Fériés,2,0)),VLOOKUP(A7,Année!$C$2:$C$8:'Année'!$D$2:$D$8,2,0))</f>
        <v>0</v>
      </c>
      <c r="D7" s="4"/>
      <c r="E7" s="4"/>
      <c r="F7" s="5">
        <f t="shared" ref="F7:F32" si="8">IF(K7="",C7,0)</f>
        <v>0</v>
      </c>
      <c r="G7" s="4"/>
      <c r="H7" s="5"/>
      <c r="I7" s="5"/>
      <c r="J7" s="5">
        <f t="shared" si="5"/>
        <v>0</v>
      </c>
      <c r="K7" s="5"/>
      <c r="L7" s="5" t="str">
        <f t="shared" si="6"/>
        <v/>
      </c>
      <c r="M7" s="4" t="str">
        <f t="shared" si="4"/>
        <v/>
      </c>
      <c r="N7" s="4" t="str">
        <f t="shared" si="7"/>
        <v>0:00</v>
      </c>
    </row>
    <row r="8" spans="1:14" x14ac:dyDescent="0.25">
      <c r="A8" s="8" t="str">
        <f t="shared" si="0"/>
        <v>Dimanche</v>
      </c>
      <c r="B8" s="10">
        <f t="shared" si="1"/>
        <v>41673</v>
      </c>
      <c r="C8" s="3">
        <f>IFERROR((VLOOKUP(B8,Fériés:Fériés,2,0)),VLOOKUP(A8,Année!$C$2:$C$8:'Année'!$D$2:$D$8,2,0))</f>
        <v>0</v>
      </c>
      <c r="D8" s="4"/>
      <c r="E8" s="4"/>
      <c r="F8" s="5">
        <f t="shared" si="8"/>
        <v>0</v>
      </c>
      <c r="G8" s="4"/>
      <c r="H8" s="5"/>
      <c r="I8" s="5"/>
      <c r="J8" s="5">
        <f t="shared" si="5"/>
        <v>0</v>
      </c>
      <c r="K8" s="5"/>
      <c r="L8" s="5" t="str">
        <f t="shared" si="6"/>
        <v/>
      </c>
      <c r="M8" s="4" t="str">
        <f t="shared" si="4"/>
        <v/>
      </c>
      <c r="N8" s="4" t="str">
        <f t="shared" si="7"/>
        <v>0:00</v>
      </c>
    </row>
    <row r="9" spans="1:14" x14ac:dyDescent="0.25">
      <c r="A9" s="8" t="str">
        <f>CHOOSE(WEEKDAY(B9),"Dimanche","Lundi","Mardi","Mercredi","Jeudi","Vendredi","Samedi")</f>
        <v>Lundi</v>
      </c>
      <c r="B9" s="10">
        <f t="shared" si="1"/>
        <v>41674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8"/>
        <v>0.32291666666666669</v>
      </c>
      <c r="G9" s="4"/>
      <c r="H9" s="5"/>
      <c r="I9" s="5"/>
      <c r="J9" s="5" t="str">
        <f t="shared" si="5"/>
        <v xml:space="preserve"> </v>
      </c>
      <c r="K9" s="5"/>
      <c r="L9" s="5">
        <f t="shared" si="6"/>
        <v>0</v>
      </c>
      <c r="M9" s="4" t="str">
        <f t="shared" si="4"/>
        <v/>
      </c>
      <c r="N9" s="4" t="str">
        <f t="shared" si="7"/>
        <v>0:00</v>
      </c>
    </row>
    <row r="10" spans="1:14" x14ac:dyDescent="0.25">
      <c r="A10" s="8" t="str">
        <f t="shared" ref="A10:A32" si="9">CHOOSE(WEEKDAY(B10),"Dimanche","Lundi","Mardi","Mercredi","Jeudi","Vendredi","Samedi")</f>
        <v>Mardi</v>
      </c>
      <c r="B10" s="10">
        <f t="shared" si="1"/>
        <v>41675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8"/>
        <v>0.32291666666666669</v>
      </c>
      <c r="G10" s="4"/>
      <c r="H10" s="5"/>
      <c r="I10" s="5"/>
      <c r="J10" s="5" t="str">
        <f t="shared" si="5"/>
        <v xml:space="preserve"> </v>
      </c>
      <c r="K10" s="5"/>
      <c r="L10" s="5">
        <f t="shared" si="6"/>
        <v>0</v>
      </c>
      <c r="M10" s="4" t="str">
        <f t="shared" si="4"/>
        <v/>
      </c>
      <c r="N10" s="4" t="str">
        <f t="shared" si="7"/>
        <v>0:00</v>
      </c>
    </row>
    <row r="11" spans="1:14" x14ac:dyDescent="0.25">
      <c r="A11" s="8" t="str">
        <f t="shared" si="9"/>
        <v>Mercredi</v>
      </c>
      <c r="B11" s="10">
        <f t="shared" si="1"/>
        <v>41676</v>
      </c>
      <c r="C11" s="3">
        <f>IFERROR((VLOOKUP(B11,Fériés:Fériés,2,0)),VLOOKUP(A11,Année!$C$2:$C$8:'Année'!$D$2:$D$8,2,0))</f>
        <v>0.32291666666666669</v>
      </c>
      <c r="D11" s="4">
        <v>0.10416666666666667</v>
      </c>
      <c r="E11" s="4">
        <v>6.25E-2</v>
      </c>
      <c r="F11" s="5">
        <v>0.1875</v>
      </c>
      <c r="G11" s="4"/>
      <c r="H11" s="5"/>
      <c r="I11" s="5"/>
      <c r="J11" s="5" t="str">
        <f t="shared" si="5"/>
        <v xml:space="preserve"> </v>
      </c>
      <c r="K11" s="5"/>
      <c r="L11" s="5">
        <f t="shared" si="6"/>
        <v>0</v>
      </c>
      <c r="M11" s="4">
        <f t="shared" si="4"/>
        <v>0.33854166666666669</v>
      </c>
      <c r="N11" s="4">
        <f t="shared" si="7"/>
        <v>0.13541666666666669</v>
      </c>
    </row>
    <row r="12" spans="1:14" x14ac:dyDescent="0.25">
      <c r="A12" s="8" t="str">
        <f t="shared" si="9"/>
        <v>Jeudi</v>
      </c>
      <c r="B12" s="10">
        <f t="shared" si="1"/>
        <v>41677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8"/>
        <v>0.32291666666666669</v>
      </c>
      <c r="G12" s="4"/>
      <c r="H12" s="5"/>
      <c r="I12" s="5"/>
      <c r="J12" s="5" t="str">
        <f t="shared" si="5"/>
        <v xml:space="preserve"> </v>
      </c>
      <c r="K12" s="5"/>
      <c r="L12" s="5">
        <f t="shared" si="6"/>
        <v>0</v>
      </c>
      <c r="M12" s="4" t="str">
        <f t="shared" si="4"/>
        <v/>
      </c>
      <c r="N12" s="4" t="str">
        <f t="shared" si="7"/>
        <v>0:00</v>
      </c>
    </row>
    <row r="13" spans="1:14" x14ac:dyDescent="0.25">
      <c r="A13" s="8" t="str">
        <f t="shared" si="9"/>
        <v>Vendredi</v>
      </c>
      <c r="B13" s="10">
        <f t="shared" si="1"/>
        <v>41678</v>
      </c>
      <c r="C13" s="3">
        <f>IFERROR((VLOOKUP(B13,Fériés:Fériés,2,0)),VLOOKUP(A13,Année!$C$2:$C$8:'Année'!$D$2:$D$8,2,0))</f>
        <v>0.16666666666666666</v>
      </c>
      <c r="D13" s="4"/>
      <c r="E13" s="4"/>
      <c r="F13" s="5">
        <f t="shared" si="8"/>
        <v>0.16666666666666666</v>
      </c>
      <c r="G13" s="4"/>
      <c r="H13" s="5"/>
      <c r="I13" s="5"/>
      <c r="J13" s="5" t="str">
        <f t="shared" si="5"/>
        <v xml:space="preserve"> </v>
      </c>
      <c r="K13" s="5"/>
      <c r="L13" s="5">
        <f t="shared" si="6"/>
        <v>0</v>
      </c>
      <c r="M13" s="4" t="str">
        <f t="shared" si="4"/>
        <v/>
      </c>
      <c r="N13" s="4" t="str">
        <f t="shared" si="7"/>
        <v>0:00</v>
      </c>
    </row>
    <row r="14" spans="1:14" x14ac:dyDescent="0.25">
      <c r="A14" s="8" t="str">
        <f t="shared" si="9"/>
        <v>Samedi</v>
      </c>
      <c r="B14" s="10">
        <f t="shared" si="1"/>
        <v>41679</v>
      </c>
      <c r="C14" s="3">
        <f>IFERROR((VLOOKUP(B14,Fériés:Fériés,2,0)),VLOOKUP(A14,Année!$C$2:$C$8:'Année'!$D$2:$D$8,2,0))</f>
        <v>0</v>
      </c>
      <c r="D14" s="4">
        <v>0.10416666666666667</v>
      </c>
      <c r="E14" s="4">
        <v>6.25E-2</v>
      </c>
      <c r="F14" s="5">
        <v>0.22916666666666666</v>
      </c>
      <c r="G14" s="4"/>
      <c r="H14" s="5"/>
      <c r="I14" s="5"/>
      <c r="J14" s="5">
        <f t="shared" si="5"/>
        <v>0</v>
      </c>
      <c r="K14" s="5"/>
      <c r="L14" s="5" t="str">
        <f t="shared" si="6"/>
        <v/>
      </c>
      <c r="M14" s="4">
        <f t="shared" si="4"/>
        <v>0.625</v>
      </c>
      <c r="N14" s="4" t="str">
        <f t="shared" si="7"/>
        <v>0:00</v>
      </c>
    </row>
    <row r="15" spans="1:14" x14ac:dyDescent="0.25">
      <c r="A15" s="8" t="str">
        <f t="shared" si="9"/>
        <v>Dimanche</v>
      </c>
      <c r="B15" s="10">
        <f t="shared" si="1"/>
        <v>41680</v>
      </c>
      <c r="C15" s="3">
        <f>IFERROR((VLOOKUP(B15,Fériés:Fériés,2,0)),VLOOKUP(A15,Année!$C$2:$C$8:'Année'!$D$2:$D$8,2,0))</f>
        <v>0</v>
      </c>
      <c r="D15" s="4">
        <v>0.10416666666666667</v>
      </c>
      <c r="E15" s="4">
        <v>6.25E-2</v>
      </c>
      <c r="F15" s="5">
        <v>8.3333333333333329E-2</v>
      </c>
      <c r="G15" s="4"/>
      <c r="H15" s="5"/>
      <c r="I15" s="5"/>
      <c r="J15" s="5">
        <f t="shared" si="5"/>
        <v>0</v>
      </c>
      <c r="K15" s="5"/>
      <c r="L15" s="5" t="str">
        <f t="shared" si="6"/>
        <v/>
      </c>
      <c r="M15" s="4">
        <f t="shared" si="4"/>
        <v>0.55208333333333326</v>
      </c>
      <c r="N15" s="4" t="str">
        <f t="shared" si="7"/>
        <v>0:00</v>
      </c>
    </row>
    <row r="16" spans="1:14" x14ac:dyDescent="0.25">
      <c r="A16" s="8" t="str">
        <f t="shared" si="9"/>
        <v>Lundi</v>
      </c>
      <c r="B16" s="10">
        <f t="shared" si="1"/>
        <v>41681</v>
      </c>
      <c r="C16" s="3">
        <f>IFERROR((VLOOKUP(B16,Fériés:Fériés,2,0)),VLOOKUP(A16,Année!$C$2:$C$8:'Année'!$D$2:$D$8,2,0))</f>
        <v>0.32291666666666669</v>
      </c>
      <c r="D16" s="4">
        <v>0.10416666666666667</v>
      </c>
      <c r="E16" s="4">
        <v>6.25E-2</v>
      </c>
      <c r="F16" s="5">
        <v>9.3055555555555558E-2</v>
      </c>
      <c r="G16" s="4"/>
      <c r="H16" s="5"/>
      <c r="I16" s="5"/>
      <c r="J16" s="5" t="str">
        <f t="shared" si="5"/>
        <v xml:space="preserve"> </v>
      </c>
      <c r="K16" s="5">
        <v>0</v>
      </c>
      <c r="L16" s="5">
        <f t="shared" si="6"/>
        <v>0</v>
      </c>
      <c r="M16" s="4">
        <f t="shared" si="4"/>
        <v>0.33854166666666669</v>
      </c>
      <c r="N16" s="4">
        <f>IF(F16="","",IF((F16+I16+K16)&gt;=C16,"0:00",C16-F16))</f>
        <v>0.22986111111111113</v>
      </c>
    </row>
    <row r="17" spans="1:14" x14ac:dyDescent="0.25">
      <c r="A17" s="8" t="str">
        <f t="shared" si="9"/>
        <v>Mardi</v>
      </c>
      <c r="B17" s="10">
        <f t="shared" si="1"/>
        <v>41682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8"/>
        <v>0</v>
      </c>
      <c r="G17" s="4"/>
      <c r="H17" s="5"/>
      <c r="I17" s="5"/>
      <c r="J17" s="5" t="str">
        <f t="shared" si="5"/>
        <v xml:space="preserve"> </v>
      </c>
      <c r="K17" s="5">
        <v>0.32291666666666669</v>
      </c>
      <c r="L17" s="5" t="str">
        <f t="shared" si="6"/>
        <v/>
      </c>
      <c r="M17" s="4" t="str">
        <f t="shared" si="4"/>
        <v/>
      </c>
      <c r="N17" s="4" t="str">
        <f t="shared" si="7"/>
        <v>0:00</v>
      </c>
    </row>
    <row r="18" spans="1:14" x14ac:dyDescent="0.25">
      <c r="A18" s="8" t="str">
        <f t="shared" si="9"/>
        <v>Mercredi</v>
      </c>
      <c r="B18" s="10">
        <f t="shared" si="1"/>
        <v>41683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8"/>
        <v>0</v>
      </c>
      <c r="G18" s="4"/>
      <c r="H18" s="5"/>
      <c r="I18" s="5"/>
      <c r="J18" s="5" t="str">
        <f t="shared" si="5"/>
        <v xml:space="preserve"> </v>
      </c>
      <c r="K18" s="5">
        <v>0.32291666666666669</v>
      </c>
      <c r="L18" s="5" t="str">
        <f t="shared" si="6"/>
        <v/>
      </c>
      <c r="M18" s="4" t="str">
        <f t="shared" si="4"/>
        <v/>
      </c>
      <c r="N18" s="4" t="str">
        <f t="shared" si="7"/>
        <v>0:00</v>
      </c>
    </row>
    <row r="19" spans="1:14" x14ac:dyDescent="0.25">
      <c r="A19" s="8" t="str">
        <f t="shared" si="9"/>
        <v>Jeudi</v>
      </c>
      <c r="B19" s="10">
        <f t="shared" si="1"/>
        <v>41684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8"/>
        <v>0</v>
      </c>
      <c r="G19" s="4"/>
      <c r="H19" s="5"/>
      <c r="I19" s="5"/>
      <c r="J19" s="5" t="str">
        <f t="shared" si="5"/>
        <v xml:space="preserve"> </v>
      </c>
      <c r="K19" s="5">
        <v>0.32291666666666669</v>
      </c>
      <c r="L19" s="5" t="str">
        <f t="shared" si="6"/>
        <v/>
      </c>
      <c r="M19" s="4" t="str">
        <f t="shared" si="4"/>
        <v/>
      </c>
      <c r="N19" s="4" t="str">
        <f t="shared" si="7"/>
        <v>0:00</v>
      </c>
    </row>
    <row r="20" spans="1:14" x14ac:dyDescent="0.25">
      <c r="A20" s="8" t="str">
        <f t="shared" si="9"/>
        <v>Vendredi</v>
      </c>
      <c r="B20" s="10">
        <f t="shared" si="1"/>
        <v>41685</v>
      </c>
      <c r="C20" s="3">
        <f>IFERROR((VLOOKUP(B20,Fériés:Fériés,2,0)),VLOOKUP(A20,Année!$C$2:$C$8:'Année'!$D$2:$D$8,2,0))</f>
        <v>0.16666666666666666</v>
      </c>
      <c r="D20" s="4"/>
      <c r="E20" s="4"/>
      <c r="F20" s="5">
        <f t="shared" si="8"/>
        <v>0</v>
      </c>
      <c r="G20" s="4"/>
      <c r="H20" s="5"/>
      <c r="I20" s="5"/>
      <c r="J20" s="5" t="str">
        <f t="shared" si="5"/>
        <v xml:space="preserve"> </v>
      </c>
      <c r="K20" s="5">
        <v>0.16666666666666666</v>
      </c>
      <c r="L20" s="5" t="str">
        <f t="shared" si="6"/>
        <v/>
      </c>
      <c r="M20" s="4" t="str">
        <f t="shared" si="4"/>
        <v/>
      </c>
      <c r="N20" s="4" t="str">
        <f t="shared" si="7"/>
        <v>0:00</v>
      </c>
    </row>
    <row r="21" spans="1:14" x14ac:dyDescent="0.25">
      <c r="A21" s="8" t="str">
        <f t="shared" si="9"/>
        <v>Samedi</v>
      </c>
      <c r="B21" s="10">
        <f t="shared" si="1"/>
        <v>41686</v>
      </c>
      <c r="C21" s="3">
        <f>IFERROR((VLOOKUP(B21,Fériés:Fériés,2,0)),VLOOKUP(A21,Année!$C$2:$C$8:'Année'!$D$2:$D$8,2,0))</f>
        <v>0</v>
      </c>
      <c r="D21" s="4"/>
      <c r="E21" s="4"/>
      <c r="F21" s="5">
        <f t="shared" si="8"/>
        <v>0</v>
      </c>
      <c r="G21" s="4"/>
      <c r="H21" s="5"/>
      <c r="I21" s="5"/>
      <c r="J21" s="5">
        <f t="shared" si="5"/>
        <v>0</v>
      </c>
      <c r="K21" s="5"/>
      <c r="L21" s="5" t="str">
        <f t="shared" si="6"/>
        <v/>
      </c>
      <c r="M21" s="4" t="str">
        <f t="shared" si="4"/>
        <v/>
      </c>
      <c r="N21" s="4" t="str">
        <f t="shared" si="7"/>
        <v>0:00</v>
      </c>
    </row>
    <row r="22" spans="1:14" x14ac:dyDescent="0.25">
      <c r="A22" s="8" t="str">
        <f t="shared" si="9"/>
        <v>Dimanche</v>
      </c>
      <c r="B22" s="10">
        <f t="shared" si="1"/>
        <v>41687</v>
      </c>
      <c r="C22" s="3">
        <f>IFERROR((VLOOKUP(B22,Fériés:Fériés,2,0)),VLOOKUP(A22,Année!$C$2:$C$8:'Année'!$D$2:$D$8,2,0))</f>
        <v>0</v>
      </c>
      <c r="D22" s="4"/>
      <c r="E22" s="4"/>
      <c r="F22" s="5">
        <f t="shared" si="8"/>
        <v>0</v>
      </c>
      <c r="G22" s="4"/>
      <c r="H22" s="5"/>
      <c r="I22" s="5"/>
      <c r="J22" s="5">
        <f t="shared" si="5"/>
        <v>0</v>
      </c>
      <c r="K22" s="5"/>
      <c r="L22" s="5" t="str">
        <f t="shared" si="6"/>
        <v/>
      </c>
      <c r="M22" s="4" t="str">
        <f t="shared" si="4"/>
        <v/>
      </c>
      <c r="N22" s="4" t="str">
        <f t="shared" si="7"/>
        <v>0:00</v>
      </c>
    </row>
    <row r="23" spans="1:14" x14ac:dyDescent="0.25">
      <c r="A23" s="8" t="str">
        <f t="shared" si="9"/>
        <v>Lundi</v>
      </c>
      <c r="B23" s="10">
        <f t="shared" si="1"/>
        <v>41688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8"/>
        <v>0.32291666666666669</v>
      </c>
      <c r="G23" s="4"/>
      <c r="H23" s="5"/>
      <c r="I23" s="5"/>
      <c r="J23" s="5" t="str">
        <f t="shared" si="5"/>
        <v xml:space="preserve"> </v>
      </c>
      <c r="K23" s="5"/>
      <c r="L23" s="5">
        <f t="shared" si="6"/>
        <v>0</v>
      </c>
      <c r="M23" s="4" t="str">
        <f t="shared" si="4"/>
        <v/>
      </c>
      <c r="N23" s="4" t="str">
        <f t="shared" si="7"/>
        <v>0:00</v>
      </c>
    </row>
    <row r="24" spans="1:14" x14ac:dyDescent="0.25">
      <c r="A24" s="8" t="str">
        <f t="shared" si="9"/>
        <v>Mardi</v>
      </c>
      <c r="B24" s="10">
        <f t="shared" si="1"/>
        <v>41689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8"/>
        <v>0.32291666666666669</v>
      </c>
      <c r="G24" s="4"/>
      <c r="H24" s="5"/>
      <c r="I24" s="5"/>
      <c r="J24" s="5" t="str">
        <f t="shared" si="5"/>
        <v xml:space="preserve"> </v>
      </c>
      <c r="K24" s="5"/>
      <c r="L24" s="5">
        <f t="shared" si="6"/>
        <v>0</v>
      </c>
      <c r="M24" s="4" t="str">
        <f t="shared" si="4"/>
        <v/>
      </c>
      <c r="N24" s="4" t="str">
        <f t="shared" si="7"/>
        <v>0:00</v>
      </c>
    </row>
    <row r="25" spans="1:14" x14ac:dyDescent="0.25">
      <c r="A25" s="8" t="str">
        <f t="shared" si="9"/>
        <v>Mercredi</v>
      </c>
      <c r="B25" s="10">
        <f t="shared" si="1"/>
        <v>41690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8"/>
        <v>0.32291666666666669</v>
      </c>
      <c r="G25" s="4"/>
      <c r="H25" s="5"/>
      <c r="I25" s="5"/>
      <c r="J25" s="5" t="str">
        <f t="shared" si="5"/>
        <v xml:space="preserve"> </v>
      </c>
      <c r="K25" s="5"/>
      <c r="L25" s="5">
        <f t="shared" si="6"/>
        <v>0</v>
      </c>
      <c r="M25" s="4" t="str">
        <f t="shared" si="4"/>
        <v/>
      </c>
      <c r="N25" s="4" t="str">
        <f t="shared" si="7"/>
        <v>0:00</v>
      </c>
    </row>
    <row r="26" spans="1:14" x14ac:dyDescent="0.25">
      <c r="A26" s="8" t="str">
        <f t="shared" si="9"/>
        <v>Jeudi</v>
      </c>
      <c r="B26" s="10">
        <f t="shared" si="1"/>
        <v>41691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8"/>
        <v>0.32291666666666669</v>
      </c>
      <c r="G26" s="4"/>
      <c r="H26" s="5"/>
      <c r="I26" s="5"/>
      <c r="J26" s="5" t="str">
        <f t="shared" si="5"/>
        <v xml:space="preserve"> </v>
      </c>
      <c r="K26" s="5"/>
      <c r="L26" s="5">
        <f t="shared" si="6"/>
        <v>0</v>
      </c>
      <c r="M26" s="4" t="str">
        <f t="shared" si="4"/>
        <v/>
      </c>
      <c r="N26" s="4" t="str">
        <f t="shared" si="7"/>
        <v>0:00</v>
      </c>
    </row>
    <row r="27" spans="1:14" x14ac:dyDescent="0.25">
      <c r="A27" s="8" t="str">
        <f t="shared" si="9"/>
        <v>Vendredi</v>
      </c>
      <c r="B27" s="10">
        <f t="shared" si="1"/>
        <v>41692</v>
      </c>
      <c r="C27" s="3">
        <f>IFERROR((VLOOKUP(B27,Fériés:Fériés,2,0)),VLOOKUP(A27,Année!$C$2:$C$8:'Année'!$D$2:$D$8,2,0))</f>
        <v>0.16666666666666666</v>
      </c>
      <c r="D27" s="4"/>
      <c r="E27" s="4"/>
      <c r="F27" s="5">
        <f t="shared" si="8"/>
        <v>0.16666666666666666</v>
      </c>
      <c r="G27" s="4"/>
      <c r="H27" s="5"/>
      <c r="I27" s="5"/>
      <c r="J27" s="5" t="str">
        <f t="shared" si="5"/>
        <v xml:space="preserve"> </v>
      </c>
      <c r="K27" s="5"/>
      <c r="L27" s="5">
        <f t="shared" si="6"/>
        <v>0</v>
      </c>
      <c r="M27" s="4" t="str">
        <f t="shared" si="4"/>
        <v/>
      </c>
      <c r="N27" s="4" t="str">
        <f t="shared" si="7"/>
        <v>0:00</v>
      </c>
    </row>
    <row r="28" spans="1:14" x14ac:dyDescent="0.25">
      <c r="A28" s="8" t="str">
        <f t="shared" si="9"/>
        <v>Samedi</v>
      </c>
      <c r="B28" s="10">
        <f t="shared" si="1"/>
        <v>41693</v>
      </c>
      <c r="C28" s="3">
        <f>IFERROR((VLOOKUP(B28,Fériés:Fériés,2,0)),VLOOKUP(A28,Année!$C$2:$C$8:'Année'!$D$2:$D$8,2,0))</f>
        <v>0</v>
      </c>
      <c r="D28" s="4"/>
      <c r="E28" s="4"/>
      <c r="F28" s="5">
        <f t="shared" si="8"/>
        <v>0</v>
      </c>
      <c r="G28" s="4"/>
      <c r="H28" s="5"/>
      <c r="I28" s="5"/>
      <c r="J28" s="5">
        <f t="shared" si="5"/>
        <v>0</v>
      </c>
      <c r="K28" s="5"/>
      <c r="L28" s="5" t="str">
        <f t="shared" si="6"/>
        <v/>
      </c>
      <c r="M28" s="4" t="str">
        <f t="shared" si="4"/>
        <v/>
      </c>
      <c r="N28" s="4" t="str">
        <f t="shared" si="7"/>
        <v>0:00</v>
      </c>
    </row>
    <row r="29" spans="1:14" x14ac:dyDescent="0.25">
      <c r="A29" s="8" t="str">
        <f t="shared" si="9"/>
        <v>Dimanche</v>
      </c>
      <c r="B29" s="10">
        <f t="shared" si="1"/>
        <v>41694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8"/>
        <v>0</v>
      </c>
      <c r="G29" s="4"/>
      <c r="H29" s="5"/>
      <c r="I29" s="5"/>
      <c r="J29" s="5">
        <f t="shared" si="5"/>
        <v>0</v>
      </c>
      <c r="K29" s="5"/>
      <c r="L29" s="5" t="str">
        <f t="shared" si="6"/>
        <v/>
      </c>
      <c r="M29" s="4" t="str">
        <f t="shared" si="4"/>
        <v/>
      </c>
      <c r="N29" s="4" t="str">
        <f t="shared" si="7"/>
        <v>0:00</v>
      </c>
    </row>
    <row r="30" spans="1:14" x14ac:dyDescent="0.25">
      <c r="A30" s="8" t="str">
        <f t="shared" si="9"/>
        <v>Lundi</v>
      </c>
      <c r="B30" s="10">
        <f t="shared" si="1"/>
        <v>41695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8"/>
        <v>0.32291666666666669</v>
      </c>
      <c r="G30" s="4"/>
      <c r="H30" s="5"/>
      <c r="I30" s="5"/>
      <c r="J30" s="5" t="str">
        <f t="shared" si="5"/>
        <v xml:space="preserve"> </v>
      </c>
      <c r="K30" s="5"/>
      <c r="L30" s="5">
        <f t="shared" si="6"/>
        <v>0</v>
      </c>
      <c r="M30" s="4" t="str">
        <f t="shared" si="4"/>
        <v/>
      </c>
      <c r="N30" s="4" t="str">
        <f t="shared" si="7"/>
        <v>0:00</v>
      </c>
    </row>
    <row r="31" spans="1:14" x14ac:dyDescent="0.25">
      <c r="A31" s="8" t="str">
        <f t="shared" si="9"/>
        <v>Mardi</v>
      </c>
      <c r="B31" s="10">
        <f t="shared" si="1"/>
        <v>41696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8"/>
        <v>0.32291666666666669</v>
      </c>
      <c r="G31" s="4"/>
      <c r="H31" s="5"/>
      <c r="I31" s="5"/>
      <c r="J31" s="5" t="str">
        <f t="shared" si="5"/>
        <v xml:space="preserve"> </v>
      </c>
      <c r="K31" s="5"/>
      <c r="L31" s="5">
        <f t="shared" si="6"/>
        <v>0</v>
      </c>
      <c r="M31" s="4" t="str">
        <f t="shared" si="4"/>
        <v/>
      </c>
      <c r="N31" s="4" t="str">
        <f t="shared" si="7"/>
        <v>0:00</v>
      </c>
    </row>
    <row r="32" spans="1:14" x14ac:dyDescent="0.25">
      <c r="A32" s="8" t="str">
        <f t="shared" si="9"/>
        <v>Mercredi</v>
      </c>
      <c r="B32" s="10">
        <f t="shared" si="1"/>
        <v>41697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8"/>
        <v>0.32291666666666669</v>
      </c>
      <c r="G32" s="4"/>
      <c r="H32" s="5"/>
      <c r="I32" s="5"/>
      <c r="J32" s="5" t="str">
        <f t="shared" si="5"/>
        <v xml:space="preserve"> </v>
      </c>
      <c r="K32" s="5"/>
      <c r="L32" s="5">
        <f t="shared" si="6"/>
        <v>0</v>
      </c>
      <c r="M32" s="4" t="str">
        <f t="shared" si="4"/>
        <v/>
      </c>
      <c r="N32" s="4" t="str">
        <f t="shared" si="7"/>
        <v>0:00</v>
      </c>
    </row>
    <row r="33" spans="1:14" x14ac:dyDescent="0.25">
      <c r="A33" s="8"/>
      <c r="B33" s="10"/>
      <c r="C33" s="3"/>
      <c r="D33" s="4"/>
      <c r="E33" s="4"/>
      <c r="F33" s="5"/>
      <c r="G33" s="4"/>
      <c r="H33" s="5"/>
      <c r="I33" s="5"/>
      <c r="J33" s="5"/>
      <c r="K33" s="5"/>
      <c r="L33" s="5" t="str">
        <f t="shared" si="6"/>
        <v/>
      </c>
      <c r="M33" s="4" t="str">
        <f t="shared" ref="M33:M35" si="10">IF(D33="","",IF(AND(A33="Dimanche",D33&gt;0),SUM(D33*2.5+(E33+F33+G33)*2),IF(A33="samedi",SUM(D33*2.5,E33*1.25,G33*1.25,F33),SUM(D33*2.5,E33*1.25,G33*1.25,))))</f>
        <v/>
      </c>
      <c r="N33" s="4" t="str">
        <f t="shared" si="7"/>
        <v/>
      </c>
    </row>
    <row r="34" spans="1:14" x14ac:dyDescent="0.25">
      <c r="A34" s="8"/>
      <c r="B34" s="10"/>
      <c r="C34" s="3"/>
      <c r="D34" s="4"/>
      <c r="E34" s="4"/>
      <c r="F34" s="5"/>
      <c r="G34" s="4"/>
      <c r="H34" s="5"/>
      <c r="I34" s="5"/>
      <c r="J34" s="5"/>
      <c r="K34" s="5"/>
      <c r="L34" s="5" t="str">
        <f t="shared" si="6"/>
        <v/>
      </c>
      <c r="M34" s="4" t="str">
        <f t="shared" si="10"/>
        <v/>
      </c>
      <c r="N34" s="4" t="str">
        <f t="shared" si="7"/>
        <v/>
      </c>
    </row>
    <row r="35" spans="1:14" x14ac:dyDescent="0.25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 t="str">
        <f t="shared" si="6"/>
        <v/>
      </c>
      <c r="M35" s="4" t="str">
        <f t="shared" si="10"/>
        <v/>
      </c>
      <c r="N35" s="4" t="str">
        <f t="shared" si="7"/>
        <v/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5.8333333333333348</v>
      </c>
      <c r="D38" s="39">
        <f t="shared" ref="D38:N38" si="11">SUM(D5:D37)</f>
        <v>0.41666666666666669</v>
      </c>
      <c r="E38" s="39">
        <f t="shared" si="11"/>
        <v>0.25</v>
      </c>
      <c r="F38" s="39">
        <f t="shared" si="11"/>
        <v>4.6451388888888889</v>
      </c>
      <c r="G38" s="39">
        <f t="shared" si="11"/>
        <v>0</v>
      </c>
      <c r="H38" s="39">
        <f t="shared" si="11"/>
        <v>0</v>
      </c>
      <c r="I38" s="39">
        <f t="shared" si="11"/>
        <v>0</v>
      </c>
      <c r="J38" s="39">
        <f t="shared" si="11"/>
        <v>0</v>
      </c>
      <c r="K38" s="39">
        <f t="shared" si="11"/>
        <v>1.1354166666666667</v>
      </c>
      <c r="L38" s="39">
        <f t="shared" si="11"/>
        <v>0</v>
      </c>
      <c r="M38" s="39">
        <f t="shared" si="11"/>
        <v>1.8541666666666667</v>
      </c>
      <c r="N38" s="39">
        <f t="shared" si="11"/>
        <v>0.36527777777777781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A1:N2"/>
    <mergeCell ref="N38:N39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A33:I35 K33:K35 A5:C32">
    <cfRule type="expression" dxfId="182" priority="25">
      <formula>$A5="Dimanche"</formula>
    </cfRule>
    <cfRule type="expression" dxfId="181" priority="26">
      <formula>$A5="Samedi"</formula>
    </cfRule>
  </conditionalFormatting>
  <conditionalFormatting sqref="A5:A37">
    <cfRule type="expression" dxfId="180" priority="24">
      <formula>$M5&lt;&gt;""</formula>
    </cfRule>
  </conditionalFormatting>
  <conditionalFormatting sqref="A36:N36 A33:I35 K33:K35 A5:C32">
    <cfRule type="expression" dxfId="179" priority="27">
      <formula>COUNTIF(Jours_fériés,$B5)=1</formula>
    </cfRule>
  </conditionalFormatting>
  <conditionalFormatting sqref="K6:K32 D6:E32 G6:I32">
    <cfRule type="expression" dxfId="178" priority="22">
      <formula>$A6="Dimanche"</formula>
    </cfRule>
    <cfRule type="expression" dxfId="177" priority="23">
      <formula>$A6="Samedi"</formula>
    </cfRule>
  </conditionalFormatting>
  <conditionalFormatting sqref="J6:J35">
    <cfRule type="expression" dxfId="176" priority="19">
      <formula>$A6="Dimanche"</formula>
    </cfRule>
    <cfRule type="expression" dxfId="175" priority="20">
      <formula>$A6="Samedi"</formula>
    </cfRule>
  </conditionalFormatting>
  <conditionalFormatting sqref="J6:J35">
    <cfRule type="expression" dxfId="174" priority="21">
      <formula>COUNTIF(Jours_fériés,$B6)=1</formula>
    </cfRule>
  </conditionalFormatting>
  <conditionalFormatting sqref="L6:L35 N6:N35">
    <cfRule type="expression" dxfId="173" priority="16">
      <formula>COUNTIF(Jours_fériés,$B6)=1</formula>
    </cfRule>
    <cfRule type="expression" dxfId="172" priority="18">
      <formula>$A6="Samedi"</formula>
    </cfRule>
  </conditionalFormatting>
  <conditionalFormatting sqref="L6:L35 N6:N35">
    <cfRule type="expression" dxfId="171" priority="17">
      <formula>$A6="Dimanche"</formula>
    </cfRule>
  </conditionalFormatting>
  <conditionalFormatting sqref="M33:M35">
    <cfRule type="expression" dxfId="170" priority="13">
      <formula>COUNTIF(Jours_fériés,$B33)=1</formula>
    </cfRule>
    <cfRule type="expression" dxfId="169" priority="15">
      <formula>$A33="Samedi"</formula>
    </cfRule>
  </conditionalFormatting>
  <conditionalFormatting sqref="M33:M35">
    <cfRule type="expression" dxfId="168" priority="14">
      <formula>$A33="Dimanche"</formula>
    </cfRule>
  </conditionalFormatting>
  <conditionalFormatting sqref="D5:E5 G5:L5 N5">
    <cfRule type="expression" dxfId="167" priority="10">
      <formula>COUNTIF(Jours_fériés,$B5)=1</formula>
    </cfRule>
    <cfRule type="expression" dxfId="166" priority="12">
      <formula>$A5="Samedi"</formula>
    </cfRule>
  </conditionalFormatting>
  <conditionalFormatting sqref="D5:E5 G5:L5 N5">
    <cfRule type="expression" dxfId="165" priority="11">
      <formula>$A5="Dimanche"</formula>
    </cfRule>
  </conditionalFormatting>
  <conditionalFormatting sqref="F5:F32">
    <cfRule type="expression" dxfId="164" priority="4">
      <formula>$A5="Dimanche"</formula>
    </cfRule>
    <cfRule type="expression" dxfId="163" priority="5">
      <formula>$A5="Samedi"</formula>
    </cfRule>
  </conditionalFormatting>
  <conditionalFormatting sqref="F5:F32">
    <cfRule type="expression" dxfId="162" priority="6">
      <formula>COUNTIF(Jours_fériés,$B5)=1</formula>
    </cfRule>
  </conditionalFormatting>
  <conditionalFormatting sqref="M5:M32">
    <cfRule type="expression" dxfId="161" priority="1">
      <formula>COUNTIF(Jours_fériés,$B5)=1</formula>
    </cfRule>
    <cfRule type="expression" dxfId="160" priority="3">
      <formula>$A5="Samedi"</formula>
    </cfRule>
  </conditionalFormatting>
  <conditionalFormatting sqref="M5:M32">
    <cfRule type="expression" dxfId="159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9"/>
  <sheetViews>
    <sheetView workbookViewId="0">
      <pane ySplit="4" topLeftCell="A5" activePane="bottomLeft" state="frozen"/>
      <selection activeCell="B36" sqref="B36"/>
      <selection pane="bottomLeft" activeCell="M5" sqref="M5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DATE(Année!B1,3,1)</f>
        <v>41698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Jeudi</v>
      </c>
      <c r="B5" s="10">
        <f t="shared" ref="B5:B35" si="1">DATE(An,3,ROW(1:31))</f>
        <v>41698</v>
      </c>
      <c r="C5" s="3">
        <f>IFERROR((VLOOKUP(B5,Fériés:Fériés,2,0)),VLOOKUP(A5,Année!$C$2:$C$8:'Année'!$D$2:$D$8,2,0))</f>
        <v>0.32291666666666669</v>
      </c>
      <c r="D5" s="4"/>
      <c r="E5" s="4"/>
      <c r="F5" s="5">
        <f>IF(K5="",C5,0)</f>
        <v>0.32291666666666669</v>
      </c>
      <c r="G5" s="4"/>
      <c r="H5" s="5"/>
      <c r="I5" s="5"/>
      <c r="J5" s="5" t="str">
        <f t="shared" ref="J5" si="2">IF(C5=0,VLOOKUP(A5,Horaires,2,FALSE)," ")</f>
        <v xml:space="preserve"> </v>
      </c>
      <c r="K5" s="5"/>
      <c r="L5" s="5">
        <f t="shared" ref="L5" si="3">IF(A5="dimanche","",IF(A5="samedi","",IF(F5&lt;=0,"",(IF(H5="",F5-C5,H5-C5))+(I5+K5+N5))))</f>
        <v>0</v>
      </c>
      <c r="M5" s="4" t="str">
        <f t="shared" ref="M5:M36" si="4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Vendredi</v>
      </c>
      <c r="B6" s="10">
        <f t="shared" si="1"/>
        <v>41699</v>
      </c>
      <c r="C6" s="3">
        <f>IFERROR((VLOOKUP(B6,Fériés:Fériés,2,0)),VLOOKUP(A6,Année!$C$2:$C$8:'Année'!$D$2:$D$8,2,0))</f>
        <v>0.16666666666666666</v>
      </c>
      <c r="D6" s="4"/>
      <c r="E6" s="4"/>
      <c r="F6" s="5">
        <f t="shared" ref="F6:F35" si="5">IF(K6="",C6,0)</f>
        <v>0.16666666666666666</v>
      </c>
      <c r="G6" s="4"/>
      <c r="H6" s="5"/>
      <c r="I6" s="5"/>
      <c r="J6" s="5" t="str">
        <f t="shared" ref="J6:J35" si="6">IF(C6=0,VLOOKUP(A6,Horaires,2,FALSE)," ")</f>
        <v xml:space="preserve"> </v>
      </c>
      <c r="K6" s="5"/>
      <c r="L6" s="5">
        <f t="shared" ref="L6:L35" si="7">IF(A6="dimanche","",IF(A6="samedi","",IF(F6&lt;=0,"",(IF(H6="",F6-C6,H6-C6))+(I6+K6+N6))))</f>
        <v>0</v>
      </c>
      <c r="M6" s="4" t="str">
        <f t="shared" si="4"/>
        <v/>
      </c>
      <c r="N6" s="4" t="str">
        <f t="shared" ref="N6:N35" si="8">IF(F6="","",IF((F6+I6+K6)&gt;=C6,"0:00",C6-F6))</f>
        <v>0:00</v>
      </c>
    </row>
    <row r="7" spans="1:14" x14ac:dyDescent="0.25">
      <c r="A7" s="8" t="str">
        <f t="shared" si="0"/>
        <v>Samedi</v>
      </c>
      <c r="B7" s="10">
        <f t="shared" si="1"/>
        <v>41700</v>
      </c>
      <c r="C7" s="3">
        <f>IFERROR((VLOOKUP(B7,Fériés:Fériés,2,0)),VLOOKUP(A7,Année!$C$2:$C$8:'Année'!$D$2:$D$8,2,0))</f>
        <v>0</v>
      </c>
      <c r="D7" s="4"/>
      <c r="E7" s="4"/>
      <c r="F7" s="5">
        <f t="shared" si="5"/>
        <v>0</v>
      </c>
      <c r="G7" s="4"/>
      <c r="H7" s="5"/>
      <c r="I7" s="5"/>
      <c r="J7" s="5">
        <f t="shared" si="6"/>
        <v>0</v>
      </c>
      <c r="K7" s="5"/>
      <c r="L7" s="5" t="str">
        <f t="shared" si="7"/>
        <v/>
      </c>
      <c r="M7" s="4" t="str">
        <f t="shared" si="4"/>
        <v/>
      </c>
      <c r="N7" s="4" t="str">
        <f t="shared" si="8"/>
        <v>0:00</v>
      </c>
    </row>
    <row r="8" spans="1:14" x14ac:dyDescent="0.25">
      <c r="A8" s="8" t="str">
        <f t="shared" si="0"/>
        <v>Dimanche</v>
      </c>
      <c r="B8" s="10">
        <f t="shared" si="1"/>
        <v>41701</v>
      </c>
      <c r="C8" s="3">
        <f>IFERROR((VLOOKUP(B8,Fériés:Fériés,2,0)),VLOOKUP(A8,Année!$C$2:$C$8:'Année'!$D$2:$D$8,2,0))</f>
        <v>0</v>
      </c>
      <c r="D8" s="4"/>
      <c r="E8" s="4"/>
      <c r="F8" s="5">
        <f t="shared" si="5"/>
        <v>0</v>
      </c>
      <c r="G8" s="4"/>
      <c r="H8" s="5"/>
      <c r="I8" s="5"/>
      <c r="J8" s="5">
        <f t="shared" si="6"/>
        <v>0</v>
      </c>
      <c r="K8" s="5"/>
      <c r="L8" s="5" t="str">
        <f t="shared" si="7"/>
        <v/>
      </c>
      <c r="M8" s="4" t="str">
        <f t="shared" si="4"/>
        <v/>
      </c>
      <c r="N8" s="4" t="str">
        <f t="shared" si="8"/>
        <v>0:00</v>
      </c>
    </row>
    <row r="9" spans="1:14" x14ac:dyDescent="0.25">
      <c r="A9" s="8" t="str">
        <f>CHOOSE(WEEKDAY(B9),"Dimanche","Lundi","Mardi","Mercredi","Jeudi","Vendredi","Samedi")</f>
        <v>Lundi</v>
      </c>
      <c r="B9" s="10">
        <f t="shared" si="1"/>
        <v>41702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5"/>
        <v>0.32291666666666669</v>
      </c>
      <c r="G9" s="4"/>
      <c r="H9" s="5"/>
      <c r="I9" s="5"/>
      <c r="J9" s="5" t="str">
        <f t="shared" si="6"/>
        <v xml:space="preserve"> </v>
      </c>
      <c r="K9" s="5"/>
      <c r="L9" s="5">
        <f t="shared" si="7"/>
        <v>0</v>
      </c>
      <c r="M9" s="4" t="str">
        <f t="shared" si="4"/>
        <v/>
      </c>
      <c r="N9" s="4" t="str">
        <f t="shared" si="8"/>
        <v>0:00</v>
      </c>
    </row>
    <row r="10" spans="1:14" x14ac:dyDescent="0.25">
      <c r="A10" s="8" t="str">
        <f t="shared" ref="A10:A35" si="9">CHOOSE(WEEKDAY(B10),"Dimanche","Lundi","Mardi","Mercredi","Jeudi","Vendredi","Samedi")</f>
        <v>Mardi</v>
      </c>
      <c r="B10" s="10">
        <f t="shared" si="1"/>
        <v>41703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5"/>
        <v>0.32291666666666669</v>
      </c>
      <c r="G10" s="4"/>
      <c r="H10" s="5"/>
      <c r="I10" s="5"/>
      <c r="J10" s="5" t="str">
        <f t="shared" si="6"/>
        <v xml:space="preserve"> </v>
      </c>
      <c r="K10" s="5"/>
      <c r="L10" s="5">
        <f t="shared" si="7"/>
        <v>0</v>
      </c>
      <c r="M10" s="4" t="str">
        <f t="shared" si="4"/>
        <v/>
      </c>
      <c r="N10" s="4" t="str">
        <f t="shared" si="8"/>
        <v>0:00</v>
      </c>
    </row>
    <row r="11" spans="1:14" x14ac:dyDescent="0.25">
      <c r="A11" s="8" t="str">
        <f t="shared" si="9"/>
        <v>Mercredi</v>
      </c>
      <c r="B11" s="10">
        <f t="shared" si="1"/>
        <v>41704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5"/>
        <v>0.32291666666666669</v>
      </c>
      <c r="G11" s="4"/>
      <c r="H11" s="5"/>
      <c r="I11" s="5"/>
      <c r="J11" s="5" t="str">
        <f t="shared" si="6"/>
        <v xml:space="preserve"> </v>
      </c>
      <c r="K11" s="5"/>
      <c r="L11" s="5">
        <f t="shared" si="7"/>
        <v>0</v>
      </c>
      <c r="M11" s="4" t="str">
        <f t="shared" si="4"/>
        <v/>
      </c>
      <c r="N11" s="4" t="str">
        <f t="shared" si="8"/>
        <v>0:00</v>
      </c>
    </row>
    <row r="12" spans="1:14" x14ac:dyDescent="0.25">
      <c r="A12" s="8" t="str">
        <f t="shared" si="9"/>
        <v>Jeudi</v>
      </c>
      <c r="B12" s="10">
        <f t="shared" si="1"/>
        <v>41705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5"/>
        <v>0.32291666666666669</v>
      </c>
      <c r="G12" s="4"/>
      <c r="H12" s="5"/>
      <c r="I12" s="5"/>
      <c r="J12" s="5" t="str">
        <f t="shared" si="6"/>
        <v xml:space="preserve"> </v>
      </c>
      <c r="K12" s="5"/>
      <c r="L12" s="5">
        <f t="shared" si="7"/>
        <v>0</v>
      </c>
      <c r="M12" s="4" t="str">
        <f t="shared" si="4"/>
        <v/>
      </c>
      <c r="N12" s="4" t="str">
        <f t="shared" si="8"/>
        <v>0:00</v>
      </c>
    </row>
    <row r="13" spans="1:14" x14ac:dyDescent="0.25">
      <c r="A13" s="8" t="str">
        <f t="shared" si="9"/>
        <v>Vendredi</v>
      </c>
      <c r="B13" s="10">
        <f t="shared" si="1"/>
        <v>41706</v>
      </c>
      <c r="C13" s="3">
        <f>IFERROR((VLOOKUP(B13,Fériés:Fériés,2,0)),VLOOKUP(A13,Année!$C$2:$C$8:'Année'!$D$2:$D$8,2,0))</f>
        <v>0.16666666666666666</v>
      </c>
      <c r="D13" s="4"/>
      <c r="E13" s="4"/>
      <c r="F13" s="5">
        <f t="shared" si="5"/>
        <v>0.16666666666666666</v>
      </c>
      <c r="G13" s="4"/>
      <c r="H13" s="5"/>
      <c r="I13" s="5"/>
      <c r="J13" s="5" t="str">
        <f t="shared" si="6"/>
        <v xml:space="preserve"> </v>
      </c>
      <c r="K13" s="5"/>
      <c r="L13" s="5">
        <f t="shared" si="7"/>
        <v>0</v>
      </c>
      <c r="M13" s="4" t="str">
        <f t="shared" si="4"/>
        <v/>
      </c>
      <c r="N13" s="4" t="str">
        <f t="shared" si="8"/>
        <v>0:00</v>
      </c>
    </row>
    <row r="14" spans="1:14" x14ac:dyDescent="0.25">
      <c r="A14" s="8" t="str">
        <f t="shared" si="9"/>
        <v>Samedi</v>
      </c>
      <c r="B14" s="10">
        <f t="shared" si="1"/>
        <v>41707</v>
      </c>
      <c r="C14" s="3">
        <f>IFERROR((VLOOKUP(B14,Fériés:Fériés,2,0)),VLOOKUP(A14,Année!$C$2:$C$8:'Année'!$D$2:$D$8,2,0))</f>
        <v>0</v>
      </c>
      <c r="D14" s="4"/>
      <c r="E14" s="4"/>
      <c r="F14" s="5">
        <f t="shared" si="5"/>
        <v>0</v>
      </c>
      <c r="G14" s="4"/>
      <c r="H14" s="5"/>
      <c r="I14" s="5"/>
      <c r="J14" s="5">
        <f t="shared" si="6"/>
        <v>0</v>
      </c>
      <c r="K14" s="5"/>
      <c r="L14" s="5" t="str">
        <f t="shared" si="7"/>
        <v/>
      </c>
      <c r="M14" s="4" t="str">
        <f t="shared" si="4"/>
        <v/>
      </c>
      <c r="N14" s="4" t="str">
        <f t="shared" si="8"/>
        <v>0:00</v>
      </c>
    </row>
    <row r="15" spans="1:14" x14ac:dyDescent="0.25">
      <c r="A15" s="8" t="str">
        <f t="shared" si="9"/>
        <v>Dimanche</v>
      </c>
      <c r="B15" s="10">
        <f t="shared" si="1"/>
        <v>41708</v>
      </c>
      <c r="C15" s="3">
        <f>IFERROR((VLOOKUP(B15,Fériés:Fériés,2,0)),VLOOKUP(A15,Année!$C$2:$C$8:'Année'!$D$2:$D$8,2,0))</f>
        <v>0</v>
      </c>
      <c r="D15" s="4"/>
      <c r="E15" s="4"/>
      <c r="F15" s="5">
        <f t="shared" si="5"/>
        <v>0</v>
      </c>
      <c r="G15" s="4"/>
      <c r="H15" s="5"/>
      <c r="I15" s="5"/>
      <c r="J15" s="5">
        <f t="shared" si="6"/>
        <v>0</v>
      </c>
      <c r="K15" s="5"/>
      <c r="L15" s="5" t="str">
        <f t="shared" si="7"/>
        <v/>
      </c>
      <c r="M15" s="4" t="str">
        <f t="shared" si="4"/>
        <v/>
      </c>
      <c r="N15" s="4" t="str">
        <f t="shared" si="8"/>
        <v>0:00</v>
      </c>
    </row>
    <row r="16" spans="1:14" x14ac:dyDescent="0.25">
      <c r="A16" s="8" t="str">
        <f t="shared" si="9"/>
        <v>Lundi</v>
      </c>
      <c r="B16" s="10">
        <f t="shared" si="1"/>
        <v>41709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5"/>
        <v>0.32291666666666669</v>
      </c>
      <c r="G16" s="4"/>
      <c r="H16" s="5"/>
      <c r="I16" s="5"/>
      <c r="J16" s="5" t="str">
        <f t="shared" si="6"/>
        <v xml:space="preserve"> </v>
      </c>
      <c r="K16" s="5"/>
      <c r="L16" s="5">
        <f t="shared" si="7"/>
        <v>0</v>
      </c>
      <c r="M16" s="4" t="str">
        <f t="shared" si="4"/>
        <v/>
      </c>
      <c r="N16" s="4" t="str">
        <f t="shared" si="8"/>
        <v>0:00</v>
      </c>
    </row>
    <row r="17" spans="1:14" x14ac:dyDescent="0.25">
      <c r="A17" s="8" t="str">
        <f t="shared" si="9"/>
        <v>Mardi</v>
      </c>
      <c r="B17" s="10">
        <f t="shared" si="1"/>
        <v>41710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5"/>
        <v>0.32291666666666669</v>
      </c>
      <c r="G17" s="4"/>
      <c r="H17" s="5"/>
      <c r="I17" s="5"/>
      <c r="J17" s="5" t="str">
        <f t="shared" si="6"/>
        <v xml:space="preserve"> </v>
      </c>
      <c r="K17" s="5"/>
      <c r="L17" s="5">
        <f t="shared" si="7"/>
        <v>0</v>
      </c>
      <c r="M17" s="4" t="str">
        <f t="shared" si="4"/>
        <v/>
      </c>
      <c r="N17" s="4" t="str">
        <f t="shared" si="8"/>
        <v>0:00</v>
      </c>
    </row>
    <row r="18" spans="1:14" x14ac:dyDescent="0.25">
      <c r="A18" s="8" t="str">
        <f t="shared" si="9"/>
        <v>Mercredi</v>
      </c>
      <c r="B18" s="10">
        <f t="shared" si="1"/>
        <v>41711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5"/>
        <v>0.32291666666666669</v>
      </c>
      <c r="G18" s="4"/>
      <c r="H18" s="5"/>
      <c r="I18" s="5"/>
      <c r="J18" s="5" t="str">
        <f t="shared" si="6"/>
        <v xml:space="preserve"> </v>
      </c>
      <c r="K18" s="5"/>
      <c r="L18" s="5">
        <f t="shared" si="7"/>
        <v>0</v>
      </c>
      <c r="M18" s="4" t="str">
        <f t="shared" si="4"/>
        <v/>
      </c>
      <c r="N18" s="4" t="str">
        <f t="shared" si="8"/>
        <v>0:00</v>
      </c>
    </row>
    <row r="19" spans="1:14" x14ac:dyDescent="0.25">
      <c r="A19" s="8" t="str">
        <f t="shared" si="9"/>
        <v>Jeudi</v>
      </c>
      <c r="B19" s="10">
        <f t="shared" si="1"/>
        <v>41712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5"/>
        <v>0.32291666666666669</v>
      </c>
      <c r="G19" s="4"/>
      <c r="H19" s="5"/>
      <c r="I19" s="5"/>
      <c r="J19" s="5" t="str">
        <f t="shared" si="6"/>
        <v xml:space="preserve"> </v>
      </c>
      <c r="K19" s="5"/>
      <c r="L19" s="5">
        <f t="shared" si="7"/>
        <v>0</v>
      </c>
      <c r="M19" s="4" t="str">
        <f t="shared" si="4"/>
        <v/>
      </c>
      <c r="N19" s="4" t="str">
        <f t="shared" si="8"/>
        <v>0:00</v>
      </c>
    </row>
    <row r="20" spans="1:14" x14ac:dyDescent="0.25">
      <c r="A20" s="8" t="str">
        <f t="shared" si="9"/>
        <v>Vendredi</v>
      </c>
      <c r="B20" s="10">
        <f t="shared" si="1"/>
        <v>41713</v>
      </c>
      <c r="C20" s="3">
        <f>IFERROR((VLOOKUP(B20,Fériés:Fériés,2,0)),VLOOKUP(A20,Année!$C$2:$C$8:'Année'!$D$2:$D$8,2,0))</f>
        <v>0.16666666666666666</v>
      </c>
      <c r="D20" s="4"/>
      <c r="E20" s="4"/>
      <c r="F20" s="5">
        <f t="shared" si="5"/>
        <v>0.16666666666666666</v>
      </c>
      <c r="G20" s="4"/>
      <c r="H20" s="5"/>
      <c r="I20" s="5"/>
      <c r="J20" s="5" t="str">
        <f t="shared" si="6"/>
        <v xml:space="preserve"> </v>
      </c>
      <c r="K20" s="5"/>
      <c r="L20" s="5">
        <f t="shared" si="7"/>
        <v>0</v>
      </c>
      <c r="M20" s="4" t="str">
        <f t="shared" si="4"/>
        <v/>
      </c>
      <c r="N20" s="4" t="str">
        <f t="shared" si="8"/>
        <v>0:00</v>
      </c>
    </row>
    <row r="21" spans="1:14" x14ac:dyDescent="0.25">
      <c r="A21" s="8" t="str">
        <f t="shared" si="9"/>
        <v>Samedi</v>
      </c>
      <c r="B21" s="10">
        <f t="shared" si="1"/>
        <v>41714</v>
      </c>
      <c r="C21" s="3">
        <f>IFERROR((VLOOKUP(B21,Fériés:Fériés,2,0)),VLOOKUP(A21,Année!$C$2:$C$8:'Année'!$D$2:$D$8,2,0))</f>
        <v>0</v>
      </c>
      <c r="D21" s="4"/>
      <c r="E21" s="4"/>
      <c r="F21" s="5">
        <f t="shared" si="5"/>
        <v>0</v>
      </c>
      <c r="G21" s="4"/>
      <c r="H21" s="5"/>
      <c r="I21" s="5"/>
      <c r="J21" s="5">
        <f t="shared" si="6"/>
        <v>0</v>
      </c>
      <c r="K21" s="5"/>
      <c r="L21" s="5" t="str">
        <f t="shared" si="7"/>
        <v/>
      </c>
      <c r="M21" s="4" t="str">
        <f t="shared" si="4"/>
        <v/>
      </c>
      <c r="N21" s="4" t="str">
        <f t="shared" si="8"/>
        <v>0:00</v>
      </c>
    </row>
    <row r="22" spans="1:14" x14ac:dyDescent="0.25">
      <c r="A22" s="8" t="str">
        <f t="shared" si="9"/>
        <v>Dimanche</v>
      </c>
      <c r="B22" s="10">
        <f t="shared" si="1"/>
        <v>41715</v>
      </c>
      <c r="C22" s="3">
        <f>IFERROR((VLOOKUP(B22,Fériés:Fériés,2,0)),VLOOKUP(A22,Année!$C$2:$C$8:'Année'!$D$2:$D$8,2,0))</f>
        <v>0</v>
      </c>
      <c r="D22" s="4"/>
      <c r="E22" s="4"/>
      <c r="F22" s="5">
        <f t="shared" si="5"/>
        <v>0</v>
      </c>
      <c r="G22" s="4"/>
      <c r="H22" s="5"/>
      <c r="I22" s="5"/>
      <c r="J22" s="5">
        <f t="shared" si="6"/>
        <v>0</v>
      </c>
      <c r="K22" s="5"/>
      <c r="L22" s="5" t="str">
        <f t="shared" si="7"/>
        <v/>
      </c>
      <c r="M22" s="4" t="str">
        <f t="shared" si="4"/>
        <v/>
      </c>
      <c r="N22" s="4" t="str">
        <f t="shared" si="8"/>
        <v>0:00</v>
      </c>
    </row>
    <row r="23" spans="1:14" x14ac:dyDescent="0.25">
      <c r="A23" s="8" t="str">
        <f t="shared" si="9"/>
        <v>Lundi</v>
      </c>
      <c r="B23" s="10">
        <f t="shared" si="1"/>
        <v>41716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5"/>
        <v>0.32291666666666669</v>
      </c>
      <c r="G23" s="4"/>
      <c r="H23" s="5"/>
      <c r="I23" s="5"/>
      <c r="J23" s="5" t="str">
        <f t="shared" si="6"/>
        <v xml:space="preserve"> </v>
      </c>
      <c r="K23" s="5"/>
      <c r="L23" s="5">
        <f t="shared" si="7"/>
        <v>0</v>
      </c>
      <c r="M23" s="4" t="str">
        <f t="shared" si="4"/>
        <v/>
      </c>
      <c r="N23" s="4" t="str">
        <f t="shared" si="8"/>
        <v>0:00</v>
      </c>
    </row>
    <row r="24" spans="1:14" x14ac:dyDescent="0.25">
      <c r="A24" s="8" t="str">
        <f t="shared" si="9"/>
        <v>Mardi</v>
      </c>
      <c r="B24" s="10">
        <f t="shared" si="1"/>
        <v>41717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5"/>
        <v>0.32291666666666669</v>
      </c>
      <c r="G24" s="4"/>
      <c r="H24" s="5"/>
      <c r="I24" s="5"/>
      <c r="J24" s="5" t="str">
        <f t="shared" si="6"/>
        <v xml:space="preserve"> </v>
      </c>
      <c r="K24" s="5"/>
      <c r="L24" s="5">
        <f t="shared" si="7"/>
        <v>0</v>
      </c>
      <c r="M24" s="4" t="str">
        <f t="shared" si="4"/>
        <v/>
      </c>
      <c r="N24" s="4" t="str">
        <f t="shared" si="8"/>
        <v>0:00</v>
      </c>
    </row>
    <row r="25" spans="1:14" x14ac:dyDescent="0.25">
      <c r="A25" s="8" t="str">
        <f t="shared" si="9"/>
        <v>Mercredi</v>
      </c>
      <c r="B25" s="10">
        <f t="shared" si="1"/>
        <v>41718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5"/>
        <v>0.32291666666666669</v>
      </c>
      <c r="G25" s="4"/>
      <c r="H25" s="5"/>
      <c r="I25" s="5"/>
      <c r="J25" s="5" t="str">
        <f t="shared" si="6"/>
        <v xml:space="preserve"> </v>
      </c>
      <c r="K25" s="5"/>
      <c r="L25" s="5">
        <f t="shared" si="7"/>
        <v>0</v>
      </c>
      <c r="M25" s="4" t="str">
        <f t="shared" si="4"/>
        <v/>
      </c>
      <c r="N25" s="4" t="str">
        <f t="shared" si="8"/>
        <v>0:00</v>
      </c>
    </row>
    <row r="26" spans="1:14" x14ac:dyDescent="0.25">
      <c r="A26" s="8" t="str">
        <f t="shared" si="9"/>
        <v>Jeudi</v>
      </c>
      <c r="B26" s="10">
        <f t="shared" si="1"/>
        <v>41719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5"/>
        <v>0.32291666666666669</v>
      </c>
      <c r="G26" s="4"/>
      <c r="H26" s="5"/>
      <c r="I26" s="5"/>
      <c r="J26" s="5" t="str">
        <f t="shared" si="6"/>
        <v xml:space="preserve"> </v>
      </c>
      <c r="K26" s="5"/>
      <c r="L26" s="5">
        <f t="shared" si="7"/>
        <v>0</v>
      </c>
      <c r="M26" s="4" t="str">
        <f t="shared" si="4"/>
        <v/>
      </c>
      <c r="N26" s="4" t="str">
        <f t="shared" si="8"/>
        <v>0:00</v>
      </c>
    </row>
    <row r="27" spans="1:14" x14ac:dyDescent="0.25">
      <c r="A27" s="8" t="str">
        <f t="shared" si="9"/>
        <v>Vendredi</v>
      </c>
      <c r="B27" s="10">
        <f t="shared" si="1"/>
        <v>41720</v>
      </c>
      <c r="C27" s="3">
        <f>IFERROR((VLOOKUP(B27,Fériés:Fériés,2,0)),VLOOKUP(A27,Année!$C$2:$C$8:'Année'!$D$2:$D$8,2,0))</f>
        <v>0.16666666666666666</v>
      </c>
      <c r="D27" s="4"/>
      <c r="E27" s="4"/>
      <c r="F27" s="5">
        <f t="shared" si="5"/>
        <v>0.16666666666666666</v>
      </c>
      <c r="G27" s="4"/>
      <c r="H27" s="5"/>
      <c r="I27" s="5"/>
      <c r="J27" s="5" t="str">
        <f t="shared" si="6"/>
        <v xml:space="preserve"> </v>
      </c>
      <c r="K27" s="5"/>
      <c r="L27" s="5">
        <f t="shared" si="7"/>
        <v>0</v>
      </c>
      <c r="M27" s="4" t="str">
        <f t="shared" si="4"/>
        <v/>
      </c>
      <c r="N27" s="4" t="str">
        <f t="shared" si="8"/>
        <v>0:00</v>
      </c>
    </row>
    <row r="28" spans="1:14" x14ac:dyDescent="0.25">
      <c r="A28" s="8" t="str">
        <f t="shared" si="9"/>
        <v>Samedi</v>
      </c>
      <c r="B28" s="10">
        <f t="shared" si="1"/>
        <v>41721</v>
      </c>
      <c r="C28" s="3">
        <f>IFERROR((VLOOKUP(B28,Fériés:Fériés,2,0)),VLOOKUP(A28,Année!$C$2:$C$8:'Année'!$D$2:$D$8,2,0))</f>
        <v>0</v>
      </c>
      <c r="D28" s="4"/>
      <c r="E28" s="4"/>
      <c r="F28" s="5">
        <f t="shared" si="5"/>
        <v>0</v>
      </c>
      <c r="G28" s="4"/>
      <c r="H28" s="5"/>
      <c r="I28" s="5"/>
      <c r="J28" s="5">
        <f t="shared" si="6"/>
        <v>0</v>
      </c>
      <c r="K28" s="5"/>
      <c r="L28" s="5" t="str">
        <f t="shared" si="7"/>
        <v/>
      </c>
      <c r="M28" s="4" t="str">
        <f t="shared" si="4"/>
        <v/>
      </c>
      <c r="N28" s="4" t="str">
        <f t="shared" si="8"/>
        <v>0:00</v>
      </c>
    </row>
    <row r="29" spans="1:14" x14ac:dyDescent="0.25">
      <c r="A29" s="8" t="str">
        <f t="shared" si="9"/>
        <v>Dimanche</v>
      </c>
      <c r="B29" s="10">
        <f t="shared" si="1"/>
        <v>41722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5"/>
        <v>0</v>
      </c>
      <c r="G29" s="4"/>
      <c r="H29" s="5"/>
      <c r="I29" s="5"/>
      <c r="J29" s="5">
        <f t="shared" si="6"/>
        <v>0</v>
      </c>
      <c r="K29" s="5"/>
      <c r="L29" s="5" t="str">
        <f t="shared" si="7"/>
        <v/>
      </c>
      <c r="M29" s="4" t="str">
        <f t="shared" si="4"/>
        <v/>
      </c>
      <c r="N29" s="4" t="str">
        <f t="shared" si="8"/>
        <v>0:00</v>
      </c>
    </row>
    <row r="30" spans="1:14" x14ac:dyDescent="0.25">
      <c r="A30" s="8" t="str">
        <f t="shared" si="9"/>
        <v>Lundi</v>
      </c>
      <c r="B30" s="10">
        <f t="shared" si="1"/>
        <v>41723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5"/>
        <v>0.32291666666666669</v>
      </c>
      <c r="G30" s="4"/>
      <c r="H30" s="5"/>
      <c r="I30" s="5"/>
      <c r="J30" s="5" t="str">
        <f t="shared" si="6"/>
        <v xml:space="preserve"> </v>
      </c>
      <c r="K30" s="5"/>
      <c r="L30" s="5">
        <f t="shared" si="7"/>
        <v>0</v>
      </c>
      <c r="M30" s="4" t="str">
        <f t="shared" si="4"/>
        <v/>
      </c>
      <c r="N30" s="4" t="str">
        <f t="shared" si="8"/>
        <v>0:00</v>
      </c>
    </row>
    <row r="31" spans="1:14" x14ac:dyDescent="0.25">
      <c r="A31" s="8" t="str">
        <f t="shared" si="9"/>
        <v>Mardi</v>
      </c>
      <c r="B31" s="10">
        <f t="shared" si="1"/>
        <v>41724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5"/>
        <v>0.32291666666666669</v>
      </c>
      <c r="G31" s="4"/>
      <c r="H31" s="5"/>
      <c r="I31" s="5"/>
      <c r="J31" s="5" t="str">
        <f t="shared" si="6"/>
        <v xml:space="preserve"> </v>
      </c>
      <c r="K31" s="5"/>
      <c r="L31" s="5">
        <f t="shared" si="7"/>
        <v>0</v>
      </c>
      <c r="M31" s="4" t="str">
        <f t="shared" si="4"/>
        <v/>
      </c>
      <c r="N31" s="4" t="str">
        <f t="shared" si="8"/>
        <v>0:00</v>
      </c>
    </row>
    <row r="32" spans="1:14" x14ac:dyDescent="0.25">
      <c r="A32" s="8" t="str">
        <f t="shared" si="9"/>
        <v>Mercredi</v>
      </c>
      <c r="B32" s="10">
        <f t="shared" si="1"/>
        <v>41725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5"/>
        <v>0.32291666666666669</v>
      </c>
      <c r="G32" s="4"/>
      <c r="H32" s="5"/>
      <c r="I32" s="5"/>
      <c r="J32" s="5" t="str">
        <f t="shared" si="6"/>
        <v xml:space="preserve"> </v>
      </c>
      <c r="K32" s="5"/>
      <c r="L32" s="5">
        <f t="shared" si="7"/>
        <v>0</v>
      </c>
      <c r="M32" s="4" t="str">
        <f t="shared" si="4"/>
        <v/>
      </c>
      <c r="N32" s="4" t="str">
        <f t="shared" si="8"/>
        <v>0:00</v>
      </c>
    </row>
    <row r="33" spans="1:14" x14ac:dyDescent="0.25">
      <c r="A33" s="8" t="str">
        <f t="shared" si="9"/>
        <v>Jeudi</v>
      </c>
      <c r="B33" s="10">
        <f t="shared" si="1"/>
        <v>41726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5"/>
        <v>0.32291666666666669</v>
      </c>
      <c r="G33" s="4"/>
      <c r="H33" s="5"/>
      <c r="I33" s="5"/>
      <c r="J33" s="5" t="str">
        <f t="shared" si="6"/>
        <v xml:space="preserve"> </v>
      </c>
      <c r="K33" s="5"/>
      <c r="L33" s="5">
        <f t="shared" si="7"/>
        <v>0</v>
      </c>
      <c r="M33" s="4" t="str">
        <f t="shared" si="4"/>
        <v/>
      </c>
      <c r="N33" s="4" t="str">
        <f t="shared" si="8"/>
        <v>0:00</v>
      </c>
    </row>
    <row r="34" spans="1:14" x14ac:dyDescent="0.25">
      <c r="A34" s="8" t="str">
        <f t="shared" si="9"/>
        <v>Vendredi</v>
      </c>
      <c r="B34" s="10">
        <f t="shared" si="1"/>
        <v>41727</v>
      </c>
      <c r="C34" s="3">
        <f>IFERROR((VLOOKUP(B34,Fériés:Fériés,2,0)),VLOOKUP(A34,Année!$C$2:$C$8:'Année'!$D$2:$D$8,2,0))</f>
        <v>0.16666666666666666</v>
      </c>
      <c r="D34" s="4"/>
      <c r="E34" s="4"/>
      <c r="F34" s="5">
        <v>0</v>
      </c>
      <c r="G34" s="4"/>
      <c r="H34" s="5"/>
      <c r="I34" s="5"/>
      <c r="J34" s="5" t="str">
        <f t="shared" si="6"/>
        <v xml:space="preserve"> </v>
      </c>
      <c r="K34" s="5">
        <v>0.16666666666666666</v>
      </c>
      <c r="L34" s="5" t="str">
        <f t="shared" si="7"/>
        <v/>
      </c>
      <c r="M34" s="4" t="str">
        <f t="shared" si="4"/>
        <v/>
      </c>
      <c r="N34" s="4" t="str">
        <f t="shared" si="8"/>
        <v>0:00</v>
      </c>
    </row>
    <row r="35" spans="1:14" x14ac:dyDescent="0.25">
      <c r="A35" s="8" t="str">
        <f t="shared" si="9"/>
        <v>Samedi</v>
      </c>
      <c r="B35" s="10">
        <f t="shared" si="1"/>
        <v>41728</v>
      </c>
      <c r="C35" s="3">
        <f>IFERROR((VLOOKUP(B35,Fériés:Fériés,2,0)),VLOOKUP(A35,Année!$C$2:$C$8:'Année'!$D$2:$D$8,2,0))</f>
        <v>0</v>
      </c>
      <c r="D35" s="4"/>
      <c r="E35" s="4"/>
      <c r="F35" s="5">
        <f t="shared" si="5"/>
        <v>0</v>
      </c>
      <c r="G35" s="4"/>
      <c r="H35" s="5"/>
      <c r="I35" s="5"/>
      <c r="J35" s="5">
        <f t="shared" si="6"/>
        <v>0</v>
      </c>
      <c r="K35" s="5"/>
      <c r="L35" s="5" t="str">
        <f t="shared" si="7"/>
        <v/>
      </c>
      <c r="M35" s="4" t="str">
        <f t="shared" si="4"/>
        <v/>
      </c>
      <c r="N35" s="4" t="str">
        <f t="shared" si="8"/>
        <v>0:00</v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 t="str">
        <f t="shared" ref="L36" si="10">IF(A36="dimanche","",IF(A36="samedi","",IF(F36&lt;=0,"",(IF(H36="",F36-C36,H36-C36))+(I36+K36+N36))))</f>
        <v/>
      </c>
      <c r="M36" s="4" t="str">
        <f t="shared" si="4"/>
        <v/>
      </c>
      <c r="N36" s="4" t="str">
        <f t="shared" ref="N36" si="11">IF(F36="","",IF((F36+I36+K36)&gt;=C36,"0:00",C36-F36))</f>
        <v/>
      </c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6.3229166666666687</v>
      </c>
      <c r="D38" s="39">
        <f t="shared" ref="D38:N38" si="12">SUM(D5:D37)</f>
        <v>0</v>
      </c>
      <c r="E38" s="39">
        <f t="shared" si="12"/>
        <v>0</v>
      </c>
      <c r="F38" s="39">
        <f t="shared" si="12"/>
        <v>6.1562500000000018</v>
      </c>
      <c r="G38" s="39">
        <f t="shared" si="12"/>
        <v>0</v>
      </c>
      <c r="H38" s="39">
        <f t="shared" si="12"/>
        <v>0</v>
      </c>
      <c r="I38" s="39">
        <f t="shared" si="12"/>
        <v>0</v>
      </c>
      <c r="J38" s="39">
        <f t="shared" si="12"/>
        <v>0</v>
      </c>
      <c r="K38" s="39">
        <f t="shared" si="12"/>
        <v>0.16666666666666666</v>
      </c>
      <c r="L38" s="39">
        <f t="shared" si="12"/>
        <v>0</v>
      </c>
      <c r="M38" s="39">
        <f t="shared" si="12"/>
        <v>0</v>
      </c>
      <c r="N38" s="39">
        <f t="shared" si="12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7:N37 A36:K36 A5:C35">
    <cfRule type="expression" dxfId="158" priority="17">
      <formula>$A5="Dimanche"</formula>
    </cfRule>
    <cfRule type="expression" dxfId="157" priority="18">
      <formula>$A5="Samedi"</formula>
    </cfRule>
  </conditionalFormatting>
  <conditionalFormatting sqref="A5:A37">
    <cfRule type="expression" dxfId="156" priority="16">
      <formula>$M5&lt;&gt;""</formula>
    </cfRule>
  </conditionalFormatting>
  <conditionalFormatting sqref="A36:K36 A5:C35">
    <cfRule type="expression" dxfId="155" priority="19">
      <formula>COUNTIF(Jours_fériés,$B5)=1</formula>
    </cfRule>
  </conditionalFormatting>
  <conditionalFormatting sqref="L36 N36">
    <cfRule type="expression" dxfId="154" priority="10">
      <formula>COUNTIF(Jours_fériés,$B36)=1</formula>
    </cfRule>
    <cfRule type="expression" dxfId="153" priority="12">
      <formula>$A36="Samedi"</formula>
    </cfRule>
  </conditionalFormatting>
  <conditionalFormatting sqref="L36 N36">
    <cfRule type="expression" dxfId="152" priority="11">
      <formula>$A36="Dimanche"</formula>
    </cfRule>
  </conditionalFormatting>
  <conditionalFormatting sqref="D5:E35 G5:L35 N5:N35">
    <cfRule type="expression" dxfId="151" priority="7">
      <formula>COUNTIF(Jours_fériés,$B5)=1</formula>
    </cfRule>
    <cfRule type="expression" dxfId="150" priority="9">
      <formula>$A5="Samedi"</formula>
    </cfRule>
  </conditionalFormatting>
  <conditionalFormatting sqref="D5:E35 G5:L35 N5:N35">
    <cfRule type="expression" dxfId="149" priority="8">
      <formula>$A5="Dimanche"</formula>
    </cfRule>
  </conditionalFormatting>
  <conditionalFormatting sqref="F5:F35">
    <cfRule type="expression" dxfId="148" priority="4">
      <formula>$A5="Dimanche"</formula>
    </cfRule>
    <cfRule type="expression" dxfId="147" priority="5">
      <formula>$A5="Samedi"</formula>
    </cfRule>
  </conditionalFormatting>
  <conditionalFormatting sqref="F5:F35">
    <cfRule type="expression" dxfId="146" priority="6">
      <formula>COUNTIF(Jours_fériés,$B5)=1</formula>
    </cfRule>
  </conditionalFormatting>
  <conditionalFormatting sqref="M5:M36">
    <cfRule type="expression" dxfId="145" priority="1">
      <formula>COUNTIF(Jours_fériés,$B5)=1</formula>
    </cfRule>
    <cfRule type="expression" dxfId="144" priority="3">
      <formula>$A5="Samedi"</formula>
    </cfRule>
  </conditionalFormatting>
  <conditionalFormatting sqref="M5:M36">
    <cfRule type="expression" dxfId="143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N39"/>
  <sheetViews>
    <sheetView workbookViewId="0">
      <pane ySplit="4" topLeftCell="A5" activePane="bottomLeft" state="frozen"/>
      <selection activeCell="B36" sqref="B36"/>
      <selection pane="bottomLeft" activeCell="M5" sqref="M5:M34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DATE(Année!B1,4,1)</f>
        <v>41729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Dimanche</v>
      </c>
      <c r="B5" s="10">
        <f t="shared" ref="B5:B34" si="1">DATE(An,4,ROW(1:31))</f>
        <v>41729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10" si="2">IF(C5=0,VLOOKUP(A5,Horaires,2,FALSE)," ")</f>
        <v>0</v>
      </c>
      <c r="K5" s="5"/>
      <c r="L5" s="5" t="str">
        <f>IF(A5="dimanche","",IF(A5="samedi","",IF(F5&lt;=0,"",(IF(H5="",F5-C5,H5-C5))+(I5+K5+N5))))</f>
        <v/>
      </c>
      <c r="M5" s="4" t="str">
        <f t="shared" ref="M5:M34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Lundi</v>
      </c>
      <c r="B6" s="10">
        <f t="shared" si="1"/>
        <v>41730</v>
      </c>
      <c r="C6" s="3">
        <f>IFERROR((VLOOKUP(B6,Fériés:Fériés,2,0)),VLOOKUP(A6,Année!$C$2:$C$8:'Année'!$D$2:$D$8,2,0))</f>
        <v>0</v>
      </c>
      <c r="D6" s="4"/>
      <c r="E6" s="4"/>
      <c r="F6" s="5">
        <f>IF(K6="",C6,0)</f>
        <v>0</v>
      </c>
      <c r="G6" s="4"/>
      <c r="H6" s="5"/>
      <c r="I6" s="5"/>
      <c r="J6" s="5">
        <f t="shared" si="2"/>
        <v>0.32291666666666669</v>
      </c>
      <c r="K6" s="5"/>
      <c r="L6" s="5" t="str">
        <f t="shared" ref="L6:L34" si="4">IF(A6="dimanche","",IF(A6="samedi","",IF(F6&lt;=0,"",(IF(H6="",F6-C6,H6-C6))+(I6+K6+N6))))</f>
        <v/>
      </c>
      <c r="M6" s="4" t="str">
        <f t="shared" si="3"/>
        <v/>
      </c>
      <c r="N6" s="4" t="str">
        <f t="shared" ref="N6:N34" si="5">IF(F6="","",IF((F6+I6+K6)&gt;=C6,"0:00",C6-F6))</f>
        <v>0:00</v>
      </c>
    </row>
    <row r="7" spans="1:14" x14ac:dyDescent="0.25">
      <c r="A7" s="8" t="str">
        <f t="shared" si="0"/>
        <v>Mardi</v>
      </c>
      <c r="B7" s="10">
        <f t="shared" si="1"/>
        <v>41731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ref="F7:F34" si="6">IF(K7="",C7,0)</f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4"/>
        <v>0</v>
      </c>
      <c r="M7" s="4" t="str">
        <f t="shared" si="3"/>
        <v/>
      </c>
      <c r="N7" s="4" t="str">
        <f t="shared" si="5"/>
        <v>0:00</v>
      </c>
    </row>
    <row r="8" spans="1:14" x14ac:dyDescent="0.25">
      <c r="A8" s="8" t="str">
        <f t="shared" si="0"/>
        <v>Mercredi</v>
      </c>
      <c r="B8" s="10">
        <f t="shared" si="1"/>
        <v>41732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6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4"/>
        <v>0</v>
      </c>
      <c r="M8" s="4" t="str">
        <f t="shared" si="3"/>
        <v/>
      </c>
      <c r="N8" s="4" t="str">
        <f t="shared" si="5"/>
        <v>0:00</v>
      </c>
    </row>
    <row r="9" spans="1:14" x14ac:dyDescent="0.25">
      <c r="A9" s="8" t="str">
        <f>CHOOSE(WEEKDAY(B9),"Dimanche","Lundi","Mardi","Mercredi","Jeudi","Vendredi","Samedi")</f>
        <v>Jeudi</v>
      </c>
      <c r="B9" s="10">
        <f t="shared" si="1"/>
        <v>41733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6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4"/>
        <v>0</v>
      </c>
      <c r="M9" s="4" t="str">
        <f t="shared" si="3"/>
        <v/>
      </c>
      <c r="N9" s="4" t="str">
        <f t="shared" si="5"/>
        <v>0:00</v>
      </c>
    </row>
    <row r="10" spans="1:14" x14ac:dyDescent="0.25">
      <c r="A10" s="8" t="str">
        <f t="shared" ref="A10:A34" si="7">CHOOSE(WEEKDAY(B10),"Dimanche","Lundi","Mardi","Mercredi","Jeudi","Vendredi","Samedi")</f>
        <v>Vendredi</v>
      </c>
      <c r="B10" s="10">
        <f t="shared" si="1"/>
        <v>41734</v>
      </c>
      <c r="C10" s="3">
        <f>IFERROR((VLOOKUP(B10,Fériés:Fériés,2,0)),VLOOKUP(A10,Année!$C$2:$C$8:'Année'!$D$2:$D$8,2,0))</f>
        <v>0.16666666666666666</v>
      </c>
      <c r="D10" s="4"/>
      <c r="E10" s="4"/>
      <c r="F10" s="5">
        <f t="shared" si="6"/>
        <v>0.16666666666666666</v>
      </c>
      <c r="G10" s="4"/>
      <c r="H10" s="5"/>
      <c r="I10" s="5"/>
      <c r="J10" s="5" t="str">
        <f t="shared" si="2"/>
        <v xml:space="preserve"> </v>
      </c>
      <c r="K10" s="5"/>
      <c r="L10" s="5">
        <f t="shared" si="4"/>
        <v>0</v>
      </c>
      <c r="M10" s="4" t="str">
        <f t="shared" si="3"/>
        <v/>
      </c>
      <c r="N10" s="4" t="str">
        <f t="shared" si="5"/>
        <v>0:00</v>
      </c>
    </row>
    <row r="11" spans="1:14" x14ac:dyDescent="0.25">
      <c r="A11" s="8" t="str">
        <f t="shared" si="7"/>
        <v>Samedi</v>
      </c>
      <c r="B11" s="10">
        <f t="shared" si="1"/>
        <v>41735</v>
      </c>
      <c r="C11" s="3">
        <f>IFERROR((VLOOKUP(B11,Fériés:Fériés,2,0)),VLOOKUP(A11,Année!$C$2:$C$8:'Année'!$D$2:$D$8,2,0))</f>
        <v>0</v>
      </c>
      <c r="D11" s="4"/>
      <c r="E11" s="4"/>
      <c r="F11" s="5">
        <f t="shared" si="6"/>
        <v>0</v>
      </c>
      <c r="G11" s="4"/>
      <c r="H11" s="5"/>
      <c r="I11" s="5"/>
      <c r="J11" s="5">
        <f t="shared" ref="J11:J17" si="8">IF(C11=0,VLOOKUP(A11,Horaires,2,FALSE)," ")</f>
        <v>0</v>
      </c>
      <c r="K11" s="5"/>
      <c r="L11" s="5" t="str">
        <f t="shared" si="4"/>
        <v/>
      </c>
      <c r="M11" s="4" t="str">
        <f t="shared" si="3"/>
        <v/>
      </c>
      <c r="N11" s="4" t="str">
        <f t="shared" si="5"/>
        <v>0:00</v>
      </c>
    </row>
    <row r="12" spans="1:14" x14ac:dyDescent="0.25">
      <c r="A12" s="8" t="str">
        <f t="shared" si="7"/>
        <v>Dimanche</v>
      </c>
      <c r="B12" s="10">
        <f t="shared" si="1"/>
        <v>41736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6"/>
        <v>0</v>
      </c>
      <c r="G12" s="4"/>
      <c r="H12" s="5"/>
      <c r="I12" s="5"/>
      <c r="J12" s="5">
        <f t="shared" si="8"/>
        <v>0</v>
      </c>
      <c r="K12" s="5"/>
      <c r="L12" s="5" t="str">
        <f t="shared" si="4"/>
        <v/>
      </c>
      <c r="M12" s="4" t="str">
        <f t="shared" si="3"/>
        <v/>
      </c>
      <c r="N12" s="4" t="str">
        <f t="shared" si="5"/>
        <v>0:00</v>
      </c>
    </row>
    <row r="13" spans="1:14" x14ac:dyDescent="0.25">
      <c r="A13" s="8" t="str">
        <f t="shared" si="7"/>
        <v>Lundi</v>
      </c>
      <c r="B13" s="10">
        <f t="shared" si="1"/>
        <v>41737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6"/>
        <v>0.32291666666666669</v>
      </c>
      <c r="G13" s="4"/>
      <c r="H13" s="5"/>
      <c r="I13" s="5"/>
      <c r="J13" s="5" t="str">
        <f t="shared" si="8"/>
        <v xml:space="preserve"> </v>
      </c>
      <c r="K13" s="5"/>
      <c r="L13" s="5">
        <f t="shared" si="4"/>
        <v>0</v>
      </c>
      <c r="M13" s="4" t="str">
        <f t="shared" si="3"/>
        <v/>
      </c>
      <c r="N13" s="4" t="str">
        <f t="shared" si="5"/>
        <v>0:00</v>
      </c>
    </row>
    <row r="14" spans="1:14" x14ac:dyDescent="0.25">
      <c r="A14" s="8" t="str">
        <f t="shared" si="7"/>
        <v>Mardi</v>
      </c>
      <c r="B14" s="10">
        <f t="shared" si="1"/>
        <v>41738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6"/>
        <v>0.32291666666666669</v>
      </c>
      <c r="G14" s="4"/>
      <c r="H14" s="5"/>
      <c r="I14" s="5"/>
      <c r="J14" s="5" t="str">
        <f t="shared" si="8"/>
        <v xml:space="preserve"> </v>
      </c>
      <c r="K14" s="5"/>
      <c r="L14" s="5">
        <f t="shared" si="4"/>
        <v>0</v>
      </c>
      <c r="M14" s="4" t="str">
        <f t="shared" si="3"/>
        <v/>
      </c>
      <c r="N14" s="4" t="str">
        <f t="shared" si="5"/>
        <v>0:00</v>
      </c>
    </row>
    <row r="15" spans="1:14" x14ac:dyDescent="0.25">
      <c r="A15" s="8" t="str">
        <f t="shared" si="7"/>
        <v>Mercredi</v>
      </c>
      <c r="B15" s="10">
        <f t="shared" si="1"/>
        <v>41739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6"/>
        <v>0.32291666666666669</v>
      </c>
      <c r="G15" s="4"/>
      <c r="H15" s="5"/>
      <c r="I15" s="5"/>
      <c r="J15" s="5" t="str">
        <f t="shared" si="8"/>
        <v xml:space="preserve"> </v>
      </c>
      <c r="K15" s="5"/>
      <c r="L15" s="5">
        <f t="shared" si="4"/>
        <v>0</v>
      </c>
      <c r="M15" s="4" t="str">
        <f t="shared" si="3"/>
        <v/>
      </c>
      <c r="N15" s="4" t="str">
        <f t="shared" si="5"/>
        <v>0:00</v>
      </c>
    </row>
    <row r="16" spans="1:14" x14ac:dyDescent="0.25">
      <c r="A16" s="8" t="str">
        <f t="shared" si="7"/>
        <v>Jeudi</v>
      </c>
      <c r="B16" s="10">
        <f t="shared" si="1"/>
        <v>41740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6"/>
        <v>0.32291666666666669</v>
      </c>
      <c r="G16" s="4"/>
      <c r="H16" s="5"/>
      <c r="I16" s="5"/>
      <c r="J16" s="5" t="str">
        <f t="shared" si="8"/>
        <v xml:space="preserve"> </v>
      </c>
      <c r="K16" s="5"/>
      <c r="L16" s="5">
        <f t="shared" si="4"/>
        <v>0</v>
      </c>
      <c r="M16" s="4" t="str">
        <f t="shared" si="3"/>
        <v/>
      </c>
      <c r="N16" s="4" t="str">
        <f t="shared" si="5"/>
        <v>0:00</v>
      </c>
    </row>
    <row r="17" spans="1:14" x14ac:dyDescent="0.25">
      <c r="A17" s="8" t="str">
        <f t="shared" si="7"/>
        <v>Vendredi</v>
      </c>
      <c r="B17" s="10">
        <f t="shared" si="1"/>
        <v>41741</v>
      </c>
      <c r="C17" s="3">
        <f>IFERROR((VLOOKUP(B17,Fériés:Fériés,2,0)),VLOOKUP(A17,Année!$C$2:$C$8:'Année'!$D$2:$D$8,2,0))</f>
        <v>0.16666666666666666</v>
      </c>
      <c r="D17" s="4"/>
      <c r="E17" s="4"/>
      <c r="F17" s="5">
        <f t="shared" si="6"/>
        <v>0.16666666666666666</v>
      </c>
      <c r="G17" s="4"/>
      <c r="H17" s="5"/>
      <c r="I17" s="5"/>
      <c r="J17" s="5" t="str">
        <f t="shared" si="8"/>
        <v xml:space="preserve"> </v>
      </c>
      <c r="K17" s="5"/>
      <c r="L17" s="5">
        <f t="shared" si="4"/>
        <v>0</v>
      </c>
      <c r="M17" s="4" t="str">
        <f t="shared" si="3"/>
        <v/>
      </c>
      <c r="N17" s="4" t="str">
        <f t="shared" si="5"/>
        <v>0:00</v>
      </c>
    </row>
    <row r="18" spans="1:14" x14ac:dyDescent="0.25">
      <c r="A18" s="8" t="str">
        <f t="shared" si="7"/>
        <v>Samedi</v>
      </c>
      <c r="B18" s="10">
        <f t="shared" si="1"/>
        <v>41742</v>
      </c>
      <c r="C18" s="3">
        <f>IFERROR((VLOOKUP(B18,Fériés:Fériés,2,0)),VLOOKUP(A18,Année!$C$2:$C$8:'Année'!$D$2:$D$8,2,0))</f>
        <v>0</v>
      </c>
      <c r="D18" s="4"/>
      <c r="E18" s="4"/>
      <c r="F18" s="5">
        <f t="shared" si="6"/>
        <v>0</v>
      </c>
      <c r="G18" s="4"/>
      <c r="H18" s="5"/>
      <c r="I18" s="5"/>
      <c r="J18" s="5">
        <f t="shared" ref="J18:J34" si="9">IF(C18=0,VLOOKUP(A18,Horaires,2,FALSE)," ")</f>
        <v>0</v>
      </c>
      <c r="K18" s="5"/>
      <c r="L18" s="5" t="str">
        <f t="shared" si="4"/>
        <v/>
      </c>
      <c r="M18" s="4" t="str">
        <f t="shared" si="3"/>
        <v/>
      </c>
      <c r="N18" s="4" t="str">
        <f t="shared" si="5"/>
        <v>0:00</v>
      </c>
    </row>
    <row r="19" spans="1:14" x14ac:dyDescent="0.25">
      <c r="A19" s="8" t="str">
        <f t="shared" si="7"/>
        <v>Dimanche</v>
      </c>
      <c r="B19" s="10">
        <f t="shared" si="1"/>
        <v>41743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6"/>
        <v>0</v>
      </c>
      <c r="G19" s="4"/>
      <c r="H19" s="5"/>
      <c r="I19" s="5"/>
      <c r="J19" s="5">
        <f t="shared" si="9"/>
        <v>0</v>
      </c>
      <c r="K19" s="5"/>
      <c r="L19" s="5" t="str">
        <f t="shared" si="4"/>
        <v/>
      </c>
      <c r="M19" s="4" t="str">
        <f t="shared" si="3"/>
        <v/>
      </c>
      <c r="N19" s="4" t="str">
        <f t="shared" si="5"/>
        <v>0:00</v>
      </c>
    </row>
    <row r="20" spans="1:14" x14ac:dyDescent="0.25">
      <c r="A20" s="8" t="str">
        <f t="shared" si="7"/>
        <v>Lundi</v>
      </c>
      <c r="B20" s="10">
        <f t="shared" si="1"/>
        <v>41744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6"/>
        <v>0.32291666666666669</v>
      </c>
      <c r="G20" s="4"/>
      <c r="H20" s="5"/>
      <c r="I20" s="5"/>
      <c r="J20" s="5" t="str">
        <f t="shared" si="9"/>
        <v xml:space="preserve"> </v>
      </c>
      <c r="K20" s="5"/>
      <c r="L20" s="5">
        <f t="shared" si="4"/>
        <v>0</v>
      </c>
      <c r="M20" s="4" t="str">
        <f t="shared" si="3"/>
        <v/>
      </c>
      <c r="N20" s="4" t="str">
        <f t="shared" si="5"/>
        <v>0:00</v>
      </c>
    </row>
    <row r="21" spans="1:14" x14ac:dyDescent="0.25">
      <c r="A21" s="8" t="str">
        <f t="shared" si="7"/>
        <v>Mardi</v>
      </c>
      <c r="B21" s="10">
        <f t="shared" si="1"/>
        <v>41745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6"/>
        <v>0.32291666666666669</v>
      </c>
      <c r="G21" s="4"/>
      <c r="H21" s="5"/>
      <c r="I21" s="5"/>
      <c r="J21" s="5" t="str">
        <f t="shared" si="9"/>
        <v xml:space="preserve"> </v>
      </c>
      <c r="K21" s="5"/>
      <c r="L21" s="5">
        <f t="shared" si="4"/>
        <v>0</v>
      </c>
      <c r="M21" s="4" t="str">
        <f t="shared" si="3"/>
        <v/>
      </c>
      <c r="N21" s="4" t="str">
        <f t="shared" si="5"/>
        <v>0:00</v>
      </c>
    </row>
    <row r="22" spans="1:14" x14ac:dyDescent="0.25">
      <c r="A22" s="8" t="str">
        <f t="shared" si="7"/>
        <v>Mercredi</v>
      </c>
      <c r="B22" s="10">
        <f t="shared" si="1"/>
        <v>41746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6"/>
        <v>0.32291666666666669</v>
      </c>
      <c r="G22" s="4"/>
      <c r="H22" s="5"/>
      <c r="I22" s="5"/>
      <c r="J22" s="5" t="str">
        <f t="shared" si="9"/>
        <v xml:space="preserve"> </v>
      </c>
      <c r="K22" s="5"/>
      <c r="L22" s="5">
        <f t="shared" si="4"/>
        <v>0</v>
      </c>
      <c r="M22" s="4" t="str">
        <f t="shared" si="3"/>
        <v/>
      </c>
      <c r="N22" s="4" t="str">
        <f t="shared" si="5"/>
        <v>0:00</v>
      </c>
    </row>
    <row r="23" spans="1:14" x14ac:dyDescent="0.25">
      <c r="A23" s="8" t="str">
        <f t="shared" si="7"/>
        <v>Jeudi</v>
      </c>
      <c r="B23" s="10">
        <f t="shared" si="1"/>
        <v>41747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6"/>
        <v>0.32291666666666669</v>
      </c>
      <c r="G23" s="4"/>
      <c r="H23" s="5"/>
      <c r="I23" s="5"/>
      <c r="J23" s="5" t="str">
        <f t="shared" si="9"/>
        <v xml:space="preserve"> </v>
      </c>
      <c r="K23" s="5"/>
      <c r="L23" s="5">
        <f t="shared" si="4"/>
        <v>0</v>
      </c>
      <c r="M23" s="4" t="str">
        <f t="shared" si="3"/>
        <v/>
      </c>
      <c r="N23" s="4" t="str">
        <f t="shared" si="5"/>
        <v>0:00</v>
      </c>
    </row>
    <row r="24" spans="1:14" x14ac:dyDescent="0.25">
      <c r="A24" s="8" t="str">
        <f t="shared" si="7"/>
        <v>Vendredi</v>
      </c>
      <c r="B24" s="10">
        <f t="shared" si="1"/>
        <v>41748</v>
      </c>
      <c r="C24" s="3">
        <f>IFERROR((VLOOKUP(B24,Fériés:Fériés,2,0)),VLOOKUP(A24,Année!$C$2:$C$8:'Année'!$D$2:$D$8,2,0))</f>
        <v>0.16666666666666666</v>
      </c>
      <c r="D24" s="4"/>
      <c r="E24" s="4"/>
      <c r="F24" s="5">
        <f t="shared" si="6"/>
        <v>0.16666666666666666</v>
      </c>
      <c r="G24" s="4"/>
      <c r="H24" s="5"/>
      <c r="I24" s="5"/>
      <c r="J24" s="5" t="str">
        <f t="shared" si="9"/>
        <v xml:space="preserve"> </v>
      </c>
      <c r="K24" s="5"/>
      <c r="L24" s="5">
        <f t="shared" si="4"/>
        <v>0</v>
      </c>
      <c r="M24" s="4" t="str">
        <f t="shared" si="3"/>
        <v/>
      </c>
      <c r="N24" s="4" t="str">
        <f t="shared" si="5"/>
        <v>0:00</v>
      </c>
    </row>
    <row r="25" spans="1:14" x14ac:dyDescent="0.25">
      <c r="A25" s="8" t="str">
        <f t="shared" si="7"/>
        <v>Samedi</v>
      </c>
      <c r="B25" s="10">
        <f t="shared" si="1"/>
        <v>41749</v>
      </c>
      <c r="C25" s="3">
        <f>IFERROR((VLOOKUP(B25,Fériés:Fériés,2,0)),VLOOKUP(A25,Année!$C$2:$C$8:'Année'!$D$2:$D$8,2,0))</f>
        <v>0</v>
      </c>
      <c r="D25" s="4"/>
      <c r="E25" s="4"/>
      <c r="F25" s="5">
        <f t="shared" si="6"/>
        <v>0</v>
      </c>
      <c r="G25" s="4"/>
      <c r="H25" s="5"/>
      <c r="I25" s="5"/>
      <c r="J25" s="5">
        <f t="shared" si="9"/>
        <v>0</v>
      </c>
      <c r="K25" s="5"/>
      <c r="L25" s="5" t="str">
        <f t="shared" si="4"/>
        <v/>
      </c>
      <c r="M25" s="4" t="str">
        <f t="shared" si="3"/>
        <v/>
      </c>
      <c r="N25" s="4" t="str">
        <f t="shared" si="5"/>
        <v>0:00</v>
      </c>
    </row>
    <row r="26" spans="1:14" x14ac:dyDescent="0.25">
      <c r="A26" s="8" t="str">
        <f t="shared" si="7"/>
        <v>Dimanche</v>
      </c>
      <c r="B26" s="10">
        <f t="shared" si="1"/>
        <v>41750</v>
      </c>
      <c r="C26" s="3">
        <f>IFERROR((VLOOKUP(B26,Fériés:Fériés,2,0)),VLOOKUP(A26,Année!$C$2:$C$8:'Année'!$D$2:$D$8,2,0))</f>
        <v>0</v>
      </c>
      <c r="D26" s="4"/>
      <c r="E26" s="4"/>
      <c r="F26" s="5">
        <f t="shared" si="6"/>
        <v>0</v>
      </c>
      <c r="G26" s="4"/>
      <c r="H26" s="5"/>
      <c r="I26" s="5"/>
      <c r="J26" s="5">
        <f t="shared" si="9"/>
        <v>0</v>
      </c>
      <c r="K26" s="5"/>
      <c r="L26" s="5" t="str">
        <f t="shared" si="4"/>
        <v/>
      </c>
      <c r="M26" s="4" t="str">
        <f t="shared" si="3"/>
        <v/>
      </c>
      <c r="N26" s="4" t="str">
        <f t="shared" si="5"/>
        <v>0:00</v>
      </c>
    </row>
    <row r="27" spans="1:14" x14ac:dyDescent="0.25">
      <c r="A27" s="8" t="str">
        <f t="shared" si="7"/>
        <v>Lundi</v>
      </c>
      <c r="B27" s="10">
        <f t="shared" si="1"/>
        <v>41751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6"/>
        <v>0.32291666666666669</v>
      </c>
      <c r="G27" s="4"/>
      <c r="H27" s="5"/>
      <c r="I27" s="5"/>
      <c r="J27" s="5" t="str">
        <f t="shared" si="9"/>
        <v xml:space="preserve"> </v>
      </c>
      <c r="K27" s="5"/>
      <c r="L27" s="5">
        <f t="shared" si="4"/>
        <v>0</v>
      </c>
      <c r="M27" s="4" t="str">
        <f t="shared" si="3"/>
        <v/>
      </c>
      <c r="N27" s="4" t="str">
        <f t="shared" si="5"/>
        <v>0:00</v>
      </c>
    </row>
    <row r="28" spans="1:14" x14ac:dyDescent="0.25">
      <c r="A28" s="8" t="str">
        <f t="shared" si="7"/>
        <v>Mardi</v>
      </c>
      <c r="B28" s="10">
        <f t="shared" si="1"/>
        <v>41752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6"/>
        <v>0.32291666666666669</v>
      </c>
      <c r="G28" s="4"/>
      <c r="H28" s="5"/>
      <c r="I28" s="5"/>
      <c r="J28" s="5" t="str">
        <f t="shared" si="9"/>
        <v xml:space="preserve"> </v>
      </c>
      <c r="K28" s="5"/>
      <c r="L28" s="5">
        <f t="shared" si="4"/>
        <v>0</v>
      </c>
      <c r="M28" s="4" t="str">
        <f t="shared" si="3"/>
        <v/>
      </c>
      <c r="N28" s="4" t="str">
        <f t="shared" si="5"/>
        <v>0:00</v>
      </c>
    </row>
    <row r="29" spans="1:14" x14ac:dyDescent="0.25">
      <c r="A29" s="8" t="str">
        <f t="shared" si="7"/>
        <v>Mercredi</v>
      </c>
      <c r="B29" s="10">
        <f t="shared" si="1"/>
        <v>41753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6"/>
        <v>0.32291666666666669</v>
      </c>
      <c r="G29" s="4"/>
      <c r="H29" s="5"/>
      <c r="I29" s="5"/>
      <c r="J29" s="5" t="str">
        <f t="shared" si="9"/>
        <v xml:space="preserve"> </v>
      </c>
      <c r="K29" s="5"/>
      <c r="L29" s="5">
        <f t="shared" si="4"/>
        <v>0</v>
      </c>
      <c r="M29" s="4" t="str">
        <f t="shared" si="3"/>
        <v/>
      </c>
      <c r="N29" s="4" t="str">
        <f t="shared" si="5"/>
        <v>0:00</v>
      </c>
    </row>
    <row r="30" spans="1:14" x14ac:dyDescent="0.25">
      <c r="A30" s="8" t="str">
        <f t="shared" si="7"/>
        <v>Jeudi</v>
      </c>
      <c r="B30" s="10">
        <f t="shared" si="1"/>
        <v>41754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6"/>
        <v>0.32291666666666669</v>
      </c>
      <c r="G30" s="4"/>
      <c r="H30" s="5"/>
      <c r="I30" s="5"/>
      <c r="J30" s="5" t="str">
        <f t="shared" si="9"/>
        <v xml:space="preserve"> </v>
      </c>
      <c r="K30" s="5"/>
      <c r="L30" s="5">
        <f t="shared" si="4"/>
        <v>0</v>
      </c>
      <c r="M30" s="4" t="str">
        <f t="shared" si="3"/>
        <v/>
      </c>
      <c r="N30" s="4" t="str">
        <f t="shared" si="5"/>
        <v>0:00</v>
      </c>
    </row>
    <row r="31" spans="1:14" x14ac:dyDescent="0.25">
      <c r="A31" s="8" t="str">
        <f t="shared" si="7"/>
        <v>Vendredi</v>
      </c>
      <c r="B31" s="10">
        <f t="shared" si="1"/>
        <v>41755</v>
      </c>
      <c r="C31" s="3">
        <f>IFERROR((VLOOKUP(B31,Fériés:Fériés,2,0)),VLOOKUP(A31,Année!$C$2:$C$8:'Année'!$D$2:$D$8,2,0))</f>
        <v>0.16666666666666666</v>
      </c>
      <c r="D31" s="4"/>
      <c r="E31" s="4"/>
      <c r="F31" s="5">
        <f t="shared" si="6"/>
        <v>0.16666666666666666</v>
      </c>
      <c r="G31" s="4"/>
      <c r="H31" s="5"/>
      <c r="I31" s="5"/>
      <c r="J31" s="5" t="str">
        <f t="shared" si="9"/>
        <v xml:space="preserve"> </v>
      </c>
      <c r="K31" s="5"/>
      <c r="L31" s="5">
        <f t="shared" si="4"/>
        <v>0</v>
      </c>
      <c r="M31" s="4" t="str">
        <f t="shared" si="3"/>
        <v/>
      </c>
      <c r="N31" s="4" t="str">
        <f t="shared" si="5"/>
        <v>0:00</v>
      </c>
    </row>
    <row r="32" spans="1:14" x14ac:dyDescent="0.25">
      <c r="A32" s="8" t="str">
        <f t="shared" si="7"/>
        <v>Samedi</v>
      </c>
      <c r="B32" s="10">
        <f t="shared" si="1"/>
        <v>41756</v>
      </c>
      <c r="C32" s="3">
        <f>IFERROR((VLOOKUP(B32,Fériés:Fériés,2,0)),VLOOKUP(A32,Année!$C$2:$C$8:'Année'!$D$2:$D$8,2,0))</f>
        <v>0</v>
      </c>
      <c r="D32" s="4"/>
      <c r="E32" s="4"/>
      <c r="F32" s="5">
        <f t="shared" si="6"/>
        <v>0</v>
      </c>
      <c r="G32" s="4"/>
      <c r="H32" s="5"/>
      <c r="I32" s="5"/>
      <c r="J32" s="5">
        <f t="shared" si="9"/>
        <v>0</v>
      </c>
      <c r="K32" s="5"/>
      <c r="L32" s="5" t="str">
        <f t="shared" si="4"/>
        <v/>
      </c>
      <c r="M32" s="4" t="str">
        <f t="shared" si="3"/>
        <v/>
      </c>
      <c r="N32" s="4" t="str">
        <f t="shared" si="5"/>
        <v>0:00</v>
      </c>
    </row>
    <row r="33" spans="1:14" x14ac:dyDescent="0.25">
      <c r="A33" s="8" t="str">
        <f t="shared" si="7"/>
        <v>Dimanche</v>
      </c>
      <c r="B33" s="10">
        <f t="shared" si="1"/>
        <v>41757</v>
      </c>
      <c r="C33" s="3">
        <f>IFERROR((VLOOKUP(B33,Fériés:Fériés,2,0)),VLOOKUP(A33,Année!$C$2:$C$8:'Année'!$D$2:$D$8,2,0))</f>
        <v>0</v>
      </c>
      <c r="D33" s="4"/>
      <c r="E33" s="4"/>
      <c r="F33" s="5">
        <f t="shared" si="6"/>
        <v>0</v>
      </c>
      <c r="G33" s="4"/>
      <c r="H33" s="5"/>
      <c r="I33" s="5"/>
      <c r="J33" s="5">
        <f t="shared" si="9"/>
        <v>0</v>
      </c>
      <c r="K33" s="5"/>
      <c r="L33" s="5" t="str">
        <f t="shared" si="4"/>
        <v/>
      </c>
      <c r="M33" s="4" t="str">
        <f t="shared" si="3"/>
        <v/>
      </c>
      <c r="N33" s="4" t="str">
        <f t="shared" si="5"/>
        <v>0:00</v>
      </c>
    </row>
    <row r="34" spans="1:14" x14ac:dyDescent="0.25">
      <c r="A34" s="8" t="str">
        <f t="shared" si="7"/>
        <v>Lundi</v>
      </c>
      <c r="B34" s="10">
        <f t="shared" si="1"/>
        <v>41758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6"/>
        <v>0.32291666666666669</v>
      </c>
      <c r="G34" s="4"/>
      <c r="H34" s="5"/>
      <c r="I34" s="5"/>
      <c r="J34" s="5" t="str">
        <f t="shared" si="9"/>
        <v xml:space="preserve"> </v>
      </c>
      <c r="K34" s="5"/>
      <c r="L34" s="5">
        <f t="shared" si="4"/>
        <v>0</v>
      </c>
      <c r="M34" s="4" t="str">
        <f t="shared" si="3"/>
        <v/>
      </c>
      <c r="N34" s="4" t="str">
        <f t="shared" si="5"/>
        <v>0:00</v>
      </c>
    </row>
    <row r="35" spans="1:14" x14ac:dyDescent="0.25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 t="str">
        <f t="shared" ref="L35" si="10">IF(A35="dimanche","",IF(A35="samedi","",IF(F35&lt;=0,"",(IF(H35="",F35-C35,H35-C35))+(I35+J35+K35+N35))))</f>
        <v/>
      </c>
      <c r="M35" s="4" t="str">
        <f t="shared" ref="M35" si="11">IF(D35="","",IF(AND(A35="Dimanche",D35&gt;0),SUM(D35:G35)*2,IF(A35="samedi",SUM(D35*2.5,E35*1.25,G35*1.25,F35),SUM(D35*2.5,E35*1.25,G35*1.25,))))</f>
        <v/>
      </c>
      <c r="N35" s="4" t="str">
        <f t="shared" ref="N35" si="12">IF(F35="","",IF((F35+I35+J35+K35)&gt;=C35,"0:00",C35-F35))</f>
        <v/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5.8333333333333348</v>
      </c>
      <c r="D38" s="39">
        <f t="shared" ref="D38:N38" si="13">SUM(D5:D37)</f>
        <v>0</v>
      </c>
      <c r="E38" s="39">
        <f t="shared" si="13"/>
        <v>0</v>
      </c>
      <c r="F38" s="39">
        <f t="shared" si="13"/>
        <v>5.8333333333333348</v>
      </c>
      <c r="G38" s="39">
        <f t="shared" si="13"/>
        <v>0</v>
      </c>
      <c r="H38" s="39">
        <f t="shared" si="13"/>
        <v>0</v>
      </c>
      <c r="I38" s="39">
        <f t="shared" si="13"/>
        <v>0</v>
      </c>
      <c r="J38" s="39">
        <f t="shared" si="13"/>
        <v>0.32291666666666669</v>
      </c>
      <c r="K38" s="39">
        <f t="shared" si="13"/>
        <v>0</v>
      </c>
      <c r="L38" s="39">
        <f t="shared" si="13"/>
        <v>0</v>
      </c>
      <c r="M38" s="39">
        <f t="shared" si="13"/>
        <v>0</v>
      </c>
      <c r="N38" s="39">
        <f t="shared" si="13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5:N37 K5:K34 A5:E34 G5:I34">
    <cfRule type="expression" dxfId="142" priority="20">
      <formula>$A5="Dimanche"</formula>
    </cfRule>
    <cfRule type="expression" dxfId="141" priority="21">
      <formula>$A5="Samedi"</formula>
    </cfRule>
  </conditionalFormatting>
  <conditionalFormatting sqref="A5:A37">
    <cfRule type="expression" dxfId="140" priority="19">
      <formula>$M5&lt;&gt;""</formula>
    </cfRule>
  </conditionalFormatting>
  <conditionalFormatting sqref="A35:N36 K5:K34 A5:E34 G5:I34">
    <cfRule type="expression" dxfId="139" priority="22">
      <formula>COUNTIF(Jours_fériés,$B5)=1</formula>
    </cfRule>
  </conditionalFormatting>
  <conditionalFormatting sqref="J5:J34">
    <cfRule type="expression" dxfId="138" priority="10">
      <formula>$A5="Dimanche"</formula>
    </cfRule>
    <cfRule type="expression" dxfId="137" priority="11">
      <formula>$A5="Samedi"</formula>
    </cfRule>
  </conditionalFormatting>
  <conditionalFormatting sqref="J5:J34">
    <cfRule type="expression" dxfId="136" priority="12">
      <formula>COUNTIF(Jours_fériés,$B5)=1</formula>
    </cfRule>
  </conditionalFormatting>
  <conditionalFormatting sqref="L5:L34 N5:N34">
    <cfRule type="expression" dxfId="135" priority="7">
      <formula>COUNTIF(Jours_fériés,$B5)=1</formula>
    </cfRule>
    <cfRule type="expression" dxfId="134" priority="9">
      <formula>$A5="Samedi"</formula>
    </cfRule>
  </conditionalFormatting>
  <conditionalFormatting sqref="L5:L34 N5:N34">
    <cfRule type="expression" dxfId="133" priority="8">
      <formula>$A5="Dimanche"</formula>
    </cfRule>
  </conditionalFormatting>
  <conditionalFormatting sqref="F5:F34">
    <cfRule type="expression" dxfId="132" priority="4">
      <formula>$A5="Dimanche"</formula>
    </cfRule>
    <cfRule type="expression" dxfId="131" priority="5">
      <formula>$A5="Samedi"</formula>
    </cfRule>
  </conditionalFormatting>
  <conditionalFormatting sqref="F5:F34">
    <cfRule type="expression" dxfId="130" priority="6">
      <formula>COUNTIF(Jours_fériés,$B5)=1</formula>
    </cfRule>
  </conditionalFormatting>
  <conditionalFormatting sqref="M5:M34">
    <cfRule type="expression" dxfId="129" priority="1">
      <formula>COUNTIF(Jours_fériés,$B5)=1</formula>
    </cfRule>
    <cfRule type="expression" dxfId="128" priority="3">
      <formula>$A5="Samedi"</formula>
    </cfRule>
  </conditionalFormatting>
  <conditionalFormatting sqref="M5:M34">
    <cfRule type="expression" dxfId="127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N39"/>
  <sheetViews>
    <sheetView workbookViewId="0">
      <pane ySplit="4" topLeftCell="A21" activePane="bottomLeft" state="frozen"/>
      <selection activeCell="B36" sqref="B36"/>
      <selection pane="bottomLeft" activeCell="M5" sqref="M5:M35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DATE(Année!B1,5,1)</f>
        <v>41759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Mardi</v>
      </c>
      <c r="B5" s="10">
        <f t="shared" ref="B5:B35" si="1">DATE(An,5,ROW(1:31))</f>
        <v>41759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5" si="2">IF(C5=0,VLOOKUP(A5,Horaires,2,FALSE)," ")</f>
        <v>0.32291666666666669</v>
      </c>
      <c r="K5" s="5"/>
      <c r="L5" s="5" t="str">
        <f>IF(A5="dimanche","",IF(A5="samedi","",IF(F5&lt;=0,"",(IF(H5="",F5-C5,H5-C5))+(I5+K5+N5))))</f>
        <v/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Mercredi</v>
      </c>
      <c r="B6" s="10">
        <f t="shared" si="1"/>
        <v>41760</v>
      </c>
      <c r="C6" s="3">
        <f>IFERROR((VLOOKUP(B6,Fériés:Fériés,2,0)),VLOOKUP(A6,Année!$C$2:$C$8:'Année'!$D$2:$D$8,2,0))</f>
        <v>0.32291666666666669</v>
      </c>
      <c r="D6" s="4"/>
      <c r="E6" s="4"/>
      <c r="F6" s="5">
        <f t="shared" ref="F6:F35" si="4">IF(K6="",C6,0)</f>
        <v>0.32291666666666669</v>
      </c>
      <c r="G6" s="4"/>
      <c r="H6" s="5"/>
      <c r="I6" s="5"/>
      <c r="J6" s="5" t="str">
        <f t="shared" si="2"/>
        <v xml:space="preserve"> </v>
      </c>
      <c r="K6" s="5"/>
      <c r="L6" s="5">
        <f t="shared" ref="L6:L35" si="5">IF(A6="dimanche","",IF(A6="samedi","",IF(F6&lt;=0,"",(IF(H6="",F6-C6,H6-C6))+(I6+K6+N6))))</f>
        <v>0</v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 x14ac:dyDescent="0.25">
      <c r="A7" s="8" t="str">
        <f t="shared" si="0"/>
        <v>Jeudi</v>
      </c>
      <c r="B7" s="10">
        <f t="shared" si="1"/>
        <v>41761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 x14ac:dyDescent="0.25">
      <c r="A8" s="8" t="str">
        <f t="shared" si="0"/>
        <v>Vendredi</v>
      </c>
      <c r="B8" s="10">
        <f t="shared" si="1"/>
        <v>41762</v>
      </c>
      <c r="C8" s="3">
        <f>IFERROR((VLOOKUP(B8,Fériés:Fériés,2,0)),VLOOKUP(A8,Année!$C$2:$C$8:'Année'!$D$2:$D$8,2,0))</f>
        <v>0.16666666666666666</v>
      </c>
      <c r="D8" s="4"/>
      <c r="E8" s="4"/>
      <c r="F8" s="5">
        <f t="shared" si="4"/>
        <v>0.16666666666666666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 x14ac:dyDescent="0.25">
      <c r="A9" s="8" t="str">
        <f>CHOOSE(WEEKDAY(B9),"Dimanche","Lundi","Mardi","Mercredi","Jeudi","Vendredi","Samedi")</f>
        <v>Samedi</v>
      </c>
      <c r="B9" s="10">
        <f t="shared" si="1"/>
        <v>41763</v>
      </c>
      <c r="C9" s="3">
        <f>IFERROR((VLOOKUP(B9,Fériés:Fériés,2,0)),VLOOKUP(A9,Année!$C$2:$C$8:'Année'!$D$2:$D$8,2,0))</f>
        <v>0</v>
      </c>
      <c r="D9" s="4"/>
      <c r="E9" s="4"/>
      <c r="F9" s="5">
        <f t="shared" si="4"/>
        <v>0</v>
      </c>
      <c r="G9" s="4"/>
      <c r="H9" s="5"/>
      <c r="I9" s="5"/>
      <c r="J9" s="5">
        <f t="shared" si="2"/>
        <v>0</v>
      </c>
      <c r="K9" s="5"/>
      <c r="L9" s="5" t="str">
        <f t="shared" si="5"/>
        <v/>
      </c>
      <c r="M9" s="4" t="str">
        <f t="shared" si="3"/>
        <v/>
      </c>
      <c r="N9" s="4" t="str">
        <f t="shared" si="6"/>
        <v>0:00</v>
      </c>
    </row>
    <row r="10" spans="1:14" x14ac:dyDescent="0.25">
      <c r="A10" s="8" t="str">
        <f t="shared" ref="A10:A35" si="7">CHOOSE(WEEKDAY(B10),"Dimanche","Lundi","Mardi","Mercredi","Jeudi","Vendredi","Samedi")</f>
        <v>Dimanche</v>
      </c>
      <c r="B10" s="10">
        <f t="shared" si="1"/>
        <v>41764</v>
      </c>
      <c r="C10" s="3">
        <f>IFERROR((VLOOKUP(B10,Fériés:Fériés,2,0)),VLOOKUP(A10,Année!$C$2:$C$8:'Année'!$D$2:$D$8,2,0))</f>
        <v>0</v>
      </c>
      <c r="D10" s="4"/>
      <c r="E10" s="4"/>
      <c r="F10" s="5">
        <f t="shared" si="4"/>
        <v>0</v>
      </c>
      <c r="G10" s="4"/>
      <c r="H10" s="5"/>
      <c r="I10" s="5"/>
      <c r="J10" s="5">
        <f t="shared" si="2"/>
        <v>0</v>
      </c>
      <c r="K10" s="5"/>
      <c r="L10" s="5" t="str">
        <f t="shared" si="5"/>
        <v/>
      </c>
      <c r="M10" s="4" t="str">
        <f t="shared" si="3"/>
        <v/>
      </c>
      <c r="N10" s="4" t="str">
        <f t="shared" si="6"/>
        <v>0:00</v>
      </c>
    </row>
    <row r="11" spans="1:14" x14ac:dyDescent="0.25">
      <c r="A11" s="8" t="str">
        <f t="shared" si="7"/>
        <v>Lundi</v>
      </c>
      <c r="B11" s="10">
        <f t="shared" si="1"/>
        <v>41765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4"/>
        <v>0.32291666666666669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 x14ac:dyDescent="0.25">
      <c r="A12" s="8" t="str">
        <f t="shared" si="7"/>
        <v>Mardi</v>
      </c>
      <c r="B12" s="10">
        <f t="shared" si="1"/>
        <v>41766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4"/>
        <v>0</v>
      </c>
      <c r="G12" s="4"/>
      <c r="H12" s="5"/>
      <c r="I12" s="5"/>
      <c r="J12" s="5">
        <f t="shared" si="2"/>
        <v>0.32291666666666669</v>
      </c>
      <c r="K12" s="5"/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 x14ac:dyDescent="0.25">
      <c r="A13" s="8" t="str">
        <f t="shared" si="7"/>
        <v>Mercredi</v>
      </c>
      <c r="B13" s="10">
        <f t="shared" si="1"/>
        <v>41767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4"/>
        <v>0.32291666666666669</v>
      </c>
      <c r="G13" s="4"/>
      <c r="H13" s="5"/>
      <c r="I13" s="5"/>
      <c r="J13" s="5" t="str">
        <f t="shared" si="2"/>
        <v xml:space="preserve"> </v>
      </c>
      <c r="K13" s="5"/>
      <c r="L13" s="5">
        <f t="shared" si="5"/>
        <v>0</v>
      </c>
      <c r="M13" s="4" t="str">
        <f t="shared" si="3"/>
        <v/>
      </c>
      <c r="N13" s="4" t="str">
        <f t="shared" si="6"/>
        <v>0:00</v>
      </c>
    </row>
    <row r="14" spans="1:14" x14ac:dyDescent="0.25">
      <c r="A14" s="8" t="str">
        <f t="shared" si="7"/>
        <v>Jeudi</v>
      </c>
      <c r="B14" s="10">
        <f t="shared" si="1"/>
        <v>41768</v>
      </c>
      <c r="C14" s="3">
        <f>IFERROR((VLOOKUP(B14,Fériés:Fériés,2,0)),VLOOKUP(A14,Année!$C$2:$C$8:'Année'!$D$2:$D$8,2,0))</f>
        <v>0</v>
      </c>
      <c r="D14" s="4"/>
      <c r="E14" s="4"/>
      <c r="F14" s="5">
        <f t="shared" si="4"/>
        <v>0</v>
      </c>
      <c r="G14" s="4"/>
      <c r="H14" s="5"/>
      <c r="I14" s="5"/>
      <c r="J14" s="5">
        <f t="shared" si="2"/>
        <v>0.32291666666666669</v>
      </c>
      <c r="K14" s="5"/>
      <c r="L14" s="5" t="str">
        <f t="shared" si="5"/>
        <v/>
      </c>
      <c r="M14" s="4" t="str">
        <f t="shared" si="3"/>
        <v/>
      </c>
      <c r="N14" s="4" t="str">
        <f t="shared" si="6"/>
        <v>0:00</v>
      </c>
    </row>
    <row r="15" spans="1:14" x14ac:dyDescent="0.25">
      <c r="A15" s="8" t="str">
        <f t="shared" si="7"/>
        <v>Vendredi</v>
      </c>
      <c r="B15" s="10">
        <f t="shared" si="1"/>
        <v>41769</v>
      </c>
      <c r="C15" s="3">
        <f>IFERROR((VLOOKUP(B15,Fériés:Fériés,2,0)),VLOOKUP(A15,Année!$C$2:$C$8:'Année'!$D$2:$D$8,2,0))</f>
        <v>0.16666666666666666</v>
      </c>
      <c r="D15" s="4"/>
      <c r="E15" s="4"/>
      <c r="F15" s="5">
        <f t="shared" si="4"/>
        <v>0</v>
      </c>
      <c r="G15" s="4"/>
      <c r="H15" s="5"/>
      <c r="I15" s="5"/>
      <c r="J15" s="5" t="str">
        <f t="shared" si="2"/>
        <v xml:space="preserve"> </v>
      </c>
      <c r="K15" s="5">
        <v>0.16666666666666666</v>
      </c>
      <c r="L15" s="5" t="str">
        <f t="shared" si="5"/>
        <v/>
      </c>
      <c r="M15" s="4" t="str">
        <f t="shared" si="3"/>
        <v/>
      </c>
      <c r="N15" s="4" t="str">
        <f t="shared" si="6"/>
        <v>0:00</v>
      </c>
    </row>
    <row r="16" spans="1:14" x14ac:dyDescent="0.25">
      <c r="A16" s="8" t="str">
        <f t="shared" si="7"/>
        <v>Samedi</v>
      </c>
      <c r="B16" s="10">
        <f t="shared" si="1"/>
        <v>41770</v>
      </c>
      <c r="C16" s="3">
        <f>IFERROR((VLOOKUP(B16,Fériés:Fériés,2,0)),VLOOKUP(A16,Année!$C$2:$C$8:'Année'!$D$2:$D$8,2,0))</f>
        <v>0</v>
      </c>
      <c r="D16" s="4"/>
      <c r="E16" s="4"/>
      <c r="F16" s="5">
        <f t="shared" si="4"/>
        <v>0</v>
      </c>
      <c r="G16" s="4"/>
      <c r="H16" s="5"/>
      <c r="I16" s="5"/>
      <c r="J16" s="5">
        <f t="shared" si="2"/>
        <v>0</v>
      </c>
      <c r="K16" s="5"/>
      <c r="L16" s="5" t="str">
        <f t="shared" si="5"/>
        <v/>
      </c>
      <c r="M16" s="4" t="str">
        <f t="shared" si="3"/>
        <v/>
      </c>
      <c r="N16" s="4" t="str">
        <f t="shared" si="6"/>
        <v>0:00</v>
      </c>
    </row>
    <row r="17" spans="1:14" x14ac:dyDescent="0.25">
      <c r="A17" s="8" t="str">
        <f t="shared" si="7"/>
        <v>Dimanche</v>
      </c>
      <c r="B17" s="10">
        <f t="shared" si="1"/>
        <v>41771</v>
      </c>
      <c r="C17" s="3">
        <f>IFERROR((VLOOKUP(B17,Fériés:Fériés,2,0)),VLOOKUP(A17,Année!$C$2:$C$8:'Année'!$D$2:$D$8,2,0))</f>
        <v>0</v>
      </c>
      <c r="D17" s="4"/>
      <c r="E17" s="4"/>
      <c r="F17" s="5">
        <f t="shared" si="4"/>
        <v>0</v>
      </c>
      <c r="G17" s="4"/>
      <c r="H17" s="5"/>
      <c r="I17" s="5"/>
      <c r="J17" s="5">
        <f t="shared" si="2"/>
        <v>0</v>
      </c>
      <c r="K17" s="5"/>
      <c r="L17" s="5" t="str">
        <f t="shared" si="5"/>
        <v/>
      </c>
      <c r="M17" s="4" t="str">
        <f t="shared" si="3"/>
        <v/>
      </c>
      <c r="N17" s="4" t="str">
        <f t="shared" si="6"/>
        <v>0:00</v>
      </c>
    </row>
    <row r="18" spans="1:14" x14ac:dyDescent="0.25">
      <c r="A18" s="8" t="str">
        <f t="shared" si="7"/>
        <v>Lundi</v>
      </c>
      <c r="B18" s="10">
        <f t="shared" si="1"/>
        <v>41772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4"/>
        <v>0</v>
      </c>
      <c r="G18" s="4"/>
      <c r="H18" s="5"/>
      <c r="I18" s="5"/>
      <c r="J18" s="5" t="str">
        <f t="shared" si="2"/>
        <v xml:space="preserve"> </v>
      </c>
      <c r="K18" s="5">
        <v>0.32291666666666669</v>
      </c>
      <c r="L18" s="5" t="str">
        <f t="shared" si="5"/>
        <v/>
      </c>
      <c r="M18" s="4" t="str">
        <f t="shared" si="3"/>
        <v/>
      </c>
      <c r="N18" s="4" t="str">
        <f t="shared" si="6"/>
        <v>0:00</v>
      </c>
    </row>
    <row r="19" spans="1:14" x14ac:dyDescent="0.25">
      <c r="A19" s="8" t="str">
        <f t="shared" si="7"/>
        <v>Mardi</v>
      </c>
      <c r="B19" s="10">
        <f t="shared" si="1"/>
        <v>41773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4"/>
        <v>0.32291666666666669</v>
      </c>
      <c r="G19" s="4"/>
      <c r="H19" s="5"/>
      <c r="I19" s="5"/>
      <c r="J19" s="5" t="str">
        <f t="shared" si="2"/>
        <v xml:space="preserve"> </v>
      </c>
      <c r="K19" s="5"/>
      <c r="L19" s="5">
        <f t="shared" si="5"/>
        <v>0</v>
      </c>
      <c r="M19" s="4" t="str">
        <f t="shared" si="3"/>
        <v/>
      </c>
      <c r="N19" s="4" t="str">
        <f t="shared" si="6"/>
        <v>0:00</v>
      </c>
    </row>
    <row r="20" spans="1:14" x14ac:dyDescent="0.25">
      <c r="A20" s="8" t="str">
        <f t="shared" si="7"/>
        <v>Mercredi</v>
      </c>
      <c r="B20" s="10">
        <f t="shared" si="1"/>
        <v>41774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4"/>
        <v>0.32291666666666669</v>
      </c>
      <c r="G20" s="4"/>
      <c r="H20" s="5"/>
      <c r="I20" s="5"/>
      <c r="J20" s="5" t="str">
        <f t="shared" si="2"/>
        <v xml:space="preserve"> </v>
      </c>
      <c r="K20" s="5"/>
      <c r="L20" s="5">
        <f t="shared" si="5"/>
        <v>0</v>
      </c>
      <c r="M20" s="4" t="str">
        <f t="shared" si="3"/>
        <v/>
      </c>
      <c r="N20" s="4" t="str">
        <f t="shared" si="6"/>
        <v>0:00</v>
      </c>
    </row>
    <row r="21" spans="1:14" x14ac:dyDescent="0.25">
      <c r="A21" s="8" t="str">
        <f t="shared" si="7"/>
        <v>Jeudi</v>
      </c>
      <c r="B21" s="10">
        <f t="shared" si="1"/>
        <v>41775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 x14ac:dyDescent="0.25">
      <c r="A22" s="8" t="str">
        <f t="shared" si="7"/>
        <v>Vendredi</v>
      </c>
      <c r="B22" s="10">
        <f t="shared" si="1"/>
        <v>41776</v>
      </c>
      <c r="C22" s="3">
        <f>IFERROR((VLOOKUP(B22,Fériés:Fériés,2,0)),VLOOKUP(A22,Année!$C$2:$C$8:'Année'!$D$2:$D$8,2,0))</f>
        <v>0.16666666666666666</v>
      </c>
      <c r="D22" s="4"/>
      <c r="E22" s="4"/>
      <c r="F22" s="5">
        <f t="shared" si="4"/>
        <v>0.16666666666666666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 x14ac:dyDescent="0.25">
      <c r="A23" s="8" t="str">
        <f t="shared" si="7"/>
        <v>Samedi</v>
      </c>
      <c r="B23" s="10">
        <f t="shared" si="1"/>
        <v>41777</v>
      </c>
      <c r="C23" s="3">
        <f>IFERROR((VLOOKUP(B23,Fériés:Fériés,2,0)),VLOOKUP(A23,Année!$C$2:$C$8:'Année'!$D$2:$D$8,2,0))</f>
        <v>0</v>
      </c>
      <c r="D23" s="4"/>
      <c r="E23" s="4"/>
      <c r="F23" s="5">
        <f t="shared" si="4"/>
        <v>0</v>
      </c>
      <c r="G23" s="4"/>
      <c r="H23" s="5"/>
      <c r="I23" s="5"/>
      <c r="J23" s="5">
        <f t="shared" si="2"/>
        <v>0</v>
      </c>
      <c r="K23" s="5"/>
      <c r="L23" s="5" t="str">
        <f t="shared" si="5"/>
        <v/>
      </c>
      <c r="M23" s="4" t="str">
        <f t="shared" si="3"/>
        <v/>
      </c>
      <c r="N23" s="4" t="str">
        <f t="shared" si="6"/>
        <v>0:00</v>
      </c>
    </row>
    <row r="24" spans="1:14" x14ac:dyDescent="0.25">
      <c r="A24" s="8" t="str">
        <f t="shared" si="7"/>
        <v>Dimanche</v>
      </c>
      <c r="B24" s="10">
        <f t="shared" si="1"/>
        <v>41778</v>
      </c>
      <c r="C24" s="3">
        <f>IFERROR((VLOOKUP(B24,Fériés:Fériés,2,0)),VLOOKUP(A24,Année!$C$2:$C$8:'Année'!$D$2:$D$8,2,0))</f>
        <v>0</v>
      </c>
      <c r="D24" s="4"/>
      <c r="E24" s="4"/>
      <c r="F24" s="5">
        <f t="shared" si="4"/>
        <v>0</v>
      </c>
      <c r="G24" s="4"/>
      <c r="H24" s="5"/>
      <c r="I24" s="5"/>
      <c r="J24" s="5">
        <f t="shared" si="2"/>
        <v>0</v>
      </c>
      <c r="K24" s="5"/>
      <c r="L24" s="5" t="str">
        <f t="shared" si="5"/>
        <v/>
      </c>
      <c r="M24" s="4" t="str">
        <f t="shared" si="3"/>
        <v/>
      </c>
      <c r="N24" s="4" t="str">
        <f t="shared" si="6"/>
        <v>0:00</v>
      </c>
    </row>
    <row r="25" spans="1:14" x14ac:dyDescent="0.25">
      <c r="A25" s="8" t="str">
        <f t="shared" si="7"/>
        <v>Lundi</v>
      </c>
      <c r="B25" s="10">
        <f t="shared" si="1"/>
        <v>41779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4"/>
        <v>0.32291666666666669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 x14ac:dyDescent="0.25">
      <c r="A26" s="8" t="str">
        <f t="shared" si="7"/>
        <v>Mardi</v>
      </c>
      <c r="B26" s="10">
        <f t="shared" si="1"/>
        <v>41780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4"/>
        <v>0.32291666666666669</v>
      </c>
      <c r="G26" s="4"/>
      <c r="H26" s="5"/>
      <c r="I26" s="5"/>
      <c r="J26" s="5" t="str">
        <f t="shared" si="2"/>
        <v xml:space="preserve"> </v>
      </c>
      <c r="K26" s="5"/>
      <c r="L26" s="5">
        <f t="shared" si="5"/>
        <v>0</v>
      </c>
      <c r="M26" s="4" t="str">
        <f t="shared" si="3"/>
        <v/>
      </c>
      <c r="N26" s="4" t="str">
        <f t="shared" si="6"/>
        <v>0:00</v>
      </c>
    </row>
    <row r="27" spans="1:14" x14ac:dyDescent="0.25">
      <c r="A27" s="8" t="str">
        <f t="shared" si="7"/>
        <v>Mercredi</v>
      </c>
      <c r="B27" s="10">
        <f t="shared" si="1"/>
        <v>41781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4"/>
        <v>0.32291666666666669</v>
      </c>
      <c r="G27" s="4"/>
      <c r="H27" s="5"/>
      <c r="I27" s="5"/>
      <c r="J27" s="5" t="str">
        <f t="shared" si="2"/>
        <v xml:space="preserve"> </v>
      </c>
      <c r="K27" s="5"/>
      <c r="L27" s="5">
        <f t="shared" si="5"/>
        <v>0</v>
      </c>
      <c r="M27" s="4" t="str">
        <f t="shared" si="3"/>
        <v/>
      </c>
      <c r="N27" s="4" t="str">
        <f t="shared" si="6"/>
        <v>0:00</v>
      </c>
    </row>
    <row r="28" spans="1:14" x14ac:dyDescent="0.25">
      <c r="A28" s="8" t="str">
        <f t="shared" si="7"/>
        <v>Jeudi</v>
      </c>
      <c r="B28" s="10">
        <f t="shared" si="1"/>
        <v>41782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0.32291666666666669</v>
      </c>
      <c r="G28" s="4"/>
      <c r="H28" s="5"/>
      <c r="I28" s="5"/>
      <c r="J28" s="5" t="str">
        <f t="shared" si="2"/>
        <v xml:space="preserve"> </v>
      </c>
      <c r="K28" s="5"/>
      <c r="L28" s="5">
        <f t="shared" si="5"/>
        <v>0</v>
      </c>
      <c r="M28" s="4" t="str">
        <f t="shared" si="3"/>
        <v/>
      </c>
      <c r="N28" s="4" t="str">
        <f t="shared" si="6"/>
        <v>0:00</v>
      </c>
    </row>
    <row r="29" spans="1:14" x14ac:dyDescent="0.25">
      <c r="A29" s="8" t="str">
        <f t="shared" si="7"/>
        <v>Vendredi</v>
      </c>
      <c r="B29" s="10">
        <f t="shared" si="1"/>
        <v>41783</v>
      </c>
      <c r="C29" s="3">
        <f>IFERROR((VLOOKUP(B29,Fériés:Fériés,2,0)),VLOOKUP(A29,Année!$C$2:$C$8:'Année'!$D$2:$D$8,2,0))</f>
        <v>0.16666666666666666</v>
      </c>
      <c r="D29" s="4"/>
      <c r="E29" s="4"/>
      <c r="F29" s="5">
        <f t="shared" si="4"/>
        <v>0.16666666666666666</v>
      </c>
      <c r="G29" s="4"/>
      <c r="H29" s="5"/>
      <c r="I29" s="5"/>
      <c r="J29" s="5" t="str">
        <f t="shared" si="2"/>
        <v xml:space="preserve"> </v>
      </c>
      <c r="K29" s="5"/>
      <c r="L29" s="5">
        <f t="shared" si="5"/>
        <v>0</v>
      </c>
      <c r="M29" s="4" t="str">
        <f t="shared" si="3"/>
        <v/>
      </c>
      <c r="N29" s="4" t="str">
        <f t="shared" si="6"/>
        <v>0:00</v>
      </c>
    </row>
    <row r="30" spans="1:14" x14ac:dyDescent="0.25">
      <c r="A30" s="8" t="str">
        <f t="shared" si="7"/>
        <v>Samedi</v>
      </c>
      <c r="B30" s="10">
        <f t="shared" si="1"/>
        <v>41784</v>
      </c>
      <c r="C30" s="3">
        <f>IFERROR((VLOOKUP(B30,Fériés:Fériés,2,0)),VLOOKUP(A30,Année!$C$2:$C$8:'Année'!$D$2:$D$8,2,0))</f>
        <v>0</v>
      </c>
      <c r="D30" s="4"/>
      <c r="E30" s="4"/>
      <c r="F30" s="5">
        <f t="shared" si="4"/>
        <v>0</v>
      </c>
      <c r="G30" s="4"/>
      <c r="H30" s="5"/>
      <c r="I30" s="5"/>
      <c r="J30" s="5">
        <f t="shared" si="2"/>
        <v>0</v>
      </c>
      <c r="K30" s="5"/>
      <c r="L30" s="5" t="str">
        <f t="shared" si="5"/>
        <v/>
      </c>
      <c r="M30" s="4" t="str">
        <f t="shared" si="3"/>
        <v/>
      </c>
      <c r="N30" s="4" t="str">
        <f t="shared" si="6"/>
        <v>0:00</v>
      </c>
    </row>
    <row r="31" spans="1:14" x14ac:dyDescent="0.25">
      <c r="A31" s="8" t="str">
        <f t="shared" si="7"/>
        <v>Dimanche</v>
      </c>
      <c r="B31" s="10">
        <f t="shared" si="1"/>
        <v>41785</v>
      </c>
      <c r="C31" s="3">
        <f>IFERROR((VLOOKUP(B31,Fériés:Fériés,2,0)),VLOOKUP(A31,Année!$C$2:$C$8:'Année'!$D$2:$D$8,2,0))</f>
        <v>0</v>
      </c>
      <c r="D31" s="4"/>
      <c r="E31" s="4"/>
      <c r="F31" s="5">
        <f t="shared" si="4"/>
        <v>0</v>
      </c>
      <c r="G31" s="4"/>
      <c r="H31" s="5"/>
      <c r="I31" s="5"/>
      <c r="J31" s="5">
        <f t="shared" si="2"/>
        <v>0</v>
      </c>
      <c r="K31" s="5"/>
      <c r="L31" s="5" t="str">
        <f t="shared" si="5"/>
        <v/>
      </c>
      <c r="M31" s="4" t="str">
        <f t="shared" si="3"/>
        <v/>
      </c>
      <c r="N31" s="4" t="str">
        <f t="shared" si="6"/>
        <v>0:00</v>
      </c>
    </row>
    <row r="32" spans="1:14" x14ac:dyDescent="0.25">
      <c r="A32" s="8" t="str">
        <f t="shared" si="7"/>
        <v>Lundi</v>
      </c>
      <c r="B32" s="10">
        <f t="shared" si="1"/>
        <v>41786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4"/>
        <v>0.32291666666666669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 x14ac:dyDescent="0.25">
      <c r="A33" s="8" t="str">
        <f t="shared" si="7"/>
        <v>Mardi</v>
      </c>
      <c r="B33" s="10">
        <f t="shared" si="1"/>
        <v>41787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4"/>
        <v>0.32291666666666669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 x14ac:dyDescent="0.25">
      <c r="A34" s="8" t="str">
        <f t="shared" si="7"/>
        <v>Mercredi</v>
      </c>
      <c r="B34" s="10">
        <f t="shared" si="1"/>
        <v>41788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4"/>
        <v>0.32291666666666669</v>
      </c>
      <c r="G34" s="4"/>
      <c r="H34" s="5"/>
      <c r="I34" s="5"/>
      <c r="J34" s="5" t="str">
        <f t="shared" si="2"/>
        <v xml:space="preserve"> </v>
      </c>
      <c r="K34" s="5"/>
      <c r="L34" s="5">
        <f t="shared" si="5"/>
        <v>0</v>
      </c>
      <c r="M34" s="4" t="str">
        <f t="shared" si="3"/>
        <v/>
      </c>
      <c r="N34" s="4" t="str">
        <f t="shared" si="6"/>
        <v>0:00</v>
      </c>
    </row>
    <row r="35" spans="1:14" x14ac:dyDescent="0.25">
      <c r="A35" s="8" t="str">
        <f t="shared" si="7"/>
        <v>Jeudi</v>
      </c>
      <c r="B35" s="10">
        <f t="shared" si="1"/>
        <v>41789</v>
      </c>
      <c r="C35" s="3">
        <f>IFERROR((VLOOKUP(B35,Fériés:Fériés,2,0)),VLOOKUP(A35,Année!$C$2:$C$8:'Année'!$D$2:$D$8,2,0))</f>
        <v>0.32291666666666669</v>
      </c>
      <c r="D35" s="4"/>
      <c r="E35" s="4"/>
      <c r="F35" s="5">
        <f t="shared" si="4"/>
        <v>0.32291666666666669</v>
      </c>
      <c r="G35" s="4"/>
      <c r="H35" s="5"/>
      <c r="I35" s="5"/>
      <c r="J35" s="5" t="str">
        <f t="shared" si="2"/>
        <v xml:space="preserve"> </v>
      </c>
      <c r="K35" s="5"/>
      <c r="L35" s="5">
        <f t="shared" si="5"/>
        <v>0</v>
      </c>
      <c r="M35" s="4" t="str">
        <f t="shared" si="3"/>
        <v/>
      </c>
      <c r="N35" s="4" t="str">
        <f t="shared" si="6"/>
        <v>0:00</v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5.8333333333333348</v>
      </c>
      <c r="D38" s="39">
        <f t="shared" ref="D38:N38" si="8">SUM(D5:D37)</f>
        <v>0</v>
      </c>
      <c r="E38" s="39">
        <f t="shared" si="8"/>
        <v>0</v>
      </c>
      <c r="F38" s="39">
        <f t="shared" si="8"/>
        <v>5.3437500000000009</v>
      </c>
      <c r="G38" s="39">
        <f t="shared" si="8"/>
        <v>0</v>
      </c>
      <c r="H38" s="39">
        <f t="shared" si="8"/>
        <v>0</v>
      </c>
      <c r="I38" s="39">
        <f t="shared" si="8"/>
        <v>0</v>
      </c>
      <c r="J38" s="39">
        <f t="shared" si="8"/>
        <v>0.96875</v>
      </c>
      <c r="K38" s="39">
        <f t="shared" si="8"/>
        <v>0.48958333333333337</v>
      </c>
      <c r="L38" s="39">
        <f t="shared" si="8"/>
        <v>0</v>
      </c>
      <c r="M38" s="39">
        <f t="shared" si="8"/>
        <v>0</v>
      </c>
      <c r="N38" s="39">
        <f t="shared" si="8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A5:E35 G5:K35">
    <cfRule type="expression" dxfId="126" priority="14">
      <formula>$A5="Dimanche"</formula>
    </cfRule>
    <cfRule type="expression" dxfId="125" priority="15">
      <formula>$A5="Samedi"</formula>
    </cfRule>
  </conditionalFormatting>
  <conditionalFormatting sqref="A5:A37">
    <cfRule type="expression" dxfId="124" priority="13">
      <formula>$M5&lt;&gt;""</formula>
    </cfRule>
  </conditionalFormatting>
  <conditionalFormatting sqref="A36:N36 A5:E35 G5:K35">
    <cfRule type="expression" dxfId="123" priority="16">
      <formula>COUNTIF(Jours_fériés,$B5)=1</formula>
    </cfRule>
  </conditionalFormatting>
  <conditionalFormatting sqref="L5:L35 N5:N35">
    <cfRule type="expression" dxfId="122" priority="7">
      <formula>COUNTIF(Jours_fériés,$B5)=1</formula>
    </cfRule>
    <cfRule type="expression" dxfId="121" priority="9">
      <formula>$A5="Samedi"</formula>
    </cfRule>
  </conditionalFormatting>
  <conditionalFormatting sqref="L5:L35 N5:N35">
    <cfRule type="expression" dxfId="120" priority="8">
      <formula>$A5="Dimanche"</formula>
    </cfRule>
  </conditionalFormatting>
  <conditionalFormatting sqref="F5:F35">
    <cfRule type="expression" dxfId="119" priority="4">
      <formula>$A5="Dimanche"</formula>
    </cfRule>
    <cfRule type="expression" dxfId="118" priority="5">
      <formula>$A5="Samedi"</formula>
    </cfRule>
  </conditionalFormatting>
  <conditionalFormatting sqref="F5:F35">
    <cfRule type="expression" dxfId="117" priority="6">
      <formula>COUNTIF(Jours_fériés,$B5)=1</formula>
    </cfRule>
  </conditionalFormatting>
  <conditionalFormatting sqref="M5:M35">
    <cfRule type="expression" dxfId="116" priority="1">
      <formula>COUNTIF(Jours_fériés,$B5)=1</formula>
    </cfRule>
    <cfRule type="expression" dxfId="115" priority="3">
      <formula>$A5="Samedi"</formula>
    </cfRule>
  </conditionalFormatting>
  <conditionalFormatting sqref="M5:M35">
    <cfRule type="expression" dxfId="114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39"/>
  <sheetViews>
    <sheetView workbookViewId="0">
      <pane ySplit="4" topLeftCell="A18" activePane="bottomLeft" state="frozen"/>
      <selection activeCell="B36" sqref="B36"/>
      <selection pane="bottomLeft" activeCell="M5" sqref="M5:M34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DATE(Année!B1,6,1)</f>
        <v>41790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Vendredi</v>
      </c>
      <c r="B5" s="10">
        <f t="shared" ref="B5:B34" si="1">DATE(An,6,ROW(1:31))</f>
        <v>41790</v>
      </c>
      <c r="C5" s="3">
        <f>IFERROR((VLOOKUP(B5,Fériés:Fériés,2,0)),VLOOKUP(A5,Année!$C$2:$C$8:'Année'!$D$2:$D$8,2,0))</f>
        <v>0.16666666666666666</v>
      </c>
      <c r="D5" s="4"/>
      <c r="E5" s="4"/>
      <c r="F5" s="5">
        <f>IF(K5="",C5,0)</f>
        <v>0.16666666666666666</v>
      </c>
      <c r="G5" s="4"/>
      <c r="H5" s="5"/>
      <c r="I5" s="5"/>
      <c r="J5" s="5" t="str">
        <f t="shared" ref="J5:J34" si="2">IF(C5=0,VLOOKUP(A5,Horaires,2,FALSE)," ")</f>
        <v xml:space="preserve"> </v>
      </c>
      <c r="K5" s="5"/>
      <c r="L5" s="5">
        <f>IF(A5="dimanche","",IF(A5="samedi","",IF(F5&lt;=0,"",(IF(H5="",F5-C5,H5-C5))+(I5+K5+N5))))</f>
        <v>0</v>
      </c>
      <c r="M5" s="4" t="str">
        <f t="shared" ref="M5:M34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Samedi</v>
      </c>
      <c r="B6" s="10">
        <f t="shared" si="1"/>
        <v>41791</v>
      </c>
      <c r="C6" s="3">
        <f>IFERROR((VLOOKUP(B6,Fériés:Fériés,2,0)),VLOOKUP(A6,Année!$C$2:$C$8:'Année'!$D$2:$D$8,2,0))</f>
        <v>0</v>
      </c>
      <c r="D6" s="4"/>
      <c r="E6" s="4"/>
      <c r="F6" s="5">
        <f t="shared" ref="F6:F34" si="4">IF(K6="",C6,0)</f>
        <v>0</v>
      </c>
      <c r="G6" s="4"/>
      <c r="H6" s="5"/>
      <c r="I6" s="5"/>
      <c r="J6" s="5">
        <f t="shared" si="2"/>
        <v>0</v>
      </c>
      <c r="K6" s="5"/>
      <c r="L6" s="5" t="str">
        <f t="shared" ref="L6:L35" si="5">IF(A6="dimanche","",IF(A6="samedi","",IF(F6&lt;=0,"",(IF(H6="",F6-C6,H6-C6))+(I6+K6+N6))))</f>
        <v/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 x14ac:dyDescent="0.25">
      <c r="A7" s="8" t="str">
        <f t="shared" si="0"/>
        <v>Dimanche</v>
      </c>
      <c r="B7" s="10">
        <f t="shared" si="1"/>
        <v>41792</v>
      </c>
      <c r="C7" s="3">
        <f>IFERROR((VLOOKUP(B7,Fériés:Fériés,2,0)),VLOOKUP(A7,Année!$C$2:$C$8:'Année'!$D$2:$D$8,2,0))</f>
        <v>0</v>
      </c>
      <c r="D7" s="4"/>
      <c r="E7" s="4"/>
      <c r="F7" s="5">
        <f t="shared" si="4"/>
        <v>0</v>
      </c>
      <c r="G7" s="4"/>
      <c r="H7" s="5"/>
      <c r="I7" s="5"/>
      <c r="J7" s="5">
        <f t="shared" si="2"/>
        <v>0</v>
      </c>
      <c r="K7" s="5"/>
      <c r="L7" s="5" t="str">
        <f t="shared" si="5"/>
        <v/>
      </c>
      <c r="M7" s="4" t="str">
        <f t="shared" si="3"/>
        <v/>
      </c>
      <c r="N7" s="4" t="str">
        <f t="shared" si="6"/>
        <v>0:00</v>
      </c>
    </row>
    <row r="8" spans="1:14" x14ac:dyDescent="0.25">
      <c r="A8" s="8" t="str">
        <f t="shared" si="0"/>
        <v>Lundi</v>
      </c>
      <c r="B8" s="10">
        <f t="shared" si="1"/>
        <v>41793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 x14ac:dyDescent="0.25">
      <c r="A9" s="8" t="str">
        <f>CHOOSE(WEEKDAY(B9),"Dimanche","Lundi","Mardi","Mercredi","Jeudi","Vendredi","Samedi")</f>
        <v>Mardi</v>
      </c>
      <c r="B9" s="10">
        <f t="shared" si="1"/>
        <v>41794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 x14ac:dyDescent="0.25">
      <c r="A10" s="8" t="str">
        <f t="shared" ref="A10:A34" si="7">CHOOSE(WEEKDAY(B10),"Dimanche","Lundi","Mardi","Mercredi","Jeudi","Vendredi","Samedi")</f>
        <v>Mercredi</v>
      </c>
      <c r="B10" s="10">
        <f t="shared" si="1"/>
        <v>41795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0.32291666666666669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 x14ac:dyDescent="0.25">
      <c r="A11" s="8" t="str">
        <f t="shared" si="7"/>
        <v>Jeudi</v>
      </c>
      <c r="B11" s="10">
        <f t="shared" si="1"/>
        <v>41796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4"/>
        <v>0.32291666666666669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 x14ac:dyDescent="0.25">
      <c r="A12" s="8" t="str">
        <f t="shared" si="7"/>
        <v>Vendredi</v>
      </c>
      <c r="B12" s="10">
        <f t="shared" si="1"/>
        <v>41797</v>
      </c>
      <c r="C12" s="3">
        <f>IFERROR((VLOOKUP(B12,Fériés:Fériés,2,0)),VLOOKUP(A12,Année!$C$2:$C$8:'Année'!$D$2:$D$8,2,0))</f>
        <v>0.16666666666666666</v>
      </c>
      <c r="D12" s="4"/>
      <c r="E12" s="4"/>
      <c r="F12" s="5">
        <f t="shared" si="4"/>
        <v>0.16666666666666666</v>
      </c>
      <c r="G12" s="4"/>
      <c r="H12" s="5"/>
      <c r="I12" s="5"/>
      <c r="J12" s="5" t="str">
        <f t="shared" si="2"/>
        <v xml:space="preserve"> </v>
      </c>
      <c r="K12" s="5"/>
      <c r="L12" s="5">
        <f t="shared" si="5"/>
        <v>0</v>
      </c>
      <c r="M12" s="4" t="str">
        <f t="shared" si="3"/>
        <v/>
      </c>
      <c r="N12" s="4" t="str">
        <f t="shared" si="6"/>
        <v>0:00</v>
      </c>
    </row>
    <row r="13" spans="1:14" x14ac:dyDescent="0.25">
      <c r="A13" s="8" t="str">
        <f t="shared" si="7"/>
        <v>Samedi</v>
      </c>
      <c r="B13" s="10">
        <f t="shared" si="1"/>
        <v>41798</v>
      </c>
      <c r="C13" s="3">
        <f>IFERROR((VLOOKUP(B13,Fériés:Fériés,2,0)),VLOOKUP(A13,Année!$C$2:$C$8:'Année'!$D$2:$D$8,2,0))</f>
        <v>0</v>
      </c>
      <c r="D13" s="4"/>
      <c r="E13" s="4"/>
      <c r="F13" s="5">
        <f t="shared" si="4"/>
        <v>0</v>
      </c>
      <c r="G13" s="4"/>
      <c r="H13" s="5"/>
      <c r="I13" s="5"/>
      <c r="J13" s="5">
        <f t="shared" si="2"/>
        <v>0</v>
      </c>
      <c r="K13" s="5"/>
      <c r="L13" s="5" t="str">
        <f t="shared" si="5"/>
        <v/>
      </c>
      <c r="M13" s="4" t="str">
        <f t="shared" si="3"/>
        <v/>
      </c>
      <c r="N13" s="4" t="str">
        <f t="shared" si="6"/>
        <v>0:00</v>
      </c>
    </row>
    <row r="14" spans="1:14" x14ac:dyDescent="0.25">
      <c r="A14" s="8" t="str">
        <f t="shared" si="7"/>
        <v>Dimanche</v>
      </c>
      <c r="B14" s="10">
        <f t="shared" si="1"/>
        <v>41799</v>
      </c>
      <c r="C14" s="3">
        <f>IFERROR((VLOOKUP(B14,Fériés:Fériés,2,0)),VLOOKUP(A14,Année!$C$2:$C$8:'Année'!$D$2:$D$8,2,0))</f>
        <v>0</v>
      </c>
      <c r="D14" s="4"/>
      <c r="E14" s="4"/>
      <c r="F14" s="5">
        <f t="shared" si="4"/>
        <v>0</v>
      </c>
      <c r="G14" s="4"/>
      <c r="H14" s="5"/>
      <c r="I14" s="5"/>
      <c r="J14" s="5">
        <f t="shared" si="2"/>
        <v>0</v>
      </c>
      <c r="K14" s="5"/>
      <c r="L14" s="5" t="str">
        <f t="shared" si="5"/>
        <v/>
      </c>
      <c r="M14" s="4" t="str">
        <f t="shared" si="3"/>
        <v/>
      </c>
      <c r="N14" s="4" t="str">
        <f t="shared" si="6"/>
        <v>0:00</v>
      </c>
    </row>
    <row r="15" spans="1:14" x14ac:dyDescent="0.25">
      <c r="A15" s="8" t="str">
        <f t="shared" si="7"/>
        <v>Lundi</v>
      </c>
      <c r="B15" s="10">
        <f t="shared" si="1"/>
        <v>41800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 x14ac:dyDescent="0.25">
      <c r="A16" s="8" t="str">
        <f t="shared" si="7"/>
        <v>Mardi</v>
      </c>
      <c r="B16" s="10">
        <f t="shared" si="1"/>
        <v>41801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 x14ac:dyDescent="0.25">
      <c r="A17" s="8" t="str">
        <f t="shared" si="7"/>
        <v>Mercredi</v>
      </c>
      <c r="B17" s="10">
        <f t="shared" si="1"/>
        <v>41802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0.32291666666666669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 x14ac:dyDescent="0.25">
      <c r="A18" s="8" t="str">
        <f t="shared" si="7"/>
        <v>Jeudi</v>
      </c>
      <c r="B18" s="10">
        <f t="shared" si="1"/>
        <v>41803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4"/>
        <v>0.32291666666666669</v>
      </c>
      <c r="G18" s="4"/>
      <c r="H18" s="5"/>
      <c r="I18" s="5"/>
      <c r="J18" s="5" t="str">
        <f t="shared" si="2"/>
        <v xml:space="preserve"> </v>
      </c>
      <c r="K18" s="5"/>
      <c r="L18" s="5">
        <f t="shared" si="5"/>
        <v>0</v>
      </c>
      <c r="M18" s="4" t="str">
        <f t="shared" si="3"/>
        <v/>
      </c>
      <c r="N18" s="4" t="str">
        <f t="shared" si="6"/>
        <v>0:00</v>
      </c>
    </row>
    <row r="19" spans="1:14" x14ac:dyDescent="0.25">
      <c r="A19" s="8" t="str">
        <f t="shared" si="7"/>
        <v>Vendredi</v>
      </c>
      <c r="B19" s="10">
        <f t="shared" si="1"/>
        <v>41804</v>
      </c>
      <c r="C19" s="3">
        <f>IFERROR((VLOOKUP(B19,Fériés:Fériés,2,0)),VLOOKUP(A19,Année!$C$2:$C$8:'Année'!$D$2:$D$8,2,0))</f>
        <v>0.16666666666666666</v>
      </c>
      <c r="D19" s="4"/>
      <c r="E19" s="4"/>
      <c r="F19" s="5">
        <f t="shared" si="4"/>
        <v>0.16666666666666666</v>
      </c>
      <c r="G19" s="4"/>
      <c r="H19" s="5"/>
      <c r="I19" s="5"/>
      <c r="J19" s="5" t="str">
        <f t="shared" si="2"/>
        <v xml:space="preserve"> </v>
      </c>
      <c r="K19" s="5"/>
      <c r="L19" s="5">
        <f t="shared" si="5"/>
        <v>0</v>
      </c>
      <c r="M19" s="4" t="str">
        <f t="shared" si="3"/>
        <v/>
      </c>
      <c r="N19" s="4" t="str">
        <f t="shared" si="6"/>
        <v>0:00</v>
      </c>
    </row>
    <row r="20" spans="1:14" x14ac:dyDescent="0.25">
      <c r="A20" s="8" t="str">
        <f t="shared" si="7"/>
        <v>Samedi</v>
      </c>
      <c r="B20" s="10">
        <f t="shared" si="1"/>
        <v>41805</v>
      </c>
      <c r="C20" s="3">
        <f>IFERROR((VLOOKUP(B20,Fériés:Fériés,2,0)),VLOOKUP(A20,Année!$C$2:$C$8:'Année'!$D$2:$D$8,2,0))</f>
        <v>0</v>
      </c>
      <c r="D20" s="4"/>
      <c r="E20" s="4"/>
      <c r="F20" s="5">
        <f t="shared" si="4"/>
        <v>0</v>
      </c>
      <c r="G20" s="4"/>
      <c r="H20" s="5"/>
      <c r="I20" s="5"/>
      <c r="J20" s="5">
        <f t="shared" si="2"/>
        <v>0</v>
      </c>
      <c r="K20" s="5"/>
      <c r="L20" s="5" t="str">
        <f t="shared" si="5"/>
        <v/>
      </c>
      <c r="M20" s="4" t="str">
        <f t="shared" si="3"/>
        <v/>
      </c>
      <c r="N20" s="4" t="str">
        <f t="shared" si="6"/>
        <v>0:00</v>
      </c>
    </row>
    <row r="21" spans="1:14" x14ac:dyDescent="0.25">
      <c r="A21" s="8" t="str">
        <f t="shared" si="7"/>
        <v>Dimanche</v>
      </c>
      <c r="B21" s="10">
        <f t="shared" si="1"/>
        <v>41806</v>
      </c>
      <c r="C21" s="3">
        <f>IFERROR((VLOOKUP(B21,Fériés:Fériés,2,0)),VLOOKUP(A21,Année!$C$2:$C$8:'Année'!$D$2:$D$8,2,0))</f>
        <v>0</v>
      </c>
      <c r="D21" s="4"/>
      <c r="E21" s="4"/>
      <c r="F21" s="5">
        <f t="shared" si="4"/>
        <v>0</v>
      </c>
      <c r="G21" s="4"/>
      <c r="H21" s="5"/>
      <c r="I21" s="5"/>
      <c r="J21" s="5">
        <f t="shared" si="2"/>
        <v>0</v>
      </c>
      <c r="K21" s="5"/>
      <c r="L21" s="5" t="str">
        <f t="shared" si="5"/>
        <v/>
      </c>
      <c r="M21" s="4" t="str">
        <f t="shared" si="3"/>
        <v/>
      </c>
      <c r="N21" s="4" t="str">
        <f t="shared" si="6"/>
        <v>0:00</v>
      </c>
    </row>
    <row r="22" spans="1:14" x14ac:dyDescent="0.25">
      <c r="A22" s="8" t="str">
        <f t="shared" si="7"/>
        <v>Lundi</v>
      </c>
      <c r="B22" s="10">
        <f t="shared" si="1"/>
        <v>41807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 x14ac:dyDescent="0.25">
      <c r="A23" s="8" t="str">
        <f t="shared" si="7"/>
        <v>Mardi</v>
      </c>
      <c r="B23" s="10">
        <f t="shared" si="1"/>
        <v>41808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 x14ac:dyDescent="0.25">
      <c r="A24" s="8" t="str">
        <f t="shared" si="7"/>
        <v>Mercredi</v>
      </c>
      <c r="B24" s="10">
        <f t="shared" si="1"/>
        <v>41809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 x14ac:dyDescent="0.25">
      <c r="A25" s="8" t="str">
        <f t="shared" si="7"/>
        <v>Jeudi</v>
      </c>
      <c r="B25" s="10">
        <f t="shared" si="1"/>
        <v>41810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4"/>
        <v>0.32291666666666669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 x14ac:dyDescent="0.25">
      <c r="A26" s="8" t="str">
        <f t="shared" si="7"/>
        <v>Vendredi</v>
      </c>
      <c r="B26" s="10">
        <f t="shared" si="1"/>
        <v>41811</v>
      </c>
      <c r="C26" s="3">
        <f>IFERROR((VLOOKUP(B26,Fériés:Fériés,2,0)),VLOOKUP(A26,Année!$C$2:$C$8:'Année'!$D$2:$D$8,2,0))</f>
        <v>0.16666666666666666</v>
      </c>
      <c r="D26" s="4"/>
      <c r="E26" s="4"/>
      <c r="F26" s="5">
        <f t="shared" si="4"/>
        <v>0.16666666666666666</v>
      </c>
      <c r="G26" s="4"/>
      <c r="H26" s="5"/>
      <c r="I26" s="5"/>
      <c r="J26" s="5" t="str">
        <f t="shared" si="2"/>
        <v xml:space="preserve"> </v>
      </c>
      <c r="K26" s="5"/>
      <c r="L26" s="5">
        <f t="shared" si="5"/>
        <v>0</v>
      </c>
      <c r="M26" s="4" t="str">
        <f t="shared" si="3"/>
        <v/>
      </c>
      <c r="N26" s="4" t="str">
        <f t="shared" si="6"/>
        <v>0:00</v>
      </c>
    </row>
    <row r="27" spans="1:14" x14ac:dyDescent="0.25">
      <c r="A27" s="8" t="str">
        <f t="shared" si="7"/>
        <v>Samedi</v>
      </c>
      <c r="B27" s="10">
        <f t="shared" si="1"/>
        <v>41812</v>
      </c>
      <c r="C27" s="3">
        <f>IFERROR((VLOOKUP(B27,Fériés:Fériés,2,0)),VLOOKUP(A27,Année!$C$2:$C$8:'Année'!$D$2:$D$8,2,0))</f>
        <v>0</v>
      </c>
      <c r="D27" s="4"/>
      <c r="E27" s="4"/>
      <c r="F27" s="5">
        <f t="shared" si="4"/>
        <v>0</v>
      </c>
      <c r="G27" s="4"/>
      <c r="H27" s="5"/>
      <c r="I27" s="5"/>
      <c r="J27" s="5">
        <f t="shared" si="2"/>
        <v>0</v>
      </c>
      <c r="K27" s="5"/>
      <c r="L27" s="5" t="str">
        <f t="shared" si="5"/>
        <v/>
      </c>
      <c r="M27" s="4" t="str">
        <f t="shared" si="3"/>
        <v/>
      </c>
      <c r="N27" s="4" t="str">
        <f t="shared" si="6"/>
        <v>0:00</v>
      </c>
    </row>
    <row r="28" spans="1:14" x14ac:dyDescent="0.25">
      <c r="A28" s="8" t="str">
        <f t="shared" si="7"/>
        <v>Dimanche</v>
      </c>
      <c r="B28" s="10">
        <f t="shared" si="1"/>
        <v>41813</v>
      </c>
      <c r="C28" s="3">
        <f>IFERROR((VLOOKUP(B28,Fériés:Fériés,2,0)),VLOOKUP(A28,Année!$C$2:$C$8:'Année'!$D$2:$D$8,2,0))</f>
        <v>0</v>
      </c>
      <c r="D28" s="4"/>
      <c r="E28" s="4"/>
      <c r="F28" s="5">
        <f t="shared" si="4"/>
        <v>0</v>
      </c>
      <c r="G28" s="4"/>
      <c r="H28" s="5"/>
      <c r="I28" s="5"/>
      <c r="J28" s="5">
        <f t="shared" si="2"/>
        <v>0</v>
      </c>
      <c r="K28" s="5"/>
      <c r="L28" s="5" t="str">
        <f t="shared" si="5"/>
        <v/>
      </c>
      <c r="M28" s="4" t="str">
        <f t="shared" si="3"/>
        <v/>
      </c>
      <c r="N28" s="4" t="str">
        <f t="shared" si="6"/>
        <v>0:00</v>
      </c>
    </row>
    <row r="29" spans="1:14" x14ac:dyDescent="0.25">
      <c r="A29" s="8" t="str">
        <f t="shared" si="7"/>
        <v>Lundi</v>
      </c>
      <c r="B29" s="10">
        <f t="shared" si="1"/>
        <v>41814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4"/>
        <v>0.32291666666666669</v>
      </c>
      <c r="G29" s="4"/>
      <c r="H29" s="5"/>
      <c r="I29" s="5"/>
      <c r="J29" s="5" t="str">
        <f t="shared" si="2"/>
        <v xml:space="preserve"> </v>
      </c>
      <c r="K29" s="5"/>
      <c r="L29" s="5">
        <f t="shared" si="5"/>
        <v>0</v>
      </c>
      <c r="M29" s="4" t="str">
        <f t="shared" si="3"/>
        <v/>
      </c>
      <c r="N29" s="4" t="str">
        <f t="shared" si="6"/>
        <v>0:00</v>
      </c>
    </row>
    <row r="30" spans="1:14" x14ac:dyDescent="0.25">
      <c r="A30" s="8" t="str">
        <f t="shared" si="7"/>
        <v>Mardi</v>
      </c>
      <c r="B30" s="10">
        <f t="shared" si="1"/>
        <v>41815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0.32291666666666669</v>
      </c>
      <c r="G30" s="4"/>
      <c r="H30" s="5"/>
      <c r="I30" s="5"/>
      <c r="J30" s="5" t="str">
        <f t="shared" si="2"/>
        <v xml:space="preserve"> </v>
      </c>
      <c r="K30" s="5"/>
      <c r="L30" s="5">
        <f t="shared" si="5"/>
        <v>0</v>
      </c>
      <c r="M30" s="4" t="str">
        <f t="shared" si="3"/>
        <v/>
      </c>
      <c r="N30" s="4" t="str">
        <f t="shared" si="6"/>
        <v>0:00</v>
      </c>
    </row>
    <row r="31" spans="1:14" x14ac:dyDescent="0.25">
      <c r="A31" s="8" t="str">
        <f t="shared" si="7"/>
        <v>Mercredi</v>
      </c>
      <c r="B31" s="10">
        <f t="shared" si="1"/>
        <v>41816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0.32291666666666669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 x14ac:dyDescent="0.25">
      <c r="A32" s="8" t="str">
        <f t="shared" si="7"/>
        <v>Jeudi</v>
      </c>
      <c r="B32" s="10">
        <f t="shared" si="1"/>
        <v>41817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4"/>
        <v>0.32291666666666669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 x14ac:dyDescent="0.25">
      <c r="A33" s="8" t="str">
        <f t="shared" si="7"/>
        <v>Vendredi</v>
      </c>
      <c r="B33" s="10">
        <f t="shared" si="1"/>
        <v>41818</v>
      </c>
      <c r="C33" s="3">
        <f>IFERROR((VLOOKUP(B33,Fériés:Fériés,2,0)),VLOOKUP(A33,Année!$C$2:$C$8:'Année'!$D$2:$D$8,2,0))</f>
        <v>0.16666666666666666</v>
      </c>
      <c r="D33" s="4"/>
      <c r="E33" s="4"/>
      <c r="F33" s="5">
        <f t="shared" si="4"/>
        <v>0.16666666666666666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 x14ac:dyDescent="0.25">
      <c r="A34" s="8" t="str">
        <f t="shared" si="7"/>
        <v>Samedi</v>
      </c>
      <c r="B34" s="10">
        <f t="shared" si="1"/>
        <v>41819</v>
      </c>
      <c r="C34" s="3">
        <f>IFERROR((VLOOKUP(B34,Fériés:Fériés,2,0)),VLOOKUP(A34,Année!$C$2:$C$8:'Année'!$D$2:$D$8,2,0))</f>
        <v>0</v>
      </c>
      <c r="D34" s="4"/>
      <c r="E34" s="4"/>
      <c r="F34" s="5">
        <f t="shared" si="4"/>
        <v>0</v>
      </c>
      <c r="G34" s="4"/>
      <c r="H34" s="5"/>
      <c r="I34" s="5"/>
      <c r="J34" s="5">
        <f t="shared" si="2"/>
        <v>0</v>
      </c>
      <c r="K34" s="5"/>
      <c r="L34" s="5" t="str">
        <f t="shared" si="5"/>
        <v/>
      </c>
      <c r="M34" s="4" t="str">
        <f t="shared" si="3"/>
        <v/>
      </c>
      <c r="N34" s="4" t="str">
        <f t="shared" si="6"/>
        <v>0:00</v>
      </c>
    </row>
    <row r="35" spans="1:14" x14ac:dyDescent="0.25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 t="str">
        <f t="shared" si="5"/>
        <v/>
      </c>
      <c r="M35" s="4" t="str">
        <f t="shared" ref="M35" si="8">IF(D35="","",IF(AND(A35="Dimanche",D35&gt;0),SUM(D35:G35)*2,IF(A35="samedi",SUM(D35*2.5,E35*1.25,G35*1.25,F35),SUM(D35*2.5,E35*1.25,G35*1.25,))))</f>
        <v/>
      </c>
      <c r="N35" s="4" t="str">
        <f t="shared" si="6"/>
        <v/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6.0000000000000018</v>
      </c>
      <c r="D38" s="39">
        <f t="shared" ref="D38:N38" si="9">SUM(D5:D37)</f>
        <v>0</v>
      </c>
      <c r="E38" s="39">
        <f t="shared" si="9"/>
        <v>0</v>
      </c>
      <c r="F38" s="39">
        <f t="shared" si="9"/>
        <v>6.0000000000000018</v>
      </c>
      <c r="G38" s="39">
        <f t="shared" si="9"/>
        <v>0</v>
      </c>
      <c r="H38" s="39">
        <f t="shared" si="9"/>
        <v>0</v>
      </c>
      <c r="I38" s="39">
        <f t="shared" si="9"/>
        <v>0</v>
      </c>
      <c r="J38" s="39">
        <f t="shared" si="9"/>
        <v>0</v>
      </c>
      <c r="K38" s="39">
        <f t="shared" si="9"/>
        <v>0</v>
      </c>
      <c r="L38" s="39">
        <f t="shared" si="9"/>
        <v>0</v>
      </c>
      <c r="M38" s="39">
        <f t="shared" si="9"/>
        <v>0</v>
      </c>
      <c r="N38" s="39">
        <f t="shared" si="9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113" priority="17">
      <formula>$A5="Dimanche"</formula>
    </cfRule>
    <cfRule type="expression" dxfId="112" priority="18">
      <formula>$A5="Samedi"</formula>
    </cfRule>
  </conditionalFormatting>
  <conditionalFormatting sqref="A5:A37">
    <cfRule type="expression" dxfId="111" priority="16">
      <formula>$M5&lt;&gt;""</formula>
    </cfRule>
  </conditionalFormatting>
  <conditionalFormatting sqref="A36:N36 K5:K35 A5:E35 G5:I35">
    <cfRule type="expression" dxfId="110" priority="19">
      <formula>COUNTIF(Jours_fériés,$B5)=1</formula>
    </cfRule>
  </conditionalFormatting>
  <conditionalFormatting sqref="J5:J35">
    <cfRule type="expression" dxfId="109" priority="13">
      <formula>$A5="Dimanche"</formula>
    </cfRule>
    <cfRule type="expression" dxfId="108" priority="14">
      <formula>$A5="Samedi"</formula>
    </cfRule>
  </conditionalFormatting>
  <conditionalFormatting sqref="J5:J35">
    <cfRule type="expression" dxfId="107" priority="15">
      <formula>COUNTIF(Jours_fériés,$B5)=1</formula>
    </cfRule>
  </conditionalFormatting>
  <conditionalFormatting sqref="L35:N35 L5:L34 N5:N34">
    <cfRule type="expression" dxfId="106" priority="10">
      <formula>COUNTIF(Jours_fériés,$B5)=1</formula>
    </cfRule>
    <cfRule type="expression" dxfId="105" priority="12">
      <formula>$A5="Samedi"</formula>
    </cfRule>
  </conditionalFormatting>
  <conditionalFormatting sqref="L35:N35 L5:L34 N5:N34">
    <cfRule type="expression" dxfId="104" priority="11">
      <formula>$A5="Dimanche"</formula>
    </cfRule>
  </conditionalFormatting>
  <conditionalFormatting sqref="F5:F35">
    <cfRule type="expression" dxfId="103" priority="7">
      <formula>$A5="Dimanche"</formula>
    </cfRule>
    <cfRule type="expression" dxfId="102" priority="8">
      <formula>$A5="Samedi"</formula>
    </cfRule>
  </conditionalFormatting>
  <conditionalFormatting sqref="F5:F35">
    <cfRule type="expression" dxfId="101" priority="9">
      <formula>COUNTIF(Jours_fériés,$B5)=1</formula>
    </cfRule>
  </conditionalFormatting>
  <conditionalFormatting sqref="M5:M34">
    <cfRule type="expression" dxfId="100" priority="1">
      <formula>COUNTIF(Jours_fériés,$B5)=1</formula>
    </cfRule>
    <cfRule type="expression" dxfId="99" priority="3">
      <formula>$A5="Samedi"</formula>
    </cfRule>
  </conditionalFormatting>
  <conditionalFormatting sqref="M5:M34">
    <cfRule type="expression" dxfId="98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39"/>
  <sheetViews>
    <sheetView workbookViewId="0">
      <pane ySplit="4" topLeftCell="A22" activePane="bottomLeft" state="frozen"/>
      <selection activeCell="B36" sqref="B36"/>
      <selection pane="bottomLeft" activeCell="M5" sqref="M5:M35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DATE(Année!B1,7,1)</f>
        <v>41820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Dimanche</v>
      </c>
      <c r="B5" s="10">
        <f t="shared" ref="B5:B35" si="1">DATE(An,7,ROW(1:31))</f>
        <v>41820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5" si="2">IF(C5=0,VLOOKUP(A5,Horaires,2,FALSE)," ")</f>
        <v>0</v>
      </c>
      <c r="K5" s="5"/>
      <c r="L5" s="5" t="str">
        <f>IF(A5="dimanche","",IF(A5="samedi","",IF(F5&lt;=0,"",(IF(H5="",F5-C5,H5-C5))+(I5+K5+N5))))</f>
        <v/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Lundi</v>
      </c>
      <c r="B6" s="10">
        <f t="shared" si="1"/>
        <v>41821</v>
      </c>
      <c r="C6" s="3">
        <f>IFERROR((VLOOKUP(B6,Fériés:Fériés,2,0)),VLOOKUP(A6,Année!$C$2:$C$8:'Année'!$D$2:$D$8,2,0))</f>
        <v>0.32291666666666669</v>
      </c>
      <c r="D6" s="4"/>
      <c r="E6" s="4"/>
      <c r="F6" s="5">
        <f t="shared" ref="F6:F35" si="4">IF(K6="",C6,0)</f>
        <v>0.32291666666666669</v>
      </c>
      <c r="G6" s="4"/>
      <c r="H6" s="5"/>
      <c r="I6" s="5"/>
      <c r="J6" s="5" t="str">
        <f t="shared" si="2"/>
        <v xml:space="preserve"> </v>
      </c>
      <c r="K6" s="5"/>
      <c r="L6" s="5">
        <f t="shared" ref="L6:L35" si="5">IF(A6="dimanche","",IF(A6="samedi","",IF(F6&lt;=0,"",(IF(H6="",F6-C6,H6-C6))+(I6+K6+N6))))</f>
        <v>0</v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 x14ac:dyDescent="0.25">
      <c r="A7" s="8" t="str">
        <f t="shared" si="0"/>
        <v>Mardi</v>
      </c>
      <c r="B7" s="10">
        <f t="shared" si="1"/>
        <v>41822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 x14ac:dyDescent="0.25">
      <c r="A8" s="8" t="str">
        <f t="shared" si="0"/>
        <v>Mercredi</v>
      </c>
      <c r="B8" s="10">
        <f t="shared" si="1"/>
        <v>41823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 x14ac:dyDescent="0.25">
      <c r="A9" s="8" t="str">
        <f>CHOOSE(WEEKDAY(B9),"Dimanche","Lundi","Mardi","Mercredi","Jeudi","Vendredi","Samedi")</f>
        <v>Jeudi</v>
      </c>
      <c r="B9" s="10">
        <f t="shared" si="1"/>
        <v>41824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 x14ac:dyDescent="0.25">
      <c r="A10" s="8" t="str">
        <f t="shared" ref="A10:A35" si="7">CHOOSE(WEEKDAY(B10),"Dimanche","Lundi","Mardi","Mercredi","Jeudi","Vendredi","Samedi")</f>
        <v>Vendredi</v>
      </c>
      <c r="B10" s="10">
        <f t="shared" si="1"/>
        <v>41825</v>
      </c>
      <c r="C10" s="3">
        <f>IFERROR((VLOOKUP(B10,Fériés:Fériés,2,0)),VLOOKUP(A10,Année!$C$2:$C$8:'Année'!$D$2:$D$8,2,0))</f>
        <v>0.16666666666666666</v>
      </c>
      <c r="D10" s="4"/>
      <c r="E10" s="4"/>
      <c r="F10" s="5">
        <f t="shared" si="4"/>
        <v>0.16666666666666666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 x14ac:dyDescent="0.25">
      <c r="A11" s="8" t="str">
        <f t="shared" si="7"/>
        <v>Samedi</v>
      </c>
      <c r="B11" s="10">
        <f t="shared" si="1"/>
        <v>41826</v>
      </c>
      <c r="C11" s="3">
        <f>IFERROR((VLOOKUP(B11,Fériés:Fériés,2,0)),VLOOKUP(A11,Année!$C$2:$C$8:'Année'!$D$2:$D$8,2,0))</f>
        <v>0</v>
      </c>
      <c r="D11" s="4"/>
      <c r="E11" s="4"/>
      <c r="F11" s="5">
        <f t="shared" si="4"/>
        <v>0</v>
      </c>
      <c r="G11" s="4"/>
      <c r="H11" s="5"/>
      <c r="I11" s="5"/>
      <c r="J11" s="5">
        <f t="shared" si="2"/>
        <v>0</v>
      </c>
      <c r="K11" s="5"/>
      <c r="L11" s="5" t="str">
        <f t="shared" si="5"/>
        <v/>
      </c>
      <c r="M11" s="4" t="str">
        <f t="shared" si="3"/>
        <v/>
      </c>
      <c r="N11" s="4" t="str">
        <f t="shared" si="6"/>
        <v>0:00</v>
      </c>
    </row>
    <row r="12" spans="1:14" x14ac:dyDescent="0.25">
      <c r="A12" s="8" t="str">
        <f t="shared" si="7"/>
        <v>Dimanche</v>
      </c>
      <c r="B12" s="10">
        <f t="shared" si="1"/>
        <v>41827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4"/>
        <v>0</v>
      </c>
      <c r="G12" s="4"/>
      <c r="H12" s="5"/>
      <c r="I12" s="5"/>
      <c r="J12" s="5">
        <f t="shared" si="2"/>
        <v>0</v>
      </c>
      <c r="K12" s="5"/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 x14ac:dyDescent="0.25">
      <c r="A13" s="8" t="str">
        <f t="shared" si="7"/>
        <v>Lundi</v>
      </c>
      <c r="B13" s="10">
        <f t="shared" si="1"/>
        <v>41828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4"/>
        <v>0.32291666666666669</v>
      </c>
      <c r="G13" s="4"/>
      <c r="H13" s="5"/>
      <c r="I13" s="5"/>
      <c r="J13" s="5" t="str">
        <f t="shared" si="2"/>
        <v xml:space="preserve"> </v>
      </c>
      <c r="K13" s="5"/>
      <c r="L13" s="5">
        <f t="shared" si="5"/>
        <v>0</v>
      </c>
      <c r="M13" s="4" t="str">
        <f t="shared" si="3"/>
        <v/>
      </c>
      <c r="N13" s="4" t="str">
        <f t="shared" si="6"/>
        <v>0:00</v>
      </c>
    </row>
    <row r="14" spans="1:14" x14ac:dyDescent="0.25">
      <c r="A14" s="8" t="str">
        <f t="shared" si="7"/>
        <v>Mardi</v>
      </c>
      <c r="B14" s="10">
        <f t="shared" si="1"/>
        <v>41829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4"/>
        <v>0.32291666666666669</v>
      </c>
      <c r="G14" s="4"/>
      <c r="H14" s="5"/>
      <c r="I14" s="5"/>
      <c r="J14" s="5" t="str">
        <f t="shared" si="2"/>
        <v xml:space="preserve"> </v>
      </c>
      <c r="K14" s="5"/>
      <c r="L14" s="5">
        <f t="shared" si="5"/>
        <v>0</v>
      </c>
      <c r="M14" s="4" t="str">
        <f t="shared" si="3"/>
        <v/>
      </c>
      <c r="N14" s="4" t="str">
        <f t="shared" si="6"/>
        <v>0:00</v>
      </c>
    </row>
    <row r="15" spans="1:14" x14ac:dyDescent="0.25">
      <c r="A15" s="8" t="str">
        <f t="shared" si="7"/>
        <v>Mercredi</v>
      </c>
      <c r="B15" s="10">
        <f t="shared" si="1"/>
        <v>41830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 x14ac:dyDescent="0.25">
      <c r="A16" s="8" t="str">
        <f t="shared" si="7"/>
        <v>Jeudi</v>
      </c>
      <c r="B16" s="10">
        <f t="shared" si="1"/>
        <v>41831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 x14ac:dyDescent="0.25">
      <c r="A17" s="8" t="str">
        <f t="shared" si="7"/>
        <v>Vendredi</v>
      </c>
      <c r="B17" s="10">
        <f t="shared" si="1"/>
        <v>41832</v>
      </c>
      <c r="C17" s="3">
        <f>IFERROR((VLOOKUP(B17,Fériés:Fériés,2,0)),VLOOKUP(A17,Année!$C$2:$C$8:'Année'!$D$2:$D$8,2,0))</f>
        <v>0.16666666666666666</v>
      </c>
      <c r="D17" s="4"/>
      <c r="E17" s="4"/>
      <c r="F17" s="5">
        <f t="shared" si="4"/>
        <v>0.16666666666666666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 x14ac:dyDescent="0.25">
      <c r="A18" s="8" t="str">
        <f t="shared" si="7"/>
        <v>Samedi</v>
      </c>
      <c r="B18" s="10">
        <f t="shared" si="1"/>
        <v>41833</v>
      </c>
      <c r="C18" s="3">
        <f>IFERROR((VLOOKUP(B18,Fériés:Fériés,2,0)),VLOOKUP(A18,Année!$C$2:$C$8:'Année'!$D$2:$D$8,2,0))</f>
        <v>0</v>
      </c>
      <c r="D18" s="4"/>
      <c r="E18" s="4"/>
      <c r="F18" s="5">
        <f t="shared" si="4"/>
        <v>0</v>
      </c>
      <c r="G18" s="4"/>
      <c r="H18" s="5"/>
      <c r="I18" s="5"/>
      <c r="J18" s="5">
        <f t="shared" si="2"/>
        <v>0</v>
      </c>
      <c r="K18" s="5"/>
      <c r="L18" s="5" t="str">
        <f t="shared" si="5"/>
        <v/>
      </c>
      <c r="M18" s="4" t="str">
        <f t="shared" si="3"/>
        <v/>
      </c>
      <c r="N18" s="4" t="str">
        <f t="shared" si="6"/>
        <v>0:00</v>
      </c>
    </row>
    <row r="19" spans="1:14" x14ac:dyDescent="0.25">
      <c r="A19" s="8" t="str">
        <f t="shared" si="7"/>
        <v>Dimanche</v>
      </c>
      <c r="B19" s="10">
        <f t="shared" si="1"/>
        <v>41834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4"/>
        <v>0</v>
      </c>
      <c r="G19" s="4"/>
      <c r="H19" s="5"/>
      <c r="I19" s="5"/>
      <c r="J19" s="5">
        <f t="shared" si="2"/>
        <v>0</v>
      </c>
      <c r="K19" s="5"/>
      <c r="L19" s="5" t="str">
        <f t="shared" si="5"/>
        <v/>
      </c>
      <c r="M19" s="4" t="str">
        <f t="shared" si="3"/>
        <v/>
      </c>
      <c r="N19" s="4" t="str">
        <f t="shared" si="6"/>
        <v>0:00</v>
      </c>
    </row>
    <row r="20" spans="1:14" x14ac:dyDescent="0.25">
      <c r="A20" s="8" t="str">
        <f t="shared" si="7"/>
        <v>Lundi</v>
      </c>
      <c r="B20" s="10">
        <f t="shared" si="1"/>
        <v>41835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4"/>
        <v>0.32291666666666669</v>
      </c>
      <c r="G20" s="4"/>
      <c r="H20" s="5"/>
      <c r="I20" s="5"/>
      <c r="J20" s="5" t="str">
        <f t="shared" si="2"/>
        <v xml:space="preserve"> </v>
      </c>
      <c r="K20" s="5"/>
      <c r="L20" s="5">
        <f t="shared" si="5"/>
        <v>0</v>
      </c>
      <c r="M20" s="4" t="str">
        <f t="shared" si="3"/>
        <v/>
      </c>
      <c r="N20" s="4" t="str">
        <f t="shared" si="6"/>
        <v>0:00</v>
      </c>
    </row>
    <row r="21" spans="1:14" x14ac:dyDescent="0.25">
      <c r="A21" s="8" t="str">
        <f t="shared" si="7"/>
        <v>Mardi</v>
      </c>
      <c r="B21" s="10">
        <f t="shared" si="1"/>
        <v>41836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 x14ac:dyDescent="0.25">
      <c r="A22" s="8" t="str">
        <f t="shared" si="7"/>
        <v>Mercredi</v>
      </c>
      <c r="B22" s="10">
        <f t="shared" si="1"/>
        <v>41837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 x14ac:dyDescent="0.25">
      <c r="A23" s="8" t="str">
        <f t="shared" si="7"/>
        <v>Jeudi</v>
      </c>
      <c r="B23" s="10">
        <f t="shared" si="1"/>
        <v>41838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 x14ac:dyDescent="0.25">
      <c r="A24" s="8" t="str">
        <f t="shared" si="7"/>
        <v>Vendredi</v>
      </c>
      <c r="B24" s="10">
        <f t="shared" si="1"/>
        <v>41839</v>
      </c>
      <c r="C24" s="3">
        <f>IFERROR((VLOOKUP(B24,Fériés:Fériés,2,0)),VLOOKUP(A24,Année!$C$2:$C$8:'Année'!$D$2:$D$8,2,0))</f>
        <v>0.16666666666666666</v>
      </c>
      <c r="D24" s="4"/>
      <c r="E24" s="4"/>
      <c r="F24" s="5">
        <f t="shared" si="4"/>
        <v>0.16666666666666666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 x14ac:dyDescent="0.25">
      <c r="A25" s="8" t="str">
        <f t="shared" si="7"/>
        <v>Samedi</v>
      </c>
      <c r="B25" s="10">
        <f t="shared" si="1"/>
        <v>41840</v>
      </c>
      <c r="C25" s="3">
        <f>IFERROR((VLOOKUP(B25,Fériés:Fériés,2,0)),VLOOKUP(A25,Année!$C$2:$C$8:'Année'!$D$2:$D$8,2,0))</f>
        <v>0</v>
      </c>
      <c r="D25" s="4"/>
      <c r="E25" s="4"/>
      <c r="F25" s="5">
        <f t="shared" si="4"/>
        <v>0</v>
      </c>
      <c r="G25" s="4"/>
      <c r="H25" s="5"/>
      <c r="I25" s="5"/>
      <c r="J25" s="5">
        <f t="shared" si="2"/>
        <v>0</v>
      </c>
      <c r="K25" s="5"/>
      <c r="L25" s="5" t="str">
        <f t="shared" si="5"/>
        <v/>
      </c>
      <c r="M25" s="4" t="str">
        <f t="shared" si="3"/>
        <v/>
      </c>
      <c r="N25" s="4" t="str">
        <f t="shared" si="6"/>
        <v>0:00</v>
      </c>
    </row>
    <row r="26" spans="1:14" x14ac:dyDescent="0.25">
      <c r="A26" s="8" t="str">
        <f t="shared" si="7"/>
        <v>Dimanche</v>
      </c>
      <c r="B26" s="10">
        <f t="shared" si="1"/>
        <v>41841</v>
      </c>
      <c r="C26" s="3">
        <f>IFERROR((VLOOKUP(B26,Fériés:Fériés,2,0)),VLOOKUP(A26,Année!$C$2:$C$8:'Année'!$D$2:$D$8,2,0))</f>
        <v>0</v>
      </c>
      <c r="D26" s="4"/>
      <c r="E26" s="4"/>
      <c r="F26" s="5">
        <f t="shared" si="4"/>
        <v>0</v>
      </c>
      <c r="G26" s="4"/>
      <c r="H26" s="5"/>
      <c r="I26" s="5"/>
      <c r="J26" s="5">
        <f t="shared" si="2"/>
        <v>0</v>
      </c>
      <c r="K26" s="5"/>
      <c r="L26" s="5" t="str">
        <f t="shared" si="5"/>
        <v/>
      </c>
      <c r="M26" s="4" t="str">
        <f t="shared" si="3"/>
        <v/>
      </c>
      <c r="N26" s="4" t="str">
        <f t="shared" si="6"/>
        <v>0:00</v>
      </c>
    </row>
    <row r="27" spans="1:14" x14ac:dyDescent="0.25">
      <c r="A27" s="8" t="str">
        <f t="shared" si="7"/>
        <v>Lundi</v>
      </c>
      <c r="B27" s="10">
        <f t="shared" si="1"/>
        <v>41842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4"/>
        <v>0.32291666666666669</v>
      </c>
      <c r="G27" s="4"/>
      <c r="H27" s="5"/>
      <c r="I27" s="5"/>
      <c r="J27" s="5" t="str">
        <f t="shared" si="2"/>
        <v xml:space="preserve"> </v>
      </c>
      <c r="K27" s="5"/>
      <c r="L27" s="5">
        <f t="shared" si="5"/>
        <v>0</v>
      </c>
      <c r="M27" s="4" t="str">
        <f t="shared" si="3"/>
        <v/>
      </c>
      <c r="N27" s="4" t="str">
        <f t="shared" si="6"/>
        <v>0:00</v>
      </c>
    </row>
    <row r="28" spans="1:14" x14ac:dyDescent="0.25">
      <c r="A28" s="8" t="str">
        <f t="shared" si="7"/>
        <v>Mardi</v>
      </c>
      <c r="B28" s="10">
        <f t="shared" si="1"/>
        <v>41843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0.32291666666666669</v>
      </c>
      <c r="G28" s="4"/>
      <c r="H28" s="5"/>
      <c r="I28" s="5"/>
      <c r="J28" s="5" t="str">
        <f t="shared" si="2"/>
        <v xml:space="preserve"> </v>
      </c>
      <c r="K28" s="5"/>
      <c r="L28" s="5">
        <f t="shared" si="5"/>
        <v>0</v>
      </c>
      <c r="M28" s="4" t="str">
        <f t="shared" si="3"/>
        <v/>
      </c>
      <c r="N28" s="4" t="str">
        <f t="shared" si="6"/>
        <v>0:00</v>
      </c>
    </row>
    <row r="29" spans="1:14" x14ac:dyDescent="0.25">
      <c r="A29" s="8" t="str">
        <f t="shared" si="7"/>
        <v>Mercredi</v>
      </c>
      <c r="B29" s="10">
        <f t="shared" si="1"/>
        <v>41844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4"/>
        <v>0.32291666666666669</v>
      </c>
      <c r="G29" s="4"/>
      <c r="H29" s="5"/>
      <c r="I29" s="5"/>
      <c r="J29" s="5" t="str">
        <f t="shared" si="2"/>
        <v xml:space="preserve"> </v>
      </c>
      <c r="K29" s="5"/>
      <c r="L29" s="5">
        <f t="shared" si="5"/>
        <v>0</v>
      </c>
      <c r="M29" s="4" t="str">
        <f t="shared" si="3"/>
        <v/>
      </c>
      <c r="N29" s="4" t="str">
        <f t="shared" si="6"/>
        <v>0:00</v>
      </c>
    </row>
    <row r="30" spans="1:14" x14ac:dyDescent="0.25">
      <c r="A30" s="8" t="str">
        <f t="shared" si="7"/>
        <v>Jeudi</v>
      </c>
      <c r="B30" s="10">
        <f t="shared" si="1"/>
        <v>41845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0.32291666666666669</v>
      </c>
      <c r="G30" s="4"/>
      <c r="H30" s="5"/>
      <c r="I30" s="5"/>
      <c r="J30" s="5" t="str">
        <f t="shared" si="2"/>
        <v xml:space="preserve"> </v>
      </c>
      <c r="K30" s="5"/>
      <c r="L30" s="5">
        <f t="shared" si="5"/>
        <v>0</v>
      </c>
      <c r="M30" s="4" t="str">
        <f t="shared" si="3"/>
        <v/>
      </c>
      <c r="N30" s="4" t="str">
        <f t="shared" si="6"/>
        <v>0:00</v>
      </c>
    </row>
    <row r="31" spans="1:14" x14ac:dyDescent="0.25">
      <c r="A31" s="8" t="str">
        <f t="shared" si="7"/>
        <v>Vendredi</v>
      </c>
      <c r="B31" s="10">
        <f t="shared" si="1"/>
        <v>41846</v>
      </c>
      <c r="C31" s="3">
        <f>IFERROR((VLOOKUP(B31,Fériés:Fériés,2,0)),VLOOKUP(A31,Année!$C$2:$C$8:'Année'!$D$2:$D$8,2,0))</f>
        <v>0.16666666666666666</v>
      </c>
      <c r="D31" s="4"/>
      <c r="E31" s="4"/>
      <c r="F31" s="5">
        <f t="shared" si="4"/>
        <v>0.16666666666666666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 x14ac:dyDescent="0.25">
      <c r="A32" s="8" t="str">
        <f t="shared" si="7"/>
        <v>Samedi</v>
      </c>
      <c r="B32" s="10">
        <f t="shared" si="1"/>
        <v>41847</v>
      </c>
      <c r="C32" s="3">
        <f>IFERROR((VLOOKUP(B32,Fériés:Fériés,2,0)),VLOOKUP(A32,Année!$C$2:$C$8:'Année'!$D$2:$D$8,2,0))</f>
        <v>0</v>
      </c>
      <c r="D32" s="4"/>
      <c r="E32" s="4"/>
      <c r="F32" s="5">
        <f t="shared" si="4"/>
        <v>0</v>
      </c>
      <c r="G32" s="4"/>
      <c r="H32" s="5"/>
      <c r="I32" s="5"/>
      <c r="J32" s="5">
        <f t="shared" si="2"/>
        <v>0</v>
      </c>
      <c r="K32" s="5"/>
      <c r="L32" s="5" t="str">
        <f t="shared" si="5"/>
        <v/>
      </c>
      <c r="M32" s="4" t="str">
        <f t="shared" si="3"/>
        <v/>
      </c>
      <c r="N32" s="4" t="str">
        <f t="shared" si="6"/>
        <v>0:00</v>
      </c>
    </row>
    <row r="33" spans="1:14" x14ac:dyDescent="0.25">
      <c r="A33" s="8" t="str">
        <f t="shared" si="7"/>
        <v>Dimanche</v>
      </c>
      <c r="B33" s="10">
        <f t="shared" si="1"/>
        <v>41848</v>
      </c>
      <c r="C33" s="3">
        <f>IFERROR((VLOOKUP(B33,Fériés:Fériés,2,0)),VLOOKUP(A33,Année!$C$2:$C$8:'Année'!$D$2:$D$8,2,0))</f>
        <v>0</v>
      </c>
      <c r="D33" s="4"/>
      <c r="E33" s="4"/>
      <c r="F33" s="5">
        <f t="shared" si="4"/>
        <v>0</v>
      </c>
      <c r="G33" s="4"/>
      <c r="H33" s="5"/>
      <c r="I33" s="5"/>
      <c r="J33" s="5">
        <f t="shared" si="2"/>
        <v>0</v>
      </c>
      <c r="K33" s="5"/>
      <c r="L33" s="5" t="str">
        <f t="shared" si="5"/>
        <v/>
      </c>
      <c r="M33" s="4" t="str">
        <f t="shared" si="3"/>
        <v/>
      </c>
      <c r="N33" s="4" t="str">
        <f t="shared" si="6"/>
        <v>0:00</v>
      </c>
    </row>
    <row r="34" spans="1:14" x14ac:dyDescent="0.25">
      <c r="A34" s="8" t="str">
        <f t="shared" si="7"/>
        <v>Lundi</v>
      </c>
      <c r="B34" s="10">
        <f t="shared" si="1"/>
        <v>41849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4"/>
        <v>0</v>
      </c>
      <c r="G34" s="4"/>
      <c r="H34" s="5"/>
      <c r="I34" s="5"/>
      <c r="J34" s="5" t="str">
        <f t="shared" si="2"/>
        <v xml:space="preserve"> </v>
      </c>
      <c r="K34" s="5">
        <v>0.32291666666666669</v>
      </c>
      <c r="L34" s="5" t="str">
        <f t="shared" si="5"/>
        <v/>
      </c>
      <c r="M34" s="4" t="str">
        <f t="shared" si="3"/>
        <v/>
      </c>
      <c r="N34" s="4" t="str">
        <f t="shared" si="6"/>
        <v>0:00</v>
      </c>
    </row>
    <row r="35" spans="1:14" x14ac:dyDescent="0.25">
      <c r="A35" s="8" t="str">
        <f t="shared" si="7"/>
        <v>Mardi</v>
      </c>
      <c r="B35" s="10">
        <f t="shared" si="1"/>
        <v>41850</v>
      </c>
      <c r="C35" s="3">
        <f>IFERROR((VLOOKUP(B35,Fériés:Fériés,2,0)),VLOOKUP(A35,Année!$C$2:$C$8:'Année'!$D$2:$D$8,2,0))</f>
        <v>0.32291666666666669</v>
      </c>
      <c r="D35" s="4"/>
      <c r="E35" s="4"/>
      <c r="F35" s="5">
        <f t="shared" si="4"/>
        <v>0</v>
      </c>
      <c r="G35" s="4"/>
      <c r="H35" s="5"/>
      <c r="I35" s="5"/>
      <c r="J35" s="5" t="str">
        <f t="shared" si="2"/>
        <v xml:space="preserve"> </v>
      </c>
      <c r="K35" s="5">
        <v>0.32291666666666669</v>
      </c>
      <c r="L35" s="5" t="str">
        <f t="shared" si="5"/>
        <v/>
      </c>
      <c r="M35" s="4" t="str">
        <f t="shared" si="3"/>
        <v/>
      </c>
      <c r="N35" s="4" t="str">
        <f t="shared" si="6"/>
        <v>0:00</v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6.4791666666666687</v>
      </c>
      <c r="D38" s="39">
        <f t="shared" ref="D38:N38" si="8">SUM(D5:D37)</f>
        <v>0</v>
      </c>
      <c r="E38" s="39">
        <f t="shared" si="8"/>
        <v>0</v>
      </c>
      <c r="F38" s="39">
        <f t="shared" si="8"/>
        <v>5.8333333333333348</v>
      </c>
      <c r="G38" s="39">
        <f t="shared" si="8"/>
        <v>0</v>
      </c>
      <c r="H38" s="39">
        <f t="shared" si="8"/>
        <v>0</v>
      </c>
      <c r="I38" s="39">
        <f t="shared" si="8"/>
        <v>0</v>
      </c>
      <c r="J38" s="39">
        <f t="shared" si="8"/>
        <v>0</v>
      </c>
      <c r="K38" s="39">
        <f t="shared" si="8"/>
        <v>0.64583333333333337</v>
      </c>
      <c r="L38" s="39">
        <f t="shared" si="8"/>
        <v>0</v>
      </c>
      <c r="M38" s="39">
        <f t="shared" si="8"/>
        <v>0</v>
      </c>
      <c r="N38" s="39">
        <f t="shared" si="8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97" priority="14">
      <formula>$A5="Dimanche"</formula>
    </cfRule>
    <cfRule type="expression" dxfId="96" priority="15">
      <formula>$A5="Samedi"</formula>
    </cfRule>
  </conditionalFormatting>
  <conditionalFormatting sqref="A5:A37">
    <cfRule type="expression" dxfId="95" priority="13">
      <formula>$M5&lt;&gt;""</formula>
    </cfRule>
  </conditionalFormatting>
  <conditionalFormatting sqref="A36:N36 K5:K35 A5:E35 G5:I35">
    <cfRule type="expression" dxfId="94" priority="16">
      <formula>COUNTIF(Jours_fériés,$B5)=1</formula>
    </cfRule>
  </conditionalFormatting>
  <conditionalFormatting sqref="J5:J35">
    <cfRule type="expression" dxfId="93" priority="10">
      <formula>$A5="Dimanche"</formula>
    </cfRule>
    <cfRule type="expression" dxfId="92" priority="11">
      <formula>$A5="Samedi"</formula>
    </cfRule>
  </conditionalFormatting>
  <conditionalFormatting sqref="J5:J35">
    <cfRule type="expression" dxfId="91" priority="12">
      <formula>COUNTIF(Jours_fériés,$B5)=1</formula>
    </cfRule>
  </conditionalFormatting>
  <conditionalFormatting sqref="L5:L35 N5:N35">
    <cfRule type="expression" dxfId="90" priority="7">
      <formula>COUNTIF(Jours_fériés,$B5)=1</formula>
    </cfRule>
    <cfRule type="expression" dxfId="89" priority="9">
      <formula>$A5="Samedi"</formula>
    </cfRule>
  </conditionalFormatting>
  <conditionalFormatting sqref="L5:L35 N5:N35">
    <cfRule type="expression" dxfId="88" priority="8">
      <formula>$A5="Dimanche"</formula>
    </cfRule>
  </conditionalFormatting>
  <conditionalFormatting sqref="F5:F35">
    <cfRule type="expression" dxfId="87" priority="4">
      <formula>$A5="Dimanche"</formula>
    </cfRule>
    <cfRule type="expression" dxfId="86" priority="5">
      <formula>$A5="Samedi"</formula>
    </cfRule>
  </conditionalFormatting>
  <conditionalFormatting sqref="F5:F35">
    <cfRule type="expression" dxfId="85" priority="6">
      <formula>COUNTIF(Jours_fériés,$B5)=1</formula>
    </cfRule>
  </conditionalFormatting>
  <conditionalFormatting sqref="M5:M35">
    <cfRule type="expression" dxfId="84" priority="1">
      <formula>COUNTIF(Jours_fériés,$B5)=1</formula>
    </cfRule>
    <cfRule type="expression" dxfId="83" priority="3">
      <formula>$A5="Samedi"</formula>
    </cfRule>
  </conditionalFormatting>
  <conditionalFormatting sqref="M5:M35">
    <cfRule type="expression" dxfId="82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39"/>
  <sheetViews>
    <sheetView workbookViewId="0">
      <pane ySplit="4" topLeftCell="A22" activePane="bottomLeft" state="frozen"/>
      <selection activeCell="B36" sqref="B36"/>
      <selection pane="bottomLeft" activeCell="M5" sqref="M5:M35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DATE(Année!B1,8,1)</f>
        <v>41851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Mercredi</v>
      </c>
      <c r="B5" s="10">
        <f t="shared" ref="B5:B35" si="1">DATE(An,8,ROW(1:31))</f>
        <v>41851</v>
      </c>
      <c r="C5" s="3">
        <f>IFERROR((VLOOKUP(B5,Fériés:Fériés,2,0)),VLOOKUP(A5,Année!$C$2:$C$8:'Année'!$D$2:$D$8,2,0))</f>
        <v>0.32291666666666669</v>
      </c>
      <c r="D5" s="4"/>
      <c r="E5" s="4"/>
      <c r="F5" s="5">
        <f>IF(K5="",C5,0)</f>
        <v>0</v>
      </c>
      <c r="G5" s="4"/>
      <c r="H5" s="5"/>
      <c r="I5" s="5"/>
      <c r="J5" s="5" t="str">
        <f t="shared" ref="J5:J35" si="2">IF(C5=0,VLOOKUP(A5,Horaires,2,FALSE)," ")</f>
        <v xml:space="preserve"> </v>
      </c>
      <c r="K5" s="5">
        <v>0.32291666666666669</v>
      </c>
      <c r="L5" s="5" t="str">
        <f>IF(A5="dimanche","",IF(A5="samedi","",IF(F5&lt;=0,"",(IF(H5="",F5-C5,H5-C5))+(I5+K5+N5))))</f>
        <v/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Jeudi</v>
      </c>
      <c r="B6" s="10">
        <f t="shared" si="1"/>
        <v>41852</v>
      </c>
      <c r="C6" s="3">
        <f>IFERROR((VLOOKUP(B6,Fériés:Fériés,2,0)),VLOOKUP(A6,Année!$C$2:$C$8:'Année'!$D$2:$D$8,2,0))</f>
        <v>0.32291666666666669</v>
      </c>
      <c r="D6" s="4"/>
      <c r="E6" s="4"/>
      <c r="F6" s="5">
        <f t="shared" ref="F6:F35" si="4">IF(K6="",C6,0)</f>
        <v>0</v>
      </c>
      <c r="G6" s="4"/>
      <c r="H6" s="5"/>
      <c r="I6" s="5"/>
      <c r="J6" s="5" t="str">
        <f t="shared" si="2"/>
        <v xml:space="preserve"> </v>
      </c>
      <c r="K6" s="5">
        <v>0.32291666666666669</v>
      </c>
      <c r="L6" s="5" t="str">
        <f t="shared" ref="L6:L35" si="5">IF(A6="dimanche","",IF(A6="samedi","",IF(F6&lt;=0,"",(IF(H6="",F6-C6,H6-C6))+(I6+K6+N6))))</f>
        <v/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 x14ac:dyDescent="0.25">
      <c r="A7" s="8" t="str">
        <f t="shared" si="0"/>
        <v>Vendredi</v>
      </c>
      <c r="B7" s="10">
        <f t="shared" si="1"/>
        <v>41853</v>
      </c>
      <c r="C7" s="3">
        <f>IFERROR((VLOOKUP(B7,Fériés:Fériés,2,0)),VLOOKUP(A7,Année!$C$2:$C$8:'Année'!$D$2:$D$8,2,0))</f>
        <v>0.16666666666666666</v>
      </c>
      <c r="D7" s="4"/>
      <c r="E7" s="4"/>
      <c r="F7" s="5">
        <f t="shared" si="4"/>
        <v>0</v>
      </c>
      <c r="G7" s="4"/>
      <c r="H7" s="5"/>
      <c r="I7" s="5"/>
      <c r="J7" s="5" t="str">
        <f t="shared" si="2"/>
        <v xml:space="preserve"> </v>
      </c>
      <c r="K7" s="5">
        <v>0.16666666666666666</v>
      </c>
      <c r="L7" s="5" t="str">
        <f t="shared" si="5"/>
        <v/>
      </c>
      <c r="M7" s="4" t="str">
        <f t="shared" si="3"/>
        <v/>
      </c>
      <c r="N7" s="4" t="str">
        <f t="shared" si="6"/>
        <v>0:00</v>
      </c>
    </row>
    <row r="8" spans="1:14" x14ac:dyDescent="0.25">
      <c r="A8" s="8" t="str">
        <f t="shared" si="0"/>
        <v>Samedi</v>
      </c>
      <c r="B8" s="10">
        <f t="shared" si="1"/>
        <v>41854</v>
      </c>
      <c r="C8" s="3">
        <f>IFERROR((VLOOKUP(B8,Fériés:Fériés,2,0)),VLOOKUP(A8,Année!$C$2:$C$8:'Année'!$D$2:$D$8,2,0))</f>
        <v>0</v>
      </c>
      <c r="D8" s="4"/>
      <c r="E8" s="4"/>
      <c r="F8" s="5">
        <f t="shared" si="4"/>
        <v>0</v>
      </c>
      <c r="G8" s="4"/>
      <c r="H8" s="5"/>
      <c r="I8" s="5"/>
      <c r="J8" s="5">
        <f t="shared" si="2"/>
        <v>0</v>
      </c>
      <c r="K8" s="5"/>
      <c r="L8" s="5" t="str">
        <f t="shared" si="5"/>
        <v/>
      </c>
      <c r="M8" s="4" t="str">
        <f t="shared" si="3"/>
        <v/>
      </c>
      <c r="N8" s="4" t="str">
        <f t="shared" si="6"/>
        <v>0:00</v>
      </c>
    </row>
    <row r="9" spans="1:14" x14ac:dyDescent="0.25">
      <c r="A9" s="8" t="str">
        <f>CHOOSE(WEEKDAY(B9),"Dimanche","Lundi","Mardi","Mercredi","Jeudi","Vendredi","Samedi")</f>
        <v>Dimanche</v>
      </c>
      <c r="B9" s="10">
        <f t="shared" si="1"/>
        <v>41855</v>
      </c>
      <c r="C9" s="3">
        <f>IFERROR((VLOOKUP(B9,Fériés:Fériés,2,0)),VLOOKUP(A9,Année!$C$2:$C$8:'Année'!$D$2:$D$8,2,0))</f>
        <v>0</v>
      </c>
      <c r="D9" s="4"/>
      <c r="E9" s="4"/>
      <c r="F9" s="5">
        <f t="shared" si="4"/>
        <v>0</v>
      </c>
      <c r="G9" s="4"/>
      <c r="H9" s="5"/>
      <c r="I9" s="5"/>
      <c r="J9" s="5">
        <f t="shared" si="2"/>
        <v>0</v>
      </c>
      <c r="K9" s="5"/>
      <c r="L9" s="5" t="str">
        <f t="shared" si="5"/>
        <v/>
      </c>
      <c r="M9" s="4" t="str">
        <f t="shared" si="3"/>
        <v/>
      </c>
      <c r="N9" s="4" t="str">
        <f t="shared" si="6"/>
        <v>0:00</v>
      </c>
    </row>
    <row r="10" spans="1:14" x14ac:dyDescent="0.25">
      <c r="A10" s="8" t="str">
        <f t="shared" ref="A10:A35" si="7">CHOOSE(WEEKDAY(B10),"Dimanche","Lundi","Mardi","Mercredi","Jeudi","Vendredi","Samedi")</f>
        <v>Lundi</v>
      </c>
      <c r="B10" s="10">
        <f t="shared" si="1"/>
        <v>41856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</v>
      </c>
      <c r="G10" s="4"/>
      <c r="H10" s="5"/>
      <c r="I10" s="5"/>
      <c r="J10" s="5" t="str">
        <f t="shared" si="2"/>
        <v xml:space="preserve"> </v>
      </c>
      <c r="K10" s="5">
        <v>0.32291666666666669</v>
      </c>
      <c r="L10" s="5" t="str">
        <f t="shared" si="5"/>
        <v/>
      </c>
      <c r="M10" s="4" t="str">
        <f t="shared" si="3"/>
        <v/>
      </c>
      <c r="N10" s="4" t="str">
        <f t="shared" si="6"/>
        <v>0:00</v>
      </c>
    </row>
    <row r="11" spans="1:14" x14ac:dyDescent="0.25">
      <c r="A11" s="8" t="str">
        <f t="shared" si="7"/>
        <v>Mardi</v>
      </c>
      <c r="B11" s="10">
        <f t="shared" si="1"/>
        <v>41857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4"/>
        <v>0</v>
      </c>
      <c r="G11" s="4"/>
      <c r="H11" s="5"/>
      <c r="I11" s="5"/>
      <c r="J11" s="5" t="str">
        <f t="shared" si="2"/>
        <v xml:space="preserve"> </v>
      </c>
      <c r="K11" s="5">
        <v>0.32291666666666669</v>
      </c>
      <c r="L11" s="5" t="str">
        <f t="shared" si="5"/>
        <v/>
      </c>
      <c r="M11" s="4" t="str">
        <f t="shared" si="3"/>
        <v/>
      </c>
      <c r="N11" s="4" t="str">
        <f t="shared" si="6"/>
        <v>0:00</v>
      </c>
    </row>
    <row r="12" spans="1:14" x14ac:dyDescent="0.25">
      <c r="A12" s="8" t="str">
        <f t="shared" si="7"/>
        <v>Mercredi</v>
      </c>
      <c r="B12" s="10">
        <f t="shared" si="1"/>
        <v>41858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4"/>
        <v>0</v>
      </c>
      <c r="G12" s="4"/>
      <c r="H12" s="5"/>
      <c r="I12" s="5"/>
      <c r="J12" s="5" t="str">
        <f t="shared" si="2"/>
        <v xml:space="preserve"> </v>
      </c>
      <c r="K12" s="5">
        <v>0.32291666666666669</v>
      </c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 x14ac:dyDescent="0.25">
      <c r="A13" s="8" t="str">
        <f t="shared" si="7"/>
        <v>Jeudi</v>
      </c>
      <c r="B13" s="10">
        <f t="shared" si="1"/>
        <v>41859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4"/>
        <v>0</v>
      </c>
      <c r="G13" s="4"/>
      <c r="H13" s="5"/>
      <c r="I13" s="5"/>
      <c r="J13" s="5" t="str">
        <f t="shared" si="2"/>
        <v xml:space="preserve"> </v>
      </c>
      <c r="K13" s="5">
        <v>0.32291666666666669</v>
      </c>
      <c r="L13" s="5" t="str">
        <f t="shared" si="5"/>
        <v/>
      </c>
      <c r="M13" s="4" t="str">
        <f t="shared" si="3"/>
        <v/>
      </c>
      <c r="N13" s="4" t="str">
        <f t="shared" si="6"/>
        <v>0:00</v>
      </c>
    </row>
    <row r="14" spans="1:14" x14ac:dyDescent="0.25">
      <c r="A14" s="8" t="str">
        <f t="shared" si="7"/>
        <v>Vendredi</v>
      </c>
      <c r="B14" s="10">
        <f t="shared" si="1"/>
        <v>41860</v>
      </c>
      <c r="C14" s="3">
        <f>IFERROR((VLOOKUP(B14,Fériés:Fériés,2,0)),VLOOKUP(A14,Année!$C$2:$C$8:'Année'!$D$2:$D$8,2,0))</f>
        <v>0.16666666666666666</v>
      </c>
      <c r="D14" s="4"/>
      <c r="E14" s="4"/>
      <c r="F14" s="5">
        <f t="shared" si="4"/>
        <v>0</v>
      </c>
      <c r="G14" s="4"/>
      <c r="H14" s="5"/>
      <c r="I14" s="5"/>
      <c r="J14" s="5" t="str">
        <f t="shared" si="2"/>
        <v xml:space="preserve"> </v>
      </c>
      <c r="K14" s="5">
        <v>0.16666666666666666</v>
      </c>
      <c r="L14" s="5" t="str">
        <f t="shared" si="5"/>
        <v/>
      </c>
      <c r="M14" s="4" t="str">
        <f t="shared" si="3"/>
        <v/>
      </c>
      <c r="N14" s="4" t="str">
        <f t="shared" si="6"/>
        <v>0:00</v>
      </c>
    </row>
    <row r="15" spans="1:14" x14ac:dyDescent="0.25">
      <c r="A15" s="8" t="str">
        <f t="shared" si="7"/>
        <v>Samedi</v>
      </c>
      <c r="B15" s="10">
        <f t="shared" si="1"/>
        <v>41861</v>
      </c>
      <c r="C15" s="3">
        <f>IFERROR((VLOOKUP(B15,Fériés:Fériés,2,0)),VLOOKUP(A15,Année!$C$2:$C$8:'Année'!$D$2:$D$8,2,0))</f>
        <v>0</v>
      </c>
      <c r="D15" s="4"/>
      <c r="E15" s="4"/>
      <c r="F15" s="5">
        <f t="shared" si="4"/>
        <v>0</v>
      </c>
      <c r="G15" s="4"/>
      <c r="H15" s="5"/>
      <c r="I15" s="5"/>
      <c r="J15" s="5">
        <f t="shared" si="2"/>
        <v>0</v>
      </c>
      <c r="K15" s="5"/>
      <c r="L15" s="5" t="str">
        <f t="shared" si="5"/>
        <v/>
      </c>
      <c r="M15" s="4" t="str">
        <f t="shared" si="3"/>
        <v/>
      </c>
      <c r="N15" s="4" t="str">
        <f t="shared" si="6"/>
        <v>0:00</v>
      </c>
    </row>
    <row r="16" spans="1:14" x14ac:dyDescent="0.25">
      <c r="A16" s="8" t="str">
        <f t="shared" si="7"/>
        <v>Dimanche</v>
      </c>
      <c r="B16" s="10">
        <f t="shared" si="1"/>
        <v>41862</v>
      </c>
      <c r="C16" s="3">
        <f>IFERROR((VLOOKUP(B16,Fériés:Fériés,2,0)),VLOOKUP(A16,Année!$C$2:$C$8:'Année'!$D$2:$D$8,2,0))</f>
        <v>0</v>
      </c>
      <c r="D16" s="4"/>
      <c r="E16" s="4"/>
      <c r="F16" s="5">
        <f t="shared" si="4"/>
        <v>0</v>
      </c>
      <c r="G16" s="4"/>
      <c r="H16" s="5"/>
      <c r="I16" s="5"/>
      <c r="J16" s="5">
        <f t="shared" si="2"/>
        <v>0</v>
      </c>
      <c r="K16" s="5"/>
      <c r="L16" s="5" t="str">
        <f t="shared" si="5"/>
        <v/>
      </c>
      <c r="M16" s="4" t="str">
        <f t="shared" si="3"/>
        <v/>
      </c>
      <c r="N16" s="4" t="str">
        <f t="shared" si="6"/>
        <v>0:00</v>
      </c>
    </row>
    <row r="17" spans="1:14" x14ac:dyDescent="0.25">
      <c r="A17" s="8" t="str">
        <f t="shared" si="7"/>
        <v>Lundi</v>
      </c>
      <c r="B17" s="10">
        <f t="shared" si="1"/>
        <v>41863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</v>
      </c>
      <c r="G17" s="4"/>
      <c r="H17" s="5"/>
      <c r="I17" s="5"/>
      <c r="J17" s="5" t="str">
        <f t="shared" si="2"/>
        <v xml:space="preserve"> </v>
      </c>
      <c r="K17" s="5">
        <v>0.32291666666666669</v>
      </c>
      <c r="L17" s="5" t="str">
        <f t="shared" si="5"/>
        <v/>
      </c>
      <c r="M17" s="4" t="str">
        <f t="shared" si="3"/>
        <v/>
      </c>
      <c r="N17" s="4" t="str">
        <f t="shared" si="6"/>
        <v>0:00</v>
      </c>
    </row>
    <row r="18" spans="1:14" x14ac:dyDescent="0.25">
      <c r="A18" s="8" t="str">
        <f t="shared" si="7"/>
        <v>Mardi</v>
      </c>
      <c r="B18" s="10">
        <f t="shared" si="1"/>
        <v>41864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4"/>
        <v>0</v>
      </c>
      <c r="G18" s="4"/>
      <c r="H18" s="5"/>
      <c r="I18" s="5"/>
      <c r="J18" s="5" t="str">
        <f t="shared" si="2"/>
        <v xml:space="preserve"> </v>
      </c>
      <c r="K18" s="5">
        <v>0.32291666666666669</v>
      </c>
      <c r="L18" s="5" t="str">
        <f t="shared" si="5"/>
        <v/>
      </c>
      <c r="M18" s="4" t="str">
        <f t="shared" si="3"/>
        <v/>
      </c>
      <c r="N18" s="4" t="str">
        <f t="shared" si="6"/>
        <v>0:00</v>
      </c>
    </row>
    <row r="19" spans="1:14" x14ac:dyDescent="0.25">
      <c r="A19" s="8" t="str">
        <f t="shared" si="7"/>
        <v>Mercredi</v>
      </c>
      <c r="B19" s="10">
        <f t="shared" si="1"/>
        <v>41865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4"/>
        <v>0</v>
      </c>
      <c r="G19" s="4"/>
      <c r="H19" s="5"/>
      <c r="I19" s="5"/>
      <c r="J19" s="5">
        <f t="shared" si="2"/>
        <v>0.32291666666666669</v>
      </c>
      <c r="K19" s="5"/>
      <c r="L19" s="5" t="str">
        <f t="shared" si="5"/>
        <v/>
      </c>
      <c r="M19" s="4" t="str">
        <f t="shared" si="3"/>
        <v/>
      </c>
      <c r="N19" s="4" t="str">
        <f t="shared" si="6"/>
        <v>0:00</v>
      </c>
    </row>
    <row r="20" spans="1:14" x14ac:dyDescent="0.25">
      <c r="A20" s="8" t="str">
        <f t="shared" si="7"/>
        <v>Jeudi</v>
      </c>
      <c r="B20" s="10">
        <f t="shared" si="1"/>
        <v>41866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4"/>
        <v>0</v>
      </c>
      <c r="G20" s="4"/>
      <c r="H20" s="5"/>
      <c r="I20" s="5"/>
      <c r="J20" s="5" t="str">
        <f t="shared" si="2"/>
        <v xml:space="preserve"> </v>
      </c>
      <c r="K20" s="5">
        <v>0.32291666666666669</v>
      </c>
      <c r="L20" s="5" t="str">
        <f t="shared" si="5"/>
        <v/>
      </c>
      <c r="M20" s="4" t="str">
        <f t="shared" si="3"/>
        <v/>
      </c>
      <c r="N20" s="4" t="str">
        <f t="shared" si="6"/>
        <v>0:00</v>
      </c>
    </row>
    <row r="21" spans="1:14" x14ac:dyDescent="0.25">
      <c r="A21" s="8" t="str">
        <f t="shared" si="7"/>
        <v>Vendredi</v>
      </c>
      <c r="B21" s="10">
        <f t="shared" si="1"/>
        <v>41867</v>
      </c>
      <c r="C21" s="3">
        <f>IFERROR((VLOOKUP(B21,Fériés:Fériés,2,0)),VLOOKUP(A21,Année!$C$2:$C$8:'Année'!$D$2:$D$8,2,0))</f>
        <v>0.16666666666666666</v>
      </c>
      <c r="D21" s="4"/>
      <c r="E21" s="4"/>
      <c r="F21" s="5">
        <f t="shared" si="4"/>
        <v>0</v>
      </c>
      <c r="G21" s="4"/>
      <c r="H21" s="5"/>
      <c r="I21" s="5"/>
      <c r="J21" s="5" t="str">
        <f t="shared" si="2"/>
        <v xml:space="preserve"> </v>
      </c>
      <c r="K21" s="5">
        <v>0.16666666666666666</v>
      </c>
      <c r="L21" s="5" t="str">
        <f t="shared" si="5"/>
        <v/>
      </c>
      <c r="M21" s="4" t="str">
        <f t="shared" si="3"/>
        <v/>
      </c>
      <c r="N21" s="4" t="str">
        <f t="shared" si="6"/>
        <v>0:00</v>
      </c>
    </row>
    <row r="22" spans="1:14" x14ac:dyDescent="0.25">
      <c r="A22" s="8" t="str">
        <f t="shared" si="7"/>
        <v>Samedi</v>
      </c>
      <c r="B22" s="10">
        <f t="shared" si="1"/>
        <v>41868</v>
      </c>
      <c r="C22" s="3">
        <f>IFERROR((VLOOKUP(B22,Fériés:Fériés,2,0)),VLOOKUP(A22,Année!$C$2:$C$8:'Année'!$D$2:$D$8,2,0))</f>
        <v>0</v>
      </c>
      <c r="D22" s="4"/>
      <c r="E22" s="4"/>
      <c r="F22" s="5">
        <f t="shared" si="4"/>
        <v>0</v>
      </c>
      <c r="G22" s="4"/>
      <c r="H22" s="5"/>
      <c r="I22" s="5"/>
      <c r="J22" s="5">
        <f t="shared" si="2"/>
        <v>0</v>
      </c>
      <c r="K22" s="5"/>
      <c r="L22" s="5" t="str">
        <f t="shared" si="5"/>
        <v/>
      </c>
      <c r="M22" s="4" t="str">
        <f t="shared" si="3"/>
        <v/>
      </c>
      <c r="N22" s="4" t="str">
        <f t="shared" si="6"/>
        <v>0:00</v>
      </c>
    </row>
    <row r="23" spans="1:14" x14ac:dyDescent="0.25">
      <c r="A23" s="8" t="str">
        <f t="shared" si="7"/>
        <v>Dimanche</v>
      </c>
      <c r="B23" s="10">
        <f t="shared" si="1"/>
        <v>41869</v>
      </c>
      <c r="C23" s="3">
        <f>IFERROR((VLOOKUP(B23,Fériés:Fériés,2,0)),VLOOKUP(A23,Année!$C$2:$C$8:'Année'!$D$2:$D$8,2,0))</f>
        <v>0</v>
      </c>
      <c r="D23" s="4"/>
      <c r="E23" s="4"/>
      <c r="F23" s="5">
        <f t="shared" si="4"/>
        <v>0</v>
      </c>
      <c r="G23" s="4"/>
      <c r="H23" s="5"/>
      <c r="I23" s="5"/>
      <c r="J23" s="5">
        <f t="shared" si="2"/>
        <v>0</v>
      </c>
      <c r="K23" s="5"/>
      <c r="L23" s="5" t="str">
        <f t="shared" si="5"/>
        <v/>
      </c>
      <c r="M23" s="4" t="str">
        <f t="shared" si="3"/>
        <v/>
      </c>
      <c r="N23" s="4" t="str">
        <f t="shared" si="6"/>
        <v>0:00</v>
      </c>
    </row>
    <row r="24" spans="1:14" x14ac:dyDescent="0.25">
      <c r="A24" s="8" t="str">
        <f t="shared" si="7"/>
        <v>Lundi</v>
      </c>
      <c r="B24" s="10">
        <f t="shared" si="1"/>
        <v>41870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 x14ac:dyDescent="0.25">
      <c r="A25" s="8" t="str">
        <f t="shared" si="7"/>
        <v>Mardi</v>
      </c>
      <c r="B25" s="10">
        <f t="shared" si="1"/>
        <v>41871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4"/>
        <v>0.32291666666666669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 x14ac:dyDescent="0.25">
      <c r="A26" s="8" t="str">
        <f t="shared" si="7"/>
        <v>Mercredi</v>
      </c>
      <c r="B26" s="10">
        <f t="shared" si="1"/>
        <v>41872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4"/>
        <v>0.32291666666666669</v>
      </c>
      <c r="G26" s="4"/>
      <c r="H26" s="5"/>
      <c r="I26" s="5"/>
      <c r="J26" s="5" t="str">
        <f t="shared" si="2"/>
        <v xml:space="preserve"> </v>
      </c>
      <c r="K26" s="5"/>
      <c r="L26" s="5">
        <f t="shared" si="5"/>
        <v>0</v>
      </c>
      <c r="M26" s="4" t="str">
        <f t="shared" si="3"/>
        <v/>
      </c>
      <c r="N26" s="4" t="str">
        <f t="shared" si="6"/>
        <v>0:00</v>
      </c>
    </row>
    <row r="27" spans="1:14" x14ac:dyDescent="0.25">
      <c r="A27" s="8" t="str">
        <f t="shared" si="7"/>
        <v>Jeudi</v>
      </c>
      <c r="B27" s="10">
        <f t="shared" si="1"/>
        <v>41873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4"/>
        <v>0.32291666666666669</v>
      </c>
      <c r="G27" s="4"/>
      <c r="H27" s="5"/>
      <c r="I27" s="5"/>
      <c r="J27" s="5" t="str">
        <f t="shared" si="2"/>
        <v xml:space="preserve"> </v>
      </c>
      <c r="K27" s="5"/>
      <c r="L27" s="5">
        <f t="shared" si="5"/>
        <v>0</v>
      </c>
      <c r="M27" s="4" t="str">
        <f t="shared" si="3"/>
        <v/>
      </c>
      <c r="N27" s="4" t="str">
        <f t="shared" si="6"/>
        <v>0:00</v>
      </c>
    </row>
    <row r="28" spans="1:14" x14ac:dyDescent="0.25">
      <c r="A28" s="8" t="str">
        <f t="shared" si="7"/>
        <v>Vendredi</v>
      </c>
      <c r="B28" s="10">
        <f t="shared" si="1"/>
        <v>41874</v>
      </c>
      <c r="C28" s="3">
        <f>IFERROR((VLOOKUP(B28,Fériés:Fériés,2,0)),VLOOKUP(A28,Année!$C$2:$C$8:'Année'!$D$2:$D$8,2,0))</f>
        <v>0.16666666666666666</v>
      </c>
      <c r="D28" s="4"/>
      <c r="E28" s="4"/>
      <c r="F28" s="5">
        <f t="shared" si="4"/>
        <v>0.16666666666666666</v>
      </c>
      <c r="G28" s="4"/>
      <c r="H28" s="5"/>
      <c r="I28" s="5"/>
      <c r="J28" s="5" t="str">
        <f t="shared" si="2"/>
        <v xml:space="preserve"> </v>
      </c>
      <c r="K28" s="5"/>
      <c r="L28" s="5">
        <f t="shared" si="5"/>
        <v>0</v>
      </c>
      <c r="M28" s="4" t="str">
        <f t="shared" si="3"/>
        <v/>
      </c>
      <c r="N28" s="4" t="str">
        <f t="shared" si="6"/>
        <v>0:00</v>
      </c>
    </row>
    <row r="29" spans="1:14" x14ac:dyDescent="0.25">
      <c r="A29" s="8" t="str">
        <f t="shared" si="7"/>
        <v>Samedi</v>
      </c>
      <c r="B29" s="10">
        <f t="shared" si="1"/>
        <v>41875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4"/>
        <v>0</v>
      </c>
      <c r="G29" s="4"/>
      <c r="H29" s="5"/>
      <c r="I29" s="5"/>
      <c r="J29" s="5">
        <f t="shared" si="2"/>
        <v>0</v>
      </c>
      <c r="K29" s="5"/>
      <c r="L29" s="5" t="str">
        <f t="shared" si="5"/>
        <v/>
      </c>
      <c r="M29" s="4" t="str">
        <f t="shared" si="3"/>
        <v/>
      </c>
      <c r="N29" s="4" t="str">
        <f t="shared" si="6"/>
        <v>0:00</v>
      </c>
    </row>
    <row r="30" spans="1:14" x14ac:dyDescent="0.25">
      <c r="A30" s="8" t="str">
        <f t="shared" si="7"/>
        <v>Dimanche</v>
      </c>
      <c r="B30" s="10">
        <f t="shared" si="1"/>
        <v>41876</v>
      </c>
      <c r="C30" s="3">
        <f>IFERROR((VLOOKUP(B30,Fériés:Fériés,2,0)),VLOOKUP(A30,Année!$C$2:$C$8:'Année'!$D$2:$D$8,2,0))</f>
        <v>0</v>
      </c>
      <c r="D30" s="4"/>
      <c r="E30" s="4"/>
      <c r="F30" s="5">
        <f t="shared" si="4"/>
        <v>0</v>
      </c>
      <c r="G30" s="4"/>
      <c r="H30" s="5"/>
      <c r="I30" s="5"/>
      <c r="J30" s="5">
        <f t="shared" si="2"/>
        <v>0</v>
      </c>
      <c r="K30" s="5"/>
      <c r="L30" s="5" t="str">
        <f t="shared" si="5"/>
        <v/>
      </c>
      <c r="M30" s="4" t="str">
        <f t="shared" si="3"/>
        <v/>
      </c>
      <c r="N30" s="4" t="str">
        <f t="shared" si="6"/>
        <v>0:00</v>
      </c>
    </row>
    <row r="31" spans="1:14" x14ac:dyDescent="0.25">
      <c r="A31" s="8" t="str">
        <f t="shared" si="7"/>
        <v>Lundi</v>
      </c>
      <c r="B31" s="10">
        <f t="shared" si="1"/>
        <v>41877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0.32291666666666669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 x14ac:dyDescent="0.25">
      <c r="A32" s="8" t="str">
        <f t="shared" si="7"/>
        <v>Mardi</v>
      </c>
      <c r="B32" s="10">
        <f t="shared" si="1"/>
        <v>41878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4"/>
        <v>0.32291666666666669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 x14ac:dyDescent="0.25">
      <c r="A33" s="8" t="str">
        <f t="shared" si="7"/>
        <v>Mercredi</v>
      </c>
      <c r="B33" s="10">
        <f t="shared" si="1"/>
        <v>41879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4"/>
        <v>0.32291666666666669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 x14ac:dyDescent="0.25">
      <c r="A34" s="8" t="str">
        <f t="shared" si="7"/>
        <v>Jeudi</v>
      </c>
      <c r="B34" s="10">
        <f t="shared" si="1"/>
        <v>41880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4"/>
        <v>0.32291666666666669</v>
      </c>
      <c r="G34" s="4"/>
      <c r="H34" s="5"/>
      <c r="I34" s="5"/>
      <c r="J34" s="5" t="str">
        <f t="shared" si="2"/>
        <v xml:space="preserve"> </v>
      </c>
      <c r="K34" s="5"/>
      <c r="L34" s="5">
        <f t="shared" si="5"/>
        <v>0</v>
      </c>
      <c r="M34" s="4" t="str">
        <f t="shared" si="3"/>
        <v/>
      </c>
      <c r="N34" s="4" t="str">
        <f t="shared" si="6"/>
        <v>0:00</v>
      </c>
    </row>
    <row r="35" spans="1:14" x14ac:dyDescent="0.25">
      <c r="A35" s="8" t="str">
        <f t="shared" si="7"/>
        <v>Vendredi</v>
      </c>
      <c r="B35" s="10">
        <f t="shared" si="1"/>
        <v>41881</v>
      </c>
      <c r="C35" s="3">
        <f>IFERROR((VLOOKUP(B35,Fériés:Fériés,2,0)),VLOOKUP(A35,Année!$C$2:$C$8:'Année'!$D$2:$D$8,2,0))</f>
        <v>0.16666666666666666</v>
      </c>
      <c r="D35" s="4"/>
      <c r="E35" s="4"/>
      <c r="F35" s="5">
        <f t="shared" si="4"/>
        <v>0.16666666666666666</v>
      </c>
      <c r="G35" s="4"/>
      <c r="H35" s="5"/>
      <c r="I35" s="5"/>
      <c r="J35" s="5" t="str">
        <f t="shared" si="2"/>
        <v xml:space="preserve"> </v>
      </c>
      <c r="K35" s="5"/>
      <c r="L35" s="5">
        <f t="shared" si="5"/>
        <v>0</v>
      </c>
      <c r="M35" s="4" t="str">
        <f t="shared" si="3"/>
        <v/>
      </c>
      <c r="N35" s="4" t="str">
        <f t="shared" si="6"/>
        <v>0:00</v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6.3229166666666687</v>
      </c>
      <c r="D38" s="39">
        <f t="shared" ref="D38:N38" si="8">SUM(D5:D37)</f>
        <v>0</v>
      </c>
      <c r="E38" s="39">
        <f t="shared" si="8"/>
        <v>0</v>
      </c>
      <c r="F38" s="39">
        <f t="shared" si="8"/>
        <v>2.9166666666666665</v>
      </c>
      <c r="G38" s="39">
        <f t="shared" si="8"/>
        <v>0</v>
      </c>
      <c r="H38" s="39">
        <f t="shared" si="8"/>
        <v>0</v>
      </c>
      <c r="I38" s="39">
        <f t="shared" si="8"/>
        <v>0</v>
      </c>
      <c r="J38" s="39">
        <f t="shared" si="8"/>
        <v>0.32291666666666669</v>
      </c>
      <c r="K38" s="39">
        <f t="shared" si="8"/>
        <v>3.4062499999999996</v>
      </c>
      <c r="L38" s="39">
        <f t="shared" si="8"/>
        <v>0</v>
      </c>
      <c r="M38" s="39">
        <f t="shared" si="8"/>
        <v>0</v>
      </c>
      <c r="N38" s="39">
        <f t="shared" si="8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81" priority="14">
      <formula>$A5="Dimanche"</formula>
    </cfRule>
    <cfRule type="expression" dxfId="80" priority="15">
      <formula>$A5="Samedi"</formula>
    </cfRule>
  </conditionalFormatting>
  <conditionalFormatting sqref="A5:A37">
    <cfRule type="expression" dxfId="79" priority="13">
      <formula>$M5&lt;&gt;""</formula>
    </cfRule>
  </conditionalFormatting>
  <conditionalFormatting sqref="A36:N36 K5:K35 A5:E35 G5:I35">
    <cfRule type="expression" dxfId="78" priority="16">
      <formula>COUNTIF(Jours_fériés,$B5)=1</formula>
    </cfRule>
  </conditionalFormatting>
  <conditionalFormatting sqref="J5:J35">
    <cfRule type="expression" dxfId="77" priority="10">
      <formula>$A5="Dimanche"</formula>
    </cfRule>
    <cfRule type="expression" dxfId="76" priority="11">
      <formula>$A5="Samedi"</formula>
    </cfRule>
  </conditionalFormatting>
  <conditionalFormatting sqref="J5:J35">
    <cfRule type="expression" dxfId="75" priority="12">
      <formula>COUNTIF(Jours_fériés,$B5)=1</formula>
    </cfRule>
  </conditionalFormatting>
  <conditionalFormatting sqref="L5:L35 N5:N35">
    <cfRule type="expression" dxfId="74" priority="7">
      <formula>COUNTIF(Jours_fériés,$B5)=1</formula>
    </cfRule>
    <cfRule type="expression" dxfId="73" priority="9">
      <formula>$A5="Samedi"</formula>
    </cfRule>
  </conditionalFormatting>
  <conditionalFormatting sqref="L5:L35 N5:N35">
    <cfRule type="expression" dxfId="72" priority="8">
      <formula>$A5="Dimanche"</formula>
    </cfRule>
  </conditionalFormatting>
  <conditionalFormatting sqref="F5:F35">
    <cfRule type="expression" dxfId="71" priority="4">
      <formula>$A5="Dimanche"</formula>
    </cfRule>
    <cfRule type="expression" dxfId="70" priority="5">
      <formula>$A5="Samedi"</formula>
    </cfRule>
  </conditionalFormatting>
  <conditionalFormatting sqref="F5:F35">
    <cfRule type="expression" dxfId="69" priority="6">
      <formula>COUNTIF(Jours_fériés,$B5)=1</formula>
    </cfRule>
  </conditionalFormatting>
  <conditionalFormatting sqref="M5:M35">
    <cfRule type="expression" dxfId="68" priority="1">
      <formula>COUNTIF(Jours_fériés,$B5)=1</formula>
    </cfRule>
    <cfRule type="expression" dxfId="67" priority="3">
      <formula>$A5="Samedi"</formula>
    </cfRule>
  </conditionalFormatting>
  <conditionalFormatting sqref="M5:M35">
    <cfRule type="expression" dxfId="66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39"/>
  <sheetViews>
    <sheetView workbookViewId="0">
      <pane ySplit="4" topLeftCell="A18" activePane="bottomLeft" state="frozen"/>
      <selection activeCell="B36" sqref="B36"/>
      <selection pane="bottomLeft" activeCell="M5" sqref="M5:M34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DATE(Année!B1,9,1)</f>
        <v>41882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Samedi</v>
      </c>
      <c r="B5" s="10">
        <f t="shared" ref="B5:B34" si="1">DATE(An,9,ROW(1:31))</f>
        <v>41882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4" si="2">IF(C5=0,VLOOKUP(A5,Horaires,2,FALSE)," ")</f>
        <v>0</v>
      </c>
      <c r="K5" s="5"/>
      <c r="L5" s="5" t="str">
        <f>IF(A5="dimanche","",IF(A5="samedi","",IF(F5&lt;=0,"",(IF(H5="",F5-C5,H5-C5))+(I5+K5+N5))))</f>
        <v/>
      </c>
      <c r="M5" s="4" t="str">
        <f t="shared" ref="M5:M34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Dimanche</v>
      </c>
      <c r="B6" s="10">
        <f t="shared" si="1"/>
        <v>41883</v>
      </c>
      <c r="C6" s="3">
        <f>IFERROR((VLOOKUP(B6,Fériés:Fériés,2,0)),VLOOKUP(A6,Année!$C$2:$C$8:'Année'!$D$2:$D$8,2,0))</f>
        <v>0</v>
      </c>
      <c r="D6" s="4"/>
      <c r="E6" s="4"/>
      <c r="F6" s="5">
        <f t="shared" ref="F6:F34" si="4">IF(K6="",C6,0)</f>
        <v>0</v>
      </c>
      <c r="G6" s="4"/>
      <c r="H6" s="5"/>
      <c r="I6" s="5"/>
      <c r="J6" s="5">
        <f t="shared" si="2"/>
        <v>0</v>
      </c>
      <c r="K6" s="5"/>
      <c r="L6" s="5" t="str">
        <f t="shared" ref="L6:L35" si="5">IF(A6="dimanche","",IF(A6="samedi","",IF(F6&lt;=0,"",(IF(H6="",F6-C6,H6-C6))+(I6+K6+N6))))</f>
        <v/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 x14ac:dyDescent="0.25">
      <c r="A7" s="8" t="str">
        <f t="shared" si="0"/>
        <v>Lundi</v>
      </c>
      <c r="B7" s="10">
        <f t="shared" si="1"/>
        <v>41884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 x14ac:dyDescent="0.25">
      <c r="A8" s="8" t="str">
        <f t="shared" si="0"/>
        <v>Mardi</v>
      </c>
      <c r="B8" s="10">
        <f t="shared" si="1"/>
        <v>41885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 x14ac:dyDescent="0.25">
      <c r="A9" s="8" t="str">
        <f>CHOOSE(WEEKDAY(B9),"Dimanche","Lundi","Mardi","Mercredi","Jeudi","Vendredi","Samedi")</f>
        <v>Mercredi</v>
      </c>
      <c r="B9" s="10">
        <f t="shared" si="1"/>
        <v>41886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 x14ac:dyDescent="0.25">
      <c r="A10" s="8" t="str">
        <f t="shared" ref="A10:A34" si="7">CHOOSE(WEEKDAY(B10),"Dimanche","Lundi","Mardi","Mercredi","Jeudi","Vendredi","Samedi")</f>
        <v>Jeudi</v>
      </c>
      <c r="B10" s="10">
        <f t="shared" si="1"/>
        <v>41887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0.32291666666666669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 x14ac:dyDescent="0.25">
      <c r="A11" s="8" t="str">
        <f t="shared" si="7"/>
        <v>Vendredi</v>
      </c>
      <c r="B11" s="10">
        <f t="shared" si="1"/>
        <v>41888</v>
      </c>
      <c r="C11" s="3">
        <f>IFERROR((VLOOKUP(B11,Fériés:Fériés,2,0)),VLOOKUP(A11,Année!$C$2:$C$8:'Année'!$D$2:$D$8,2,0))</f>
        <v>0.16666666666666666</v>
      </c>
      <c r="D11" s="4"/>
      <c r="E11" s="4"/>
      <c r="F11" s="5">
        <f t="shared" si="4"/>
        <v>0.16666666666666666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 x14ac:dyDescent="0.25">
      <c r="A12" s="8" t="str">
        <f t="shared" si="7"/>
        <v>Samedi</v>
      </c>
      <c r="B12" s="10">
        <f t="shared" si="1"/>
        <v>41889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4"/>
        <v>0</v>
      </c>
      <c r="G12" s="4"/>
      <c r="H12" s="5"/>
      <c r="I12" s="5"/>
      <c r="J12" s="5">
        <f t="shared" si="2"/>
        <v>0</v>
      </c>
      <c r="K12" s="5"/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 x14ac:dyDescent="0.25">
      <c r="A13" s="8" t="str">
        <f t="shared" si="7"/>
        <v>Dimanche</v>
      </c>
      <c r="B13" s="10">
        <f t="shared" si="1"/>
        <v>41890</v>
      </c>
      <c r="C13" s="3">
        <f>IFERROR((VLOOKUP(B13,Fériés:Fériés,2,0)),VLOOKUP(A13,Année!$C$2:$C$8:'Année'!$D$2:$D$8,2,0))</f>
        <v>0</v>
      </c>
      <c r="D13" s="4"/>
      <c r="E13" s="4"/>
      <c r="F13" s="5">
        <f t="shared" si="4"/>
        <v>0</v>
      </c>
      <c r="G13" s="4"/>
      <c r="H13" s="5"/>
      <c r="I13" s="5"/>
      <c r="J13" s="5">
        <f t="shared" si="2"/>
        <v>0</v>
      </c>
      <c r="K13" s="5"/>
      <c r="L13" s="5" t="str">
        <f t="shared" si="5"/>
        <v/>
      </c>
      <c r="M13" s="4" t="str">
        <f t="shared" si="3"/>
        <v/>
      </c>
      <c r="N13" s="4" t="str">
        <f t="shared" si="6"/>
        <v>0:00</v>
      </c>
    </row>
    <row r="14" spans="1:14" x14ac:dyDescent="0.25">
      <c r="A14" s="8" t="str">
        <f t="shared" si="7"/>
        <v>Lundi</v>
      </c>
      <c r="B14" s="10">
        <f t="shared" si="1"/>
        <v>41891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4"/>
        <v>0.32291666666666669</v>
      </c>
      <c r="G14" s="4"/>
      <c r="H14" s="5"/>
      <c r="I14" s="5"/>
      <c r="J14" s="5" t="str">
        <f t="shared" si="2"/>
        <v xml:space="preserve"> </v>
      </c>
      <c r="K14" s="5"/>
      <c r="L14" s="5">
        <f t="shared" si="5"/>
        <v>0</v>
      </c>
      <c r="M14" s="4" t="str">
        <f t="shared" si="3"/>
        <v/>
      </c>
      <c r="N14" s="4" t="str">
        <f t="shared" si="6"/>
        <v>0:00</v>
      </c>
    </row>
    <row r="15" spans="1:14" x14ac:dyDescent="0.25">
      <c r="A15" s="8" t="str">
        <f t="shared" si="7"/>
        <v>Mardi</v>
      </c>
      <c r="B15" s="10">
        <f t="shared" si="1"/>
        <v>41892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 x14ac:dyDescent="0.25">
      <c r="A16" s="8" t="str">
        <f t="shared" si="7"/>
        <v>Mercredi</v>
      </c>
      <c r="B16" s="10">
        <f t="shared" si="1"/>
        <v>41893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 x14ac:dyDescent="0.25">
      <c r="A17" s="8" t="str">
        <f t="shared" si="7"/>
        <v>Jeudi</v>
      </c>
      <c r="B17" s="10">
        <f t="shared" si="1"/>
        <v>41894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0.32291666666666669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 x14ac:dyDescent="0.25">
      <c r="A18" s="8" t="str">
        <f t="shared" si="7"/>
        <v>Vendredi</v>
      </c>
      <c r="B18" s="10">
        <f t="shared" si="1"/>
        <v>41895</v>
      </c>
      <c r="C18" s="3">
        <f>IFERROR((VLOOKUP(B18,Fériés:Fériés,2,0)),VLOOKUP(A18,Année!$C$2:$C$8:'Année'!$D$2:$D$8,2,0))</f>
        <v>0.16666666666666666</v>
      </c>
      <c r="D18" s="4"/>
      <c r="E18" s="4"/>
      <c r="F18" s="5">
        <f t="shared" si="4"/>
        <v>0.16666666666666666</v>
      </c>
      <c r="G18" s="4"/>
      <c r="H18" s="5"/>
      <c r="I18" s="5"/>
      <c r="J18" s="5" t="str">
        <f t="shared" si="2"/>
        <v xml:space="preserve"> </v>
      </c>
      <c r="K18" s="5"/>
      <c r="L18" s="5">
        <f t="shared" si="5"/>
        <v>0</v>
      </c>
      <c r="M18" s="4" t="str">
        <f t="shared" si="3"/>
        <v/>
      </c>
      <c r="N18" s="4" t="str">
        <f t="shared" si="6"/>
        <v>0:00</v>
      </c>
    </row>
    <row r="19" spans="1:14" x14ac:dyDescent="0.25">
      <c r="A19" s="8" t="str">
        <f t="shared" si="7"/>
        <v>Samedi</v>
      </c>
      <c r="B19" s="10">
        <f t="shared" si="1"/>
        <v>41896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4"/>
        <v>0</v>
      </c>
      <c r="G19" s="4"/>
      <c r="H19" s="5"/>
      <c r="I19" s="5"/>
      <c r="J19" s="5">
        <f t="shared" si="2"/>
        <v>0</v>
      </c>
      <c r="K19" s="5"/>
      <c r="L19" s="5" t="str">
        <f t="shared" si="5"/>
        <v/>
      </c>
      <c r="M19" s="4" t="str">
        <f t="shared" si="3"/>
        <v/>
      </c>
      <c r="N19" s="4" t="str">
        <f t="shared" si="6"/>
        <v>0:00</v>
      </c>
    </row>
    <row r="20" spans="1:14" x14ac:dyDescent="0.25">
      <c r="A20" s="8" t="str">
        <f t="shared" si="7"/>
        <v>Dimanche</v>
      </c>
      <c r="B20" s="10">
        <f t="shared" si="1"/>
        <v>41897</v>
      </c>
      <c r="C20" s="3">
        <f>IFERROR((VLOOKUP(B20,Fériés:Fériés,2,0)),VLOOKUP(A20,Année!$C$2:$C$8:'Année'!$D$2:$D$8,2,0))</f>
        <v>0</v>
      </c>
      <c r="D20" s="4"/>
      <c r="E20" s="4"/>
      <c r="F20" s="5">
        <f t="shared" si="4"/>
        <v>0</v>
      </c>
      <c r="G20" s="4"/>
      <c r="H20" s="5"/>
      <c r="I20" s="5"/>
      <c r="J20" s="5">
        <f t="shared" si="2"/>
        <v>0</v>
      </c>
      <c r="K20" s="5"/>
      <c r="L20" s="5" t="str">
        <f t="shared" si="5"/>
        <v/>
      </c>
      <c r="M20" s="4" t="str">
        <f t="shared" si="3"/>
        <v/>
      </c>
      <c r="N20" s="4" t="str">
        <f t="shared" si="6"/>
        <v>0:00</v>
      </c>
    </row>
    <row r="21" spans="1:14" x14ac:dyDescent="0.25">
      <c r="A21" s="8" t="str">
        <f t="shared" si="7"/>
        <v>Lundi</v>
      </c>
      <c r="B21" s="10">
        <f t="shared" si="1"/>
        <v>41898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 x14ac:dyDescent="0.25">
      <c r="A22" s="8" t="str">
        <f t="shared" si="7"/>
        <v>Mardi</v>
      </c>
      <c r="B22" s="10">
        <f t="shared" si="1"/>
        <v>41899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 x14ac:dyDescent="0.25">
      <c r="A23" s="8" t="str">
        <f t="shared" si="7"/>
        <v>Mercredi</v>
      </c>
      <c r="B23" s="10">
        <f t="shared" si="1"/>
        <v>41900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 x14ac:dyDescent="0.25">
      <c r="A24" s="8" t="str">
        <f t="shared" si="7"/>
        <v>Jeudi</v>
      </c>
      <c r="B24" s="10">
        <f t="shared" si="1"/>
        <v>41901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 x14ac:dyDescent="0.25">
      <c r="A25" s="8" t="str">
        <f t="shared" si="7"/>
        <v>Vendredi</v>
      </c>
      <c r="B25" s="10">
        <f t="shared" si="1"/>
        <v>41902</v>
      </c>
      <c r="C25" s="3">
        <f>IFERROR((VLOOKUP(B25,Fériés:Fériés,2,0)),VLOOKUP(A25,Année!$C$2:$C$8:'Année'!$D$2:$D$8,2,0))</f>
        <v>0.16666666666666666</v>
      </c>
      <c r="D25" s="4"/>
      <c r="E25" s="4"/>
      <c r="F25" s="5">
        <f t="shared" si="4"/>
        <v>0.16666666666666666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 x14ac:dyDescent="0.25">
      <c r="A26" s="8" t="str">
        <f t="shared" si="7"/>
        <v>Samedi</v>
      </c>
      <c r="B26" s="10">
        <f t="shared" si="1"/>
        <v>41903</v>
      </c>
      <c r="C26" s="3">
        <f>IFERROR((VLOOKUP(B26,Fériés:Fériés,2,0)),VLOOKUP(A26,Année!$C$2:$C$8:'Année'!$D$2:$D$8,2,0))</f>
        <v>0</v>
      </c>
      <c r="D26" s="4"/>
      <c r="E26" s="4"/>
      <c r="F26" s="5">
        <f t="shared" si="4"/>
        <v>0</v>
      </c>
      <c r="G26" s="4"/>
      <c r="H26" s="5"/>
      <c r="I26" s="5"/>
      <c r="J26" s="5">
        <f t="shared" si="2"/>
        <v>0</v>
      </c>
      <c r="K26" s="5"/>
      <c r="L26" s="5" t="str">
        <f t="shared" si="5"/>
        <v/>
      </c>
      <c r="M26" s="4" t="str">
        <f t="shared" si="3"/>
        <v/>
      </c>
      <c r="N26" s="4" t="str">
        <f t="shared" si="6"/>
        <v>0:00</v>
      </c>
    </row>
    <row r="27" spans="1:14" x14ac:dyDescent="0.25">
      <c r="A27" s="8" t="str">
        <f t="shared" si="7"/>
        <v>Dimanche</v>
      </c>
      <c r="B27" s="10">
        <f t="shared" si="1"/>
        <v>41904</v>
      </c>
      <c r="C27" s="3">
        <f>IFERROR((VLOOKUP(B27,Fériés:Fériés,2,0)),VLOOKUP(A27,Année!$C$2:$C$8:'Année'!$D$2:$D$8,2,0))</f>
        <v>0</v>
      </c>
      <c r="D27" s="4"/>
      <c r="E27" s="4"/>
      <c r="F27" s="5">
        <f t="shared" si="4"/>
        <v>0</v>
      </c>
      <c r="G27" s="4"/>
      <c r="H27" s="5"/>
      <c r="I27" s="5"/>
      <c r="J27" s="5">
        <f t="shared" si="2"/>
        <v>0</v>
      </c>
      <c r="K27" s="5"/>
      <c r="L27" s="5" t="str">
        <f t="shared" si="5"/>
        <v/>
      </c>
      <c r="M27" s="4" t="str">
        <f t="shared" si="3"/>
        <v/>
      </c>
      <c r="N27" s="4" t="str">
        <f t="shared" si="6"/>
        <v>0:00</v>
      </c>
    </row>
    <row r="28" spans="1:14" x14ac:dyDescent="0.25">
      <c r="A28" s="8" t="str">
        <f t="shared" si="7"/>
        <v>Lundi</v>
      </c>
      <c r="B28" s="10">
        <f t="shared" si="1"/>
        <v>41905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0.32291666666666669</v>
      </c>
      <c r="G28" s="4"/>
      <c r="H28" s="5"/>
      <c r="I28" s="5"/>
      <c r="J28" s="5" t="str">
        <f t="shared" si="2"/>
        <v xml:space="preserve"> </v>
      </c>
      <c r="K28" s="5"/>
      <c r="L28" s="5">
        <f t="shared" si="5"/>
        <v>0</v>
      </c>
      <c r="M28" s="4" t="str">
        <f t="shared" si="3"/>
        <v/>
      </c>
      <c r="N28" s="4" t="str">
        <f t="shared" si="6"/>
        <v>0:00</v>
      </c>
    </row>
    <row r="29" spans="1:14" x14ac:dyDescent="0.25">
      <c r="A29" s="8" t="str">
        <f t="shared" si="7"/>
        <v>Mardi</v>
      </c>
      <c r="B29" s="10">
        <f t="shared" si="1"/>
        <v>41906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4"/>
        <v>0.32291666666666669</v>
      </c>
      <c r="G29" s="4"/>
      <c r="H29" s="5"/>
      <c r="I29" s="5"/>
      <c r="J29" s="5" t="str">
        <f t="shared" si="2"/>
        <v xml:space="preserve"> </v>
      </c>
      <c r="K29" s="5"/>
      <c r="L29" s="5">
        <f t="shared" si="5"/>
        <v>0</v>
      </c>
      <c r="M29" s="4" t="str">
        <f t="shared" si="3"/>
        <v/>
      </c>
      <c r="N29" s="4" t="str">
        <f t="shared" si="6"/>
        <v>0:00</v>
      </c>
    </row>
    <row r="30" spans="1:14" x14ac:dyDescent="0.25">
      <c r="A30" s="8" t="str">
        <f t="shared" si="7"/>
        <v>Mercredi</v>
      </c>
      <c r="B30" s="10">
        <f t="shared" si="1"/>
        <v>41907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0.32291666666666669</v>
      </c>
      <c r="G30" s="4"/>
      <c r="H30" s="5"/>
      <c r="I30" s="5"/>
      <c r="J30" s="5" t="str">
        <f t="shared" si="2"/>
        <v xml:space="preserve"> </v>
      </c>
      <c r="K30" s="5"/>
      <c r="L30" s="5">
        <f t="shared" si="5"/>
        <v>0</v>
      </c>
      <c r="M30" s="4" t="str">
        <f t="shared" si="3"/>
        <v/>
      </c>
      <c r="N30" s="4" t="str">
        <f t="shared" si="6"/>
        <v>0:00</v>
      </c>
    </row>
    <row r="31" spans="1:14" x14ac:dyDescent="0.25">
      <c r="A31" s="8" t="str">
        <f t="shared" si="7"/>
        <v>Jeudi</v>
      </c>
      <c r="B31" s="10">
        <f t="shared" si="1"/>
        <v>41908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0.32291666666666669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 x14ac:dyDescent="0.25">
      <c r="A32" s="8" t="str">
        <f t="shared" si="7"/>
        <v>Vendredi</v>
      </c>
      <c r="B32" s="10">
        <f t="shared" si="1"/>
        <v>41909</v>
      </c>
      <c r="C32" s="3">
        <f>IFERROR((VLOOKUP(B32,Fériés:Fériés,2,0)),VLOOKUP(A32,Année!$C$2:$C$8:'Année'!$D$2:$D$8,2,0))</f>
        <v>0.16666666666666666</v>
      </c>
      <c r="D32" s="4"/>
      <c r="E32" s="4"/>
      <c r="F32" s="5">
        <f t="shared" si="4"/>
        <v>0.16666666666666666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 x14ac:dyDescent="0.25">
      <c r="A33" s="8" t="str">
        <f t="shared" si="7"/>
        <v>Samedi</v>
      </c>
      <c r="B33" s="10">
        <f t="shared" si="1"/>
        <v>41910</v>
      </c>
      <c r="C33" s="3">
        <f>IFERROR((VLOOKUP(B33,Fériés:Fériés,2,0)),VLOOKUP(A33,Année!$C$2:$C$8:'Année'!$D$2:$D$8,2,0))</f>
        <v>0</v>
      </c>
      <c r="D33" s="4"/>
      <c r="E33" s="4"/>
      <c r="F33" s="5">
        <f t="shared" si="4"/>
        <v>0</v>
      </c>
      <c r="G33" s="4"/>
      <c r="H33" s="5"/>
      <c r="I33" s="5"/>
      <c r="J33" s="5">
        <f t="shared" si="2"/>
        <v>0</v>
      </c>
      <c r="K33" s="5"/>
      <c r="L33" s="5" t="str">
        <f t="shared" si="5"/>
        <v/>
      </c>
      <c r="M33" s="4" t="str">
        <f t="shared" si="3"/>
        <v/>
      </c>
      <c r="N33" s="4" t="str">
        <f t="shared" si="6"/>
        <v>0:00</v>
      </c>
    </row>
    <row r="34" spans="1:14" x14ac:dyDescent="0.25">
      <c r="A34" s="8" t="str">
        <f t="shared" si="7"/>
        <v>Dimanche</v>
      </c>
      <c r="B34" s="10">
        <f t="shared" si="1"/>
        <v>41911</v>
      </c>
      <c r="C34" s="3">
        <f>IFERROR((VLOOKUP(B34,Fériés:Fériés,2,0)),VLOOKUP(A34,Année!$C$2:$C$8:'Année'!$D$2:$D$8,2,0))</f>
        <v>0</v>
      </c>
      <c r="D34" s="4"/>
      <c r="E34" s="4"/>
      <c r="F34" s="5">
        <f t="shared" si="4"/>
        <v>0</v>
      </c>
      <c r="G34" s="4"/>
      <c r="H34" s="5"/>
      <c r="I34" s="5"/>
      <c r="J34" s="5">
        <f t="shared" si="2"/>
        <v>0</v>
      </c>
      <c r="K34" s="5"/>
      <c r="L34" s="5" t="str">
        <f t="shared" si="5"/>
        <v/>
      </c>
      <c r="M34" s="4" t="str">
        <f t="shared" si="3"/>
        <v/>
      </c>
      <c r="N34" s="4" t="str">
        <f t="shared" si="6"/>
        <v>0:00</v>
      </c>
    </row>
    <row r="35" spans="1:14" x14ac:dyDescent="0.25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 t="str">
        <f t="shared" si="5"/>
        <v/>
      </c>
      <c r="M35" s="4" t="str">
        <f t="shared" ref="M35" si="8">IF(D35="","",IF(AND(A35="Dimanche",D35&gt;0),SUM(D35:G35)*2,IF(A35="samedi",SUM(D35*2.5,E35*1.25,G35*1.25,F35),SUM(D35*2.5,E35*1.25,G35*1.25,))))</f>
        <v/>
      </c>
      <c r="N35" s="4" t="str">
        <f t="shared" si="6"/>
        <v/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5.8333333333333348</v>
      </c>
      <c r="D38" s="39">
        <f t="shared" ref="D38:N38" si="9">SUM(D5:D37)</f>
        <v>0</v>
      </c>
      <c r="E38" s="39">
        <f t="shared" si="9"/>
        <v>0</v>
      </c>
      <c r="F38" s="39">
        <f t="shared" si="9"/>
        <v>5.8333333333333348</v>
      </c>
      <c r="G38" s="39">
        <f t="shared" si="9"/>
        <v>0</v>
      </c>
      <c r="H38" s="39">
        <f t="shared" si="9"/>
        <v>0</v>
      </c>
      <c r="I38" s="39">
        <f t="shared" si="9"/>
        <v>0</v>
      </c>
      <c r="J38" s="39">
        <f t="shared" si="9"/>
        <v>0</v>
      </c>
      <c r="K38" s="39">
        <f t="shared" si="9"/>
        <v>0</v>
      </c>
      <c r="L38" s="39">
        <f t="shared" si="9"/>
        <v>0</v>
      </c>
      <c r="M38" s="39">
        <f t="shared" si="9"/>
        <v>0</v>
      </c>
      <c r="N38" s="39">
        <f t="shared" si="9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65" priority="14">
      <formula>$A5="Dimanche"</formula>
    </cfRule>
    <cfRule type="expression" dxfId="64" priority="15">
      <formula>$A5="Samedi"</formula>
    </cfRule>
  </conditionalFormatting>
  <conditionalFormatting sqref="A5:A37">
    <cfRule type="expression" dxfId="63" priority="13">
      <formula>$M5&lt;&gt;""</formula>
    </cfRule>
  </conditionalFormatting>
  <conditionalFormatting sqref="A36:N36 K5:K35 A5:E35 G5:I35">
    <cfRule type="expression" dxfId="62" priority="16">
      <formula>COUNTIF(Jours_fériés,$B5)=1</formula>
    </cfRule>
  </conditionalFormatting>
  <conditionalFormatting sqref="J5:J35">
    <cfRule type="expression" dxfId="61" priority="10">
      <formula>$A5="Dimanche"</formula>
    </cfRule>
    <cfRule type="expression" dxfId="60" priority="11">
      <formula>$A5="Samedi"</formula>
    </cfRule>
  </conditionalFormatting>
  <conditionalFormatting sqref="J5:J35">
    <cfRule type="expression" dxfId="59" priority="12">
      <formula>COUNTIF(Jours_fériés,$B5)=1</formula>
    </cfRule>
  </conditionalFormatting>
  <conditionalFormatting sqref="L35:N35 L5:L34 N5:N34">
    <cfRule type="expression" dxfId="58" priority="7">
      <formula>COUNTIF(Jours_fériés,$B5)=1</formula>
    </cfRule>
    <cfRule type="expression" dxfId="57" priority="9">
      <formula>$A5="Samedi"</formula>
    </cfRule>
  </conditionalFormatting>
  <conditionalFormatting sqref="L35:N35 L5:L34 N5:N34">
    <cfRule type="expression" dxfId="56" priority="8">
      <formula>$A5="Dimanche"</formula>
    </cfRule>
  </conditionalFormatting>
  <conditionalFormatting sqref="F5:F35">
    <cfRule type="expression" dxfId="55" priority="4">
      <formula>$A5="Dimanche"</formula>
    </cfRule>
    <cfRule type="expression" dxfId="54" priority="5">
      <formula>$A5="Samedi"</formula>
    </cfRule>
  </conditionalFormatting>
  <conditionalFormatting sqref="F5:F35">
    <cfRule type="expression" dxfId="53" priority="6">
      <formula>COUNTIF(Jours_fériés,$B5)=1</formula>
    </cfRule>
  </conditionalFormatting>
  <conditionalFormatting sqref="M5:M34">
    <cfRule type="expression" dxfId="52" priority="1">
      <formula>COUNTIF(Jours_fériés,$B5)=1</formula>
    </cfRule>
    <cfRule type="expression" dxfId="51" priority="3">
      <formula>$A5="Samedi"</formula>
    </cfRule>
  </conditionalFormatting>
  <conditionalFormatting sqref="M5:M34">
    <cfRule type="expression" dxfId="50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N39"/>
  <sheetViews>
    <sheetView workbookViewId="0">
      <pane ySplit="4" topLeftCell="A22" activePane="bottomLeft" state="frozen"/>
      <selection activeCell="B36" sqref="B36"/>
      <selection pane="bottomLeft" activeCell="M5" sqref="M5:M35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DATE(Année!B1,10,1)</f>
        <v>41912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Lundi</v>
      </c>
      <c r="B5" s="10">
        <f t="shared" ref="B5:B35" si="1">DATE(An,10,ROW(1:31))</f>
        <v>41912</v>
      </c>
      <c r="C5" s="3">
        <f>IFERROR((VLOOKUP(B5,Fériés:Fériés,2,0)),VLOOKUP(A5,Année!$C$2:$C$8:'Année'!$D$2:$D$8,2,0))</f>
        <v>0.32291666666666669</v>
      </c>
      <c r="D5" s="4"/>
      <c r="E5" s="4"/>
      <c r="F5" s="5">
        <f>IF(K5="",C5,0)</f>
        <v>0.32291666666666669</v>
      </c>
      <c r="G5" s="4"/>
      <c r="H5" s="5"/>
      <c r="I5" s="5"/>
      <c r="J5" s="5" t="str">
        <f t="shared" ref="J5:J35" si="2">IF(C5=0,VLOOKUP(A5,Horaires,2,FALSE)," ")</f>
        <v xml:space="preserve"> </v>
      </c>
      <c r="K5" s="5"/>
      <c r="L5" s="5">
        <f>IF(A5="dimanche","",IF(A5="samedi","",IF(F5&lt;=0,"",(IF(H5="",F5-C5,H5-C5))+(I5+K5+N5))))</f>
        <v>0</v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Mardi</v>
      </c>
      <c r="B6" s="10">
        <f t="shared" si="1"/>
        <v>41913</v>
      </c>
      <c r="C6" s="3">
        <f>IFERROR((VLOOKUP(B6,Fériés:Fériés,2,0)),VLOOKUP(A6,Année!$C$2:$C$8:'Année'!$D$2:$D$8,2,0))</f>
        <v>0.32291666666666669</v>
      </c>
      <c r="D6" s="4"/>
      <c r="E6" s="4"/>
      <c r="F6" s="5">
        <f t="shared" ref="F6:F35" si="4">IF(K6="",C6,0)</f>
        <v>0.32291666666666669</v>
      </c>
      <c r="G6" s="4"/>
      <c r="H6" s="5"/>
      <c r="I6" s="5"/>
      <c r="J6" s="5" t="str">
        <f t="shared" si="2"/>
        <v xml:space="preserve"> </v>
      </c>
      <c r="K6" s="5"/>
      <c r="L6" s="5">
        <f t="shared" ref="L6:L35" si="5">IF(A6="dimanche","",IF(A6="samedi","",IF(F6&lt;=0,"",(IF(H6="",F6-C6,H6-C6))+(I6+K6+N6))))</f>
        <v>0</v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 x14ac:dyDescent="0.25">
      <c r="A7" s="8" t="str">
        <f t="shared" si="0"/>
        <v>Mercredi</v>
      </c>
      <c r="B7" s="10">
        <f t="shared" si="1"/>
        <v>41914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 x14ac:dyDescent="0.25">
      <c r="A8" s="8" t="str">
        <f t="shared" si="0"/>
        <v>Jeudi</v>
      </c>
      <c r="B8" s="10">
        <f t="shared" si="1"/>
        <v>41915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 x14ac:dyDescent="0.25">
      <c r="A9" s="8" t="str">
        <f>CHOOSE(WEEKDAY(B9),"Dimanche","Lundi","Mardi","Mercredi","Jeudi","Vendredi","Samedi")</f>
        <v>Vendredi</v>
      </c>
      <c r="B9" s="10">
        <f t="shared" si="1"/>
        <v>41916</v>
      </c>
      <c r="C9" s="3">
        <f>IFERROR((VLOOKUP(B9,Fériés:Fériés,2,0)),VLOOKUP(A9,Année!$C$2:$C$8:'Année'!$D$2:$D$8,2,0))</f>
        <v>0.16666666666666666</v>
      </c>
      <c r="D9" s="4"/>
      <c r="E9" s="4"/>
      <c r="F9" s="5">
        <f t="shared" si="4"/>
        <v>0.16666666666666666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 x14ac:dyDescent="0.25">
      <c r="A10" s="8" t="str">
        <f t="shared" ref="A10:A35" si="7">CHOOSE(WEEKDAY(B10),"Dimanche","Lundi","Mardi","Mercredi","Jeudi","Vendredi","Samedi")</f>
        <v>Samedi</v>
      </c>
      <c r="B10" s="10">
        <f t="shared" si="1"/>
        <v>41917</v>
      </c>
      <c r="C10" s="3">
        <f>IFERROR((VLOOKUP(B10,Fériés:Fériés,2,0)),VLOOKUP(A10,Année!$C$2:$C$8:'Année'!$D$2:$D$8,2,0))</f>
        <v>0</v>
      </c>
      <c r="D10" s="4"/>
      <c r="E10" s="4"/>
      <c r="F10" s="5">
        <f t="shared" si="4"/>
        <v>0</v>
      </c>
      <c r="G10" s="4"/>
      <c r="H10" s="5"/>
      <c r="I10" s="5"/>
      <c r="J10" s="5">
        <f t="shared" si="2"/>
        <v>0</v>
      </c>
      <c r="K10" s="5"/>
      <c r="L10" s="5" t="str">
        <f t="shared" si="5"/>
        <v/>
      </c>
      <c r="M10" s="4" t="str">
        <f t="shared" si="3"/>
        <v/>
      </c>
      <c r="N10" s="4" t="str">
        <f t="shared" si="6"/>
        <v>0:00</v>
      </c>
    </row>
    <row r="11" spans="1:14" x14ac:dyDescent="0.25">
      <c r="A11" s="8" t="str">
        <f t="shared" si="7"/>
        <v>Dimanche</v>
      </c>
      <c r="B11" s="10">
        <f t="shared" si="1"/>
        <v>41918</v>
      </c>
      <c r="C11" s="3">
        <f>IFERROR((VLOOKUP(B11,Fériés:Fériés,2,0)),VLOOKUP(A11,Année!$C$2:$C$8:'Année'!$D$2:$D$8,2,0))</f>
        <v>0</v>
      </c>
      <c r="D11" s="4"/>
      <c r="E11" s="4"/>
      <c r="F11" s="5">
        <f t="shared" si="4"/>
        <v>0</v>
      </c>
      <c r="G11" s="4"/>
      <c r="H11" s="5"/>
      <c r="I11" s="5"/>
      <c r="J11" s="5">
        <f t="shared" si="2"/>
        <v>0</v>
      </c>
      <c r="K11" s="5"/>
      <c r="L11" s="5" t="str">
        <f t="shared" si="5"/>
        <v/>
      </c>
      <c r="M11" s="4" t="str">
        <f t="shared" si="3"/>
        <v/>
      </c>
      <c r="N11" s="4" t="str">
        <f t="shared" si="6"/>
        <v>0:00</v>
      </c>
    </row>
    <row r="12" spans="1:14" x14ac:dyDescent="0.25">
      <c r="A12" s="8" t="str">
        <f t="shared" si="7"/>
        <v>Lundi</v>
      </c>
      <c r="B12" s="10">
        <f t="shared" si="1"/>
        <v>41919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4"/>
        <v>0.32291666666666669</v>
      </c>
      <c r="G12" s="4"/>
      <c r="H12" s="5"/>
      <c r="I12" s="5"/>
      <c r="J12" s="5" t="str">
        <f t="shared" si="2"/>
        <v xml:space="preserve"> </v>
      </c>
      <c r="K12" s="5"/>
      <c r="L12" s="5">
        <f t="shared" si="5"/>
        <v>0</v>
      </c>
      <c r="M12" s="4" t="str">
        <f t="shared" si="3"/>
        <v/>
      </c>
      <c r="N12" s="4" t="str">
        <f t="shared" si="6"/>
        <v>0:00</v>
      </c>
    </row>
    <row r="13" spans="1:14" x14ac:dyDescent="0.25">
      <c r="A13" s="8" t="str">
        <f t="shared" si="7"/>
        <v>Mardi</v>
      </c>
      <c r="B13" s="10">
        <f t="shared" si="1"/>
        <v>41920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4"/>
        <v>0.32291666666666669</v>
      </c>
      <c r="G13" s="4"/>
      <c r="H13" s="5"/>
      <c r="I13" s="5"/>
      <c r="J13" s="5" t="str">
        <f t="shared" si="2"/>
        <v xml:space="preserve"> </v>
      </c>
      <c r="K13" s="5"/>
      <c r="L13" s="5">
        <f t="shared" si="5"/>
        <v>0</v>
      </c>
      <c r="M13" s="4" t="str">
        <f t="shared" si="3"/>
        <v/>
      </c>
      <c r="N13" s="4" t="str">
        <f t="shared" si="6"/>
        <v>0:00</v>
      </c>
    </row>
    <row r="14" spans="1:14" x14ac:dyDescent="0.25">
      <c r="A14" s="8" t="str">
        <f t="shared" si="7"/>
        <v>Mercredi</v>
      </c>
      <c r="B14" s="10">
        <f t="shared" si="1"/>
        <v>41921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4"/>
        <v>0.32291666666666669</v>
      </c>
      <c r="G14" s="4"/>
      <c r="H14" s="5"/>
      <c r="I14" s="5"/>
      <c r="J14" s="5" t="str">
        <f t="shared" si="2"/>
        <v xml:space="preserve"> </v>
      </c>
      <c r="K14" s="5"/>
      <c r="L14" s="5">
        <f t="shared" si="5"/>
        <v>0</v>
      </c>
      <c r="M14" s="4" t="str">
        <f t="shared" si="3"/>
        <v/>
      </c>
      <c r="N14" s="4" t="str">
        <f t="shared" si="6"/>
        <v>0:00</v>
      </c>
    </row>
    <row r="15" spans="1:14" x14ac:dyDescent="0.25">
      <c r="A15" s="8" t="str">
        <f t="shared" si="7"/>
        <v>Jeudi</v>
      </c>
      <c r="B15" s="10">
        <f t="shared" si="1"/>
        <v>41922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 x14ac:dyDescent="0.25">
      <c r="A16" s="8" t="str">
        <f t="shared" si="7"/>
        <v>Vendredi</v>
      </c>
      <c r="B16" s="10">
        <f t="shared" si="1"/>
        <v>41923</v>
      </c>
      <c r="C16" s="3">
        <f>IFERROR((VLOOKUP(B16,Fériés:Fériés,2,0)),VLOOKUP(A16,Année!$C$2:$C$8:'Année'!$D$2:$D$8,2,0))</f>
        <v>0.16666666666666666</v>
      </c>
      <c r="D16" s="4"/>
      <c r="E16" s="4"/>
      <c r="F16" s="5">
        <f t="shared" si="4"/>
        <v>0.16666666666666666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 x14ac:dyDescent="0.25">
      <c r="A17" s="8" t="str">
        <f t="shared" si="7"/>
        <v>Samedi</v>
      </c>
      <c r="B17" s="10">
        <f t="shared" si="1"/>
        <v>41924</v>
      </c>
      <c r="C17" s="3">
        <f>IFERROR((VLOOKUP(B17,Fériés:Fériés,2,0)),VLOOKUP(A17,Année!$C$2:$C$8:'Année'!$D$2:$D$8,2,0))</f>
        <v>0</v>
      </c>
      <c r="D17" s="4"/>
      <c r="E17" s="4"/>
      <c r="F17" s="5">
        <f t="shared" si="4"/>
        <v>0</v>
      </c>
      <c r="G17" s="4"/>
      <c r="H17" s="5"/>
      <c r="I17" s="5"/>
      <c r="J17" s="5">
        <f t="shared" si="2"/>
        <v>0</v>
      </c>
      <c r="K17" s="5"/>
      <c r="L17" s="5" t="str">
        <f t="shared" si="5"/>
        <v/>
      </c>
      <c r="M17" s="4" t="str">
        <f t="shared" si="3"/>
        <v/>
      </c>
      <c r="N17" s="4" t="str">
        <f t="shared" si="6"/>
        <v>0:00</v>
      </c>
    </row>
    <row r="18" spans="1:14" x14ac:dyDescent="0.25">
      <c r="A18" s="8" t="str">
        <f t="shared" si="7"/>
        <v>Dimanche</v>
      </c>
      <c r="B18" s="10">
        <f t="shared" si="1"/>
        <v>41925</v>
      </c>
      <c r="C18" s="3">
        <f>IFERROR((VLOOKUP(B18,Fériés:Fériés,2,0)),VLOOKUP(A18,Année!$C$2:$C$8:'Année'!$D$2:$D$8,2,0))</f>
        <v>0</v>
      </c>
      <c r="D18" s="4"/>
      <c r="E18" s="4"/>
      <c r="F18" s="5">
        <f t="shared" si="4"/>
        <v>0</v>
      </c>
      <c r="G18" s="4"/>
      <c r="H18" s="5"/>
      <c r="I18" s="5"/>
      <c r="J18" s="5">
        <f t="shared" si="2"/>
        <v>0</v>
      </c>
      <c r="K18" s="5"/>
      <c r="L18" s="5" t="str">
        <f t="shared" si="5"/>
        <v/>
      </c>
      <c r="M18" s="4" t="str">
        <f t="shared" si="3"/>
        <v/>
      </c>
      <c r="N18" s="4" t="str">
        <f t="shared" si="6"/>
        <v>0:00</v>
      </c>
    </row>
    <row r="19" spans="1:14" x14ac:dyDescent="0.25">
      <c r="A19" s="8" t="str">
        <f t="shared" si="7"/>
        <v>Lundi</v>
      </c>
      <c r="B19" s="10">
        <f t="shared" si="1"/>
        <v>41926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4"/>
        <v>0.32291666666666669</v>
      </c>
      <c r="G19" s="4"/>
      <c r="H19" s="5"/>
      <c r="I19" s="5"/>
      <c r="J19" s="5" t="str">
        <f t="shared" si="2"/>
        <v xml:space="preserve"> </v>
      </c>
      <c r="K19" s="5"/>
      <c r="L19" s="5">
        <f t="shared" si="5"/>
        <v>0</v>
      </c>
      <c r="M19" s="4" t="str">
        <f t="shared" si="3"/>
        <v/>
      </c>
      <c r="N19" s="4" t="str">
        <f t="shared" si="6"/>
        <v>0:00</v>
      </c>
    </row>
    <row r="20" spans="1:14" x14ac:dyDescent="0.25">
      <c r="A20" s="8" t="str">
        <f t="shared" si="7"/>
        <v>Mardi</v>
      </c>
      <c r="B20" s="10">
        <f t="shared" si="1"/>
        <v>41927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4"/>
        <v>0.32291666666666669</v>
      </c>
      <c r="G20" s="4"/>
      <c r="H20" s="5"/>
      <c r="I20" s="5"/>
      <c r="J20" s="5" t="str">
        <f t="shared" si="2"/>
        <v xml:space="preserve"> </v>
      </c>
      <c r="K20" s="5"/>
      <c r="L20" s="5">
        <f t="shared" si="5"/>
        <v>0</v>
      </c>
      <c r="M20" s="4" t="str">
        <f t="shared" si="3"/>
        <v/>
      </c>
      <c r="N20" s="4" t="str">
        <f t="shared" si="6"/>
        <v>0:00</v>
      </c>
    </row>
    <row r="21" spans="1:14" x14ac:dyDescent="0.25">
      <c r="A21" s="8" t="str">
        <f t="shared" si="7"/>
        <v>Mercredi</v>
      </c>
      <c r="B21" s="10">
        <f t="shared" si="1"/>
        <v>41928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 x14ac:dyDescent="0.25">
      <c r="A22" s="8" t="str">
        <f t="shared" si="7"/>
        <v>Jeudi</v>
      </c>
      <c r="B22" s="10">
        <f t="shared" si="1"/>
        <v>41929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 x14ac:dyDescent="0.25">
      <c r="A23" s="8" t="str">
        <f t="shared" si="7"/>
        <v>Vendredi</v>
      </c>
      <c r="B23" s="10">
        <f t="shared" si="1"/>
        <v>41930</v>
      </c>
      <c r="C23" s="3">
        <f>IFERROR((VLOOKUP(B23,Fériés:Fériés,2,0)),VLOOKUP(A23,Année!$C$2:$C$8:'Année'!$D$2:$D$8,2,0))</f>
        <v>0.16666666666666666</v>
      </c>
      <c r="D23" s="4"/>
      <c r="E23" s="4"/>
      <c r="F23" s="5">
        <f t="shared" si="4"/>
        <v>0.16666666666666666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 x14ac:dyDescent="0.25">
      <c r="A24" s="8" t="str">
        <f t="shared" si="7"/>
        <v>Samedi</v>
      </c>
      <c r="B24" s="10">
        <f t="shared" si="1"/>
        <v>41931</v>
      </c>
      <c r="C24" s="3">
        <f>IFERROR((VLOOKUP(B24,Fériés:Fériés,2,0)),VLOOKUP(A24,Année!$C$2:$C$8:'Année'!$D$2:$D$8,2,0))</f>
        <v>0</v>
      </c>
      <c r="D24" s="4"/>
      <c r="E24" s="4"/>
      <c r="F24" s="5">
        <f t="shared" si="4"/>
        <v>0</v>
      </c>
      <c r="G24" s="4"/>
      <c r="H24" s="5"/>
      <c r="I24" s="5"/>
      <c r="J24" s="5">
        <f t="shared" si="2"/>
        <v>0</v>
      </c>
      <c r="K24" s="5"/>
      <c r="L24" s="5" t="str">
        <f t="shared" si="5"/>
        <v/>
      </c>
      <c r="M24" s="4" t="str">
        <f t="shared" si="3"/>
        <v/>
      </c>
      <c r="N24" s="4" t="str">
        <f t="shared" si="6"/>
        <v>0:00</v>
      </c>
    </row>
    <row r="25" spans="1:14" x14ac:dyDescent="0.25">
      <c r="A25" s="8" t="str">
        <f t="shared" si="7"/>
        <v>Dimanche</v>
      </c>
      <c r="B25" s="10">
        <f t="shared" si="1"/>
        <v>41932</v>
      </c>
      <c r="C25" s="3">
        <f>IFERROR((VLOOKUP(B25,Fériés:Fériés,2,0)),VLOOKUP(A25,Année!$C$2:$C$8:'Année'!$D$2:$D$8,2,0))</f>
        <v>0</v>
      </c>
      <c r="D25" s="4"/>
      <c r="E25" s="4"/>
      <c r="F25" s="5">
        <f t="shared" si="4"/>
        <v>0</v>
      </c>
      <c r="G25" s="4"/>
      <c r="H25" s="5"/>
      <c r="I25" s="5"/>
      <c r="J25" s="5">
        <f t="shared" si="2"/>
        <v>0</v>
      </c>
      <c r="K25" s="5"/>
      <c r="L25" s="5" t="str">
        <f t="shared" si="5"/>
        <v/>
      </c>
      <c r="M25" s="4" t="str">
        <f t="shared" si="3"/>
        <v/>
      </c>
      <c r="N25" s="4" t="str">
        <f t="shared" si="6"/>
        <v>0:00</v>
      </c>
    </row>
    <row r="26" spans="1:14" x14ac:dyDescent="0.25">
      <c r="A26" s="8" t="str">
        <f t="shared" si="7"/>
        <v>Lundi</v>
      </c>
      <c r="B26" s="10">
        <f t="shared" si="1"/>
        <v>41933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4"/>
        <v>0</v>
      </c>
      <c r="G26" s="4"/>
      <c r="H26" s="5"/>
      <c r="I26" s="5"/>
      <c r="J26" s="5" t="str">
        <f t="shared" si="2"/>
        <v xml:space="preserve"> </v>
      </c>
      <c r="K26" s="5">
        <v>0.32291666666666669</v>
      </c>
      <c r="L26" s="5" t="str">
        <f t="shared" si="5"/>
        <v/>
      </c>
      <c r="M26" s="4" t="str">
        <f t="shared" si="3"/>
        <v/>
      </c>
      <c r="N26" s="4" t="str">
        <f t="shared" si="6"/>
        <v>0:00</v>
      </c>
    </row>
    <row r="27" spans="1:14" x14ac:dyDescent="0.25">
      <c r="A27" s="8" t="str">
        <f t="shared" si="7"/>
        <v>Mardi</v>
      </c>
      <c r="B27" s="10">
        <f t="shared" si="1"/>
        <v>41934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4"/>
        <v>0</v>
      </c>
      <c r="G27" s="4"/>
      <c r="H27" s="5"/>
      <c r="I27" s="5"/>
      <c r="J27" s="5" t="str">
        <f t="shared" si="2"/>
        <v xml:space="preserve"> </v>
      </c>
      <c r="K27" s="5">
        <v>0.32291666666666669</v>
      </c>
      <c r="L27" s="5" t="str">
        <f t="shared" si="5"/>
        <v/>
      </c>
      <c r="M27" s="4" t="str">
        <f t="shared" si="3"/>
        <v/>
      </c>
      <c r="N27" s="4" t="str">
        <f t="shared" si="6"/>
        <v>0:00</v>
      </c>
    </row>
    <row r="28" spans="1:14" x14ac:dyDescent="0.25">
      <c r="A28" s="8" t="str">
        <f t="shared" si="7"/>
        <v>Mercredi</v>
      </c>
      <c r="B28" s="10">
        <f t="shared" si="1"/>
        <v>41935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</v>
      </c>
      <c r="G28" s="4"/>
      <c r="H28" s="5"/>
      <c r="I28" s="5"/>
      <c r="J28" s="5" t="str">
        <f t="shared" si="2"/>
        <v xml:space="preserve"> </v>
      </c>
      <c r="K28" s="5">
        <v>0.32291666666666669</v>
      </c>
      <c r="L28" s="5" t="str">
        <f t="shared" si="5"/>
        <v/>
      </c>
      <c r="M28" s="4" t="str">
        <f t="shared" si="3"/>
        <v/>
      </c>
      <c r="N28" s="4" t="str">
        <f t="shared" si="6"/>
        <v>0:00</v>
      </c>
    </row>
    <row r="29" spans="1:14" x14ac:dyDescent="0.25">
      <c r="A29" s="8" t="str">
        <f t="shared" si="7"/>
        <v>Jeudi</v>
      </c>
      <c r="B29" s="10">
        <f t="shared" si="1"/>
        <v>41936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4"/>
        <v>0</v>
      </c>
      <c r="G29" s="4"/>
      <c r="H29" s="5"/>
      <c r="I29" s="5"/>
      <c r="J29" s="5" t="str">
        <f t="shared" si="2"/>
        <v xml:space="preserve"> </v>
      </c>
      <c r="K29" s="5">
        <v>0.32291666666666669</v>
      </c>
      <c r="L29" s="5" t="str">
        <f t="shared" si="5"/>
        <v/>
      </c>
      <c r="M29" s="4" t="str">
        <f t="shared" si="3"/>
        <v/>
      </c>
      <c r="N29" s="4" t="str">
        <f t="shared" si="6"/>
        <v>0:00</v>
      </c>
    </row>
    <row r="30" spans="1:14" x14ac:dyDescent="0.25">
      <c r="A30" s="8" t="str">
        <f t="shared" si="7"/>
        <v>Vendredi</v>
      </c>
      <c r="B30" s="10">
        <f t="shared" si="1"/>
        <v>41937</v>
      </c>
      <c r="C30" s="3">
        <f>IFERROR((VLOOKUP(B30,Fériés:Fériés,2,0)),VLOOKUP(A30,Année!$C$2:$C$8:'Année'!$D$2:$D$8,2,0))</f>
        <v>0.16666666666666666</v>
      </c>
      <c r="D30" s="4"/>
      <c r="E30" s="4"/>
      <c r="F30" s="5">
        <f t="shared" si="4"/>
        <v>0</v>
      </c>
      <c r="G30" s="4"/>
      <c r="H30" s="5"/>
      <c r="I30" s="5"/>
      <c r="J30" s="5" t="str">
        <f t="shared" si="2"/>
        <v xml:space="preserve"> </v>
      </c>
      <c r="K30" s="5">
        <v>0.16666666666666666</v>
      </c>
      <c r="L30" s="5" t="str">
        <f t="shared" si="5"/>
        <v/>
      </c>
      <c r="M30" s="4" t="str">
        <f t="shared" si="3"/>
        <v/>
      </c>
      <c r="N30" s="4" t="str">
        <f t="shared" si="6"/>
        <v>0:00</v>
      </c>
    </row>
    <row r="31" spans="1:14" x14ac:dyDescent="0.25">
      <c r="A31" s="8" t="str">
        <f t="shared" si="7"/>
        <v>Samedi</v>
      </c>
      <c r="B31" s="10">
        <f t="shared" si="1"/>
        <v>41938</v>
      </c>
      <c r="C31" s="3">
        <f>IFERROR((VLOOKUP(B31,Fériés:Fériés,2,0)),VLOOKUP(A31,Année!$C$2:$C$8:'Année'!$D$2:$D$8,2,0))</f>
        <v>0</v>
      </c>
      <c r="D31" s="4"/>
      <c r="E31" s="4"/>
      <c r="F31" s="5">
        <f t="shared" si="4"/>
        <v>0</v>
      </c>
      <c r="G31" s="4"/>
      <c r="H31" s="5"/>
      <c r="I31" s="5"/>
      <c r="J31" s="5">
        <f t="shared" si="2"/>
        <v>0</v>
      </c>
      <c r="K31" s="5"/>
      <c r="L31" s="5" t="str">
        <f t="shared" si="5"/>
        <v/>
      </c>
      <c r="M31" s="4" t="str">
        <f t="shared" si="3"/>
        <v/>
      </c>
      <c r="N31" s="4" t="str">
        <f t="shared" si="6"/>
        <v>0:00</v>
      </c>
    </row>
    <row r="32" spans="1:14" x14ac:dyDescent="0.25">
      <c r="A32" s="8" t="str">
        <f t="shared" si="7"/>
        <v>Dimanche</v>
      </c>
      <c r="B32" s="10">
        <f t="shared" si="1"/>
        <v>41939</v>
      </c>
      <c r="C32" s="3">
        <f>IFERROR((VLOOKUP(B32,Fériés:Fériés,2,0)),VLOOKUP(A32,Année!$C$2:$C$8:'Année'!$D$2:$D$8,2,0))</f>
        <v>0</v>
      </c>
      <c r="D32" s="4"/>
      <c r="E32" s="4"/>
      <c r="F32" s="5">
        <f t="shared" si="4"/>
        <v>0</v>
      </c>
      <c r="G32" s="4"/>
      <c r="H32" s="5"/>
      <c r="I32" s="5"/>
      <c r="J32" s="5">
        <f t="shared" si="2"/>
        <v>0</v>
      </c>
      <c r="K32" s="5"/>
      <c r="L32" s="5" t="str">
        <f t="shared" si="5"/>
        <v/>
      </c>
      <c r="M32" s="4" t="str">
        <f t="shared" si="3"/>
        <v/>
      </c>
      <c r="N32" s="4" t="str">
        <f t="shared" si="6"/>
        <v>0:00</v>
      </c>
    </row>
    <row r="33" spans="1:14" x14ac:dyDescent="0.25">
      <c r="A33" s="8" t="str">
        <f t="shared" si="7"/>
        <v>Lundi</v>
      </c>
      <c r="B33" s="10">
        <f t="shared" si="1"/>
        <v>41940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4"/>
        <v>0.32291666666666669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 x14ac:dyDescent="0.25">
      <c r="A34" s="8" t="str">
        <f t="shared" si="7"/>
        <v>Mardi</v>
      </c>
      <c r="B34" s="10">
        <f t="shared" si="1"/>
        <v>41941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4"/>
        <v>0.32291666666666669</v>
      </c>
      <c r="G34" s="4"/>
      <c r="H34" s="5"/>
      <c r="I34" s="5"/>
      <c r="J34" s="5" t="str">
        <f t="shared" si="2"/>
        <v xml:space="preserve"> </v>
      </c>
      <c r="K34" s="5"/>
      <c r="L34" s="5">
        <f t="shared" si="5"/>
        <v>0</v>
      </c>
      <c r="M34" s="4" t="str">
        <f t="shared" si="3"/>
        <v/>
      </c>
      <c r="N34" s="4" t="str">
        <f t="shared" si="6"/>
        <v>0:00</v>
      </c>
    </row>
    <row r="35" spans="1:14" x14ac:dyDescent="0.25">
      <c r="A35" s="8" t="str">
        <f t="shared" si="7"/>
        <v>Mercredi</v>
      </c>
      <c r="B35" s="10">
        <f t="shared" si="1"/>
        <v>41942</v>
      </c>
      <c r="C35" s="3">
        <f>IFERROR((VLOOKUP(B35,Fériés:Fériés,2,0)),VLOOKUP(A35,Année!$C$2:$C$8:'Année'!$D$2:$D$8,2,0))</f>
        <v>0.32291666666666669</v>
      </c>
      <c r="D35" s="4"/>
      <c r="E35" s="4"/>
      <c r="F35" s="5">
        <f t="shared" si="4"/>
        <v>0.32291666666666669</v>
      </c>
      <c r="G35" s="4"/>
      <c r="H35" s="5"/>
      <c r="I35" s="5"/>
      <c r="J35" s="5" t="str">
        <f t="shared" si="2"/>
        <v xml:space="preserve"> </v>
      </c>
      <c r="K35" s="5"/>
      <c r="L35" s="5">
        <f t="shared" si="5"/>
        <v>0</v>
      </c>
      <c r="M35" s="4" t="str">
        <f t="shared" si="3"/>
        <v/>
      </c>
      <c r="N35" s="4" t="str">
        <f t="shared" si="6"/>
        <v>0:00</v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6.8020833333333357</v>
      </c>
      <c r="D38" s="39">
        <f t="shared" ref="D38:N38" si="8">SUM(D5:D37)</f>
        <v>0</v>
      </c>
      <c r="E38" s="39">
        <f t="shared" si="8"/>
        <v>0</v>
      </c>
      <c r="F38" s="39">
        <f t="shared" si="8"/>
        <v>5.3437500000000009</v>
      </c>
      <c r="G38" s="39">
        <f t="shared" si="8"/>
        <v>0</v>
      </c>
      <c r="H38" s="39">
        <f t="shared" si="8"/>
        <v>0</v>
      </c>
      <c r="I38" s="39">
        <f t="shared" si="8"/>
        <v>0</v>
      </c>
      <c r="J38" s="39">
        <f t="shared" si="8"/>
        <v>0</v>
      </c>
      <c r="K38" s="39">
        <f t="shared" si="8"/>
        <v>1.4583333333333335</v>
      </c>
      <c r="L38" s="39">
        <f t="shared" si="8"/>
        <v>0</v>
      </c>
      <c r="M38" s="39">
        <f t="shared" si="8"/>
        <v>0</v>
      </c>
      <c r="N38" s="39">
        <f t="shared" si="8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49" priority="14">
      <formula>$A5="Dimanche"</formula>
    </cfRule>
    <cfRule type="expression" dxfId="48" priority="15">
      <formula>$A5="Samedi"</formula>
    </cfRule>
  </conditionalFormatting>
  <conditionalFormatting sqref="A5:A37">
    <cfRule type="expression" dxfId="47" priority="13">
      <formula>$M5&lt;&gt;""</formula>
    </cfRule>
  </conditionalFormatting>
  <conditionalFormatting sqref="A36:N36 K5:K35 A5:E35 G5:I35">
    <cfRule type="expression" dxfId="46" priority="16">
      <formula>COUNTIF(Jours_fériés,$B5)=1</formula>
    </cfRule>
  </conditionalFormatting>
  <conditionalFormatting sqref="J5:J35">
    <cfRule type="expression" dxfId="45" priority="10">
      <formula>$A5="Dimanche"</formula>
    </cfRule>
    <cfRule type="expression" dxfId="44" priority="11">
      <formula>$A5="Samedi"</formula>
    </cfRule>
  </conditionalFormatting>
  <conditionalFormatting sqref="J5:J35">
    <cfRule type="expression" dxfId="43" priority="12">
      <formula>COUNTIF(Jours_fériés,$B5)=1</formula>
    </cfRule>
  </conditionalFormatting>
  <conditionalFormatting sqref="L5:L35 N5:N35">
    <cfRule type="expression" dxfId="42" priority="7">
      <formula>COUNTIF(Jours_fériés,$B5)=1</formula>
    </cfRule>
    <cfRule type="expression" dxfId="41" priority="9">
      <formula>$A5="Samedi"</formula>
    </cfRule>
  </conditionalFormatting>
  <conditionalFormatting sqref="L5:L35 N5:N35">
    <cfRule type="expression" dxfId="40" priority="8">
      <formula>$A5="Dimanche"</formula>
    </cfRule>
  </conditionalFormatting>
  <conditionalFormatting sqref="F5:F35">
    <cfRule type="expression" dxfId="39" priority="4">
      <formula>$A5="Dimanche"</formula>
    </cfRule>
    <cfRule type="expression" dxfId="38" priority="5">
      <formula>$A5="Samedi"</formula>
    </cfRule>
  </conditionalFormatting>
  <conditionalFormatting sqref="F5:F35">
    <cfRule type="expression" dxfId="37" priority="6">
      <formula>COUNTIF(Jours_fériés,$B5)=1</formula>
    </cfRule>
  </conditionalFormatting>
  <conditionalFormatting sqref="M5:M35">
    <cfRule type="expression" dxfId="36" priority="1">
      <formula>COUNTIF(Jours_fériés,$B5)=1</formula>
    </cfRule>
    <cfRule type="expression" dxfId="35" priority="3">
      <formula>$A5="Samedi"</formula>
    </cfRule>
  </conditionalFormatting>
  <conditionalFormatting sqref="M5:M35">
    <cfRule type="expression" dxfId="34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N39"/>
  <sheetViews>
    <sheetView workbookViewId="0">
      <pane ySplit="4" topLeftCell="A22" activePane="bottomLeft" state="frozen"/>
      <selection activeCell="B36" sqref="B36"/>
      <selection pane="bottomLeft" activeCell="F35" sqref="F35:N35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DATE(Année!B1,11,1)</f>
        <v>41943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Jeudi</v>
      </c>
      <c r="B5" s="10">
        <f t="shared" ref="B5:B34" si="1">DATE(An,11,ROW(1:31))</f>
        <v>41943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4" si="2">IF(C5=0,VLOOKUP(A5,Horaires,2,FALSE)," ")</f>
        <v>0.32291666666666669</v>
      </c>
      <c r="K5" s="5"/>
      <c r="L5" s="5" t="str">
        <f>IF(A5="dimanche","",IF(A5="samedi","",IF(F5&lt;=0,"",(IF(H5="",F5-C5,H5-C5))+(I5+K5+N5))))</f>
        <v/>
      </c>
      <c r="M5" s="4" t="str">
        <f t="shared" ref="M5:M34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Vendredi</v>
      </c>
      <c r="B6" s="10">
        <f t="shared" si="1"/>
        <v>41944</v>
      </c>
      <c r="C6" s="3">
        <f>IFERROR((VLOOKUP(B6,Fériés:Fériés,2,0)),VLOOKUP(A6,Année!$C$2:$C$8:'Année'!$D$2:$D$8,2,0))</f>
        <v>0.16666666666666666</v>
      </c>
      <c r="D6" s="4"/>
      <c r="E6" s="4"/>
      <c r="F6" s="5">
        <f t="shared" ref="F6:F34" si="4">IF(K6="",C6,0)</f>
        <v>0</v>
      </c>
      <c r="G6" s="4"/>
      <c r="H6" s="5"/>
      <c r="I6" s="5"/>
      <c r="J6" s="5" t="str">
        <f t="shared" si="2"/>
        <v xml:space="preserve"> </v>
      </c>
      <c r="K6" s="5">
        <v>0.16666666666666666</v>
      </c>
      <c r="L6" s="5" t="str">
        <f t="shared" ref="L6:L34" si="5">IF(A6="dimanche","",IF(A6="samedi","",IF(F6&lt;=0,"",(IF(H6="",F6-C6,H6-C6))+(I6+K6+N6))))</f>
        <v/>
      </c>
      <c r="M6" s="4" t="str">
        <f t="shared" si="3"/>
        <v/>
      </c>
      <c r="N6" s="4" t="str">
        <f t="shared" ref="N6:N34" si="6">IF(F6="","",IF((F6+I6+K6)&gt;=C6,"0:00",C6-F6))</f>
        <v>0:00</v>
      </c>
    </row>
    <row r="7" spans="1:14" x14ac:dyDescent="0.25">
      <c r="A7" s="8" t="str">
        <f t="shared" si="0"/>
        <v>Samedi</v>
      </c>
      <c r="B7" s="10">
        <f t="shared" si="1"/>
        <v>41945</v>
      </c>
      <c r="C7" s="3">
        <f>IFERROR((VLOOKUP(B7,Fériés:Fériés,2,0)),VLOOKUP(A7,Année!$C$2:$C$8:'Année'!$D$2:$D$8,2,0))</f>
        <v>0</v>
      </c>
      <c r="D7" s="4"/>
      <c r="E7" s="4"/>
      <c r="F7" s="5">
        <f t="shared" si="4"/>
        <v>0</v>
      </c>
      <c r="G7" s="4"/>
      <c r="H7" s="5"/>
      <c r="I7" s="5"/>
      <c r="J7" s="5">
        <f t="shared" si="2"/>
        <v>0</v>
      </c>
      <c r="K7" s="5"/>
      <c r="L7" s="5" t="str">
        <f t="shared" si="5"/>
        <v/>
      </c>
      <c r="M7" s="4" t="str">
        <f t="shared" si="3"/>
        <v/>
      </c>
      <c r="N7" s="4" t="str">
        <f t="shared" si="6"/>
        <v>0:00</v>
      </c>
    </row>
    <row r="8" spans="1:14" x14ac:dyDescent="0.25">
      <c r="A8" s="8" t="str">
        <f t="shared" si="0"/>
        <v>Dimanche</v>
      </c>
      <c r="B8" s="10">
        <f t="shared" si="1"/>
        <v>41946</v>
      </c>
      <c r="C8" s="3">
        <f>IFERROR((VLOOKUP(B8,Fériés:Fériés,2,0)),VLOOKUP(A8,Année!$C$2:$C$8:'Année'!$D$2:$D$8,2,0))</f>
        <v>0</v>
      </c>
      <c r="D8" s="4"/>
      <c r="E8" s="4"/>
      <c r="F8" s="5">
        <f t="shared" si="4"/>
        <v>0</v>
      </c>
      <c r="G8" s="4"/>
      <c r="H8" s="5"/>
      <c r="I8" s="5"/>
      <c r="J8" s="5">
        <f t="shared" si="2"/>
        <v>0</v>
      </c>
      <c r="K8" s="5"/>
      <c r="L8" s="5" t="str">
        <f t="shared" si="5"/>
        <v/>
      </c>
      <c r="M8" s="4" t="str">
        <f t="shared" si="3"/>
        <v/>
      </c>
      <c r="N8" s="4" t="str">
        <f t="shared" si="6"/>
        <v>0:00</v>
      </c>
    </row>
    <row r="9" spans="1:14" x14ac:dyDescent="0.25">
      <c r="A9" s="8" t="str">
        <f>CHOOSE(WEEKDAY(B9),"Dimanche","Lundi","Mardi","Mercredi","Jeudi","Vendredi","Samedi")</f>
        <v>Lundi</v>
      </c>
      <c r="B9" s="10">
        <f t="shared" si="1"/>
        <v>41947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 x14ac:dyDescent="0.25">
      <c r="A10" s="8" t="str">
        <f t="shared" ref="A10:A34" si="7">CHOOSE(WEEKDAY(B10),"Dimanche","Lundi","Mardi","Mercredi","Jeudi","Vendredi","Samedi")</f>
        <v>Mardi</v>
      </c>
      <c r="B10" s="10">
        <f t="shared" si="1"/>
        <v>41948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0.32291666666666669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 x14ac:dyDescent="0.25">
      <c r="A11" s="8" t="str">
        <f t="shared" si="7"/>
        <v>Mercredi</v>
      </c>
      <c r="B11" s="10">
        <f t="shared" si="1"/>
        <v>41949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4"/>
        <v>0.32291666666666669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 x14ac:dyDescent="0.25">
      <c r="A12" s="8" t="str">
        <f t="shared" si="7"/>
        <v>Jeudi</v>
      </c>
      <c r="B12" s="10">
        <f t="shared" si="1"/>
        <v>41950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4"/>
        <v>0.32291666666666669</v>
      </c>
      <c r="G12" s="4"/>
      <c r="H12" s="5"/>
      <c r="I12" s="5"/>
      <c r="J12" s="5" t="str">
        <f t="shared" si="2"/>
        <v xml:space="preserve"> </v>
      </c>
      <c r="K12" s="5"/>
      <c r="L12" s="5">
        <f t="shared" si="5"/>
        <v>0</v>
      </c>
      <c r="M12" s="4" t="str">
        <f t="shared" si="3"/>
        <v/>
      </c>
      <c r="N12" s="4" t="str">
        <f t="shared" si="6"/>
        <v>0:00</v>
      </c>
    </row>
    <row r="13" spans="1:14" x14ac:dyDescent="0.25">
      <c r="A13" s="8" t="str">
        <f t="shared" si="7"/>
        <v>Vendredi</v>
      </c>
      <c r="B13" s="10">
        <f t="shared" si="1"/>
        <v>41951</v>
      </c>
      <c r="C13" s="3">
        <f>IFERROR((VLOOKUP(B13,Fériés:Fériés,2,0)),VLOOKUP(A13,Année!$C$2:$C$8:'Année'!$D$2:$D$8,2,0))</f>
        <v>0.16666666666666666</v>
      </c>
      <c r="D13" s="4"/>
      <c r="E13" s="4"/>
      <c r="F13" s="5">
        <f t="shared" si="4"/>
        <v>0.16666666666666666</v>
      </c>
      <c r="G13" s="4"/>
      <c r="H13" s="5"/>
      <c r="I13" s="5"/>
      <c r="J13" s="5" t="str">
        <f t="shared" si="2"/>
        <v xml:space="preserve"> </v>
      </c>
      <c r="K13" s="5"/>
      <c r="L13" s="5">
        <f t="shared" si="5"/>
        <v>0</v>
      </c>
      <c r="M13" s="4" t="str">
        <f t="shared" si="3"/>
        <v/>
      </c>
      <c r="N13" s="4" t="str">
        <f t="shared" si="6"/>
        <v>0:00</v>
      </c>
    </row>
    <row r="14" spans="1:14" x14ac:dyDescent="0.25">
      <c r="A14" s="8" t="str">
        <f t="shared" si="7"/>
        <v>Samedi</v>
      </c>
      <c r="B14" s="10">
        <f t="shared" si="1"/>
        <v>41952</v>
      </c>
      <c r="C14" s="3">
        <f>IFERROR((VLOOKUP(B14,Fériés:Fériés,2,0)),VLOOKUP(A14,Année!$C$2:$C$8:'Année'!$D$2:$D$8,2,0))</f>
        <v>0</v>
      </c>
      <c r="D14" s="4"/>
      <c r="E14" s="4"/>
      <c r="F14" s="5">
        <f t="shared" si="4"/>
        <v>0</v>
      </c>
      <c r="G14" s="4"/>
      <c r="H14" s="5"/>
      <c r="I14" s="5"/>
      <c r="J14" s="5">
        <f t="shared" si="2"/>
        <v>0</v>
      </c>
      <c r="K14" s="5"/>
      <c r="L14" s="5" t="str">
        <f t="shared" si="5"/>
        <v/>
      </c>
      <c r="M14" s="4" t="str">
        <f t="shared" si="3"/>
        <v/>
      </c>
      <c r="N14" s="4" t="str">
        <f t="shared" si="6"/>
        <v>0:00</v>
      </c>
    </row>
    <row r="15" spans="1:14" x14ac:dyDescent="0.25">
      <c r="A15" s="8" t="str">
        <f t="shared" si="7"/>
        <v>Dimanche</v>
      </c>
      <c r="B15" s="10">
        <f t="shared" si="1"/>
        <v>41953</v>
      </c>
      <c r="C15" s="3">
        <f>IFERROR((VLOOKUP(B15,Fériés:Fériés,2,0)),VLOOKUP(A15,Année!$C$2:$C$8:'Année'!$D$2:$D$8,2,0))</f>
        <v>0</v>
      </c>
      <c r="D15" s="4"/>
      <c r="E15" s="4"/>
      <c r="F15" s="5">
        <f t="shared" si="4"/>
        <v>0</v>
      </c>
      <c r="G15" s="4"/>
      <c r="H15" s="5"/>
      <c r="I15" s="5"/>
      <c r="J15" s="5">
        <f t="shared" si="2"/>
        <v>0</v>
      </c>
      <c r="K15" s="5"/>
      <c r="L15" s="5" t="str">
        <f t="shared" si="5"/>
        <v/>
      </c>
      <c r="M15" s="4" t="str">
        <f t="shared" si="3"/>
        <v/>
      </c>
      <c r="N15" s="4" t="str">
        <f t="shared" si="6"/>
        <v>0:00</v>
      </c>
    </row>
    <row r="16" spans="1:14" x14ac:dyDescent="0.25">
      <c r="A16" s="8" t="str">
        <f t="shared" si="7"/>
        <v>Lundi</v>
      </c>
      <c r="B16" s="10">
        <f t="shared" si="1"/>
        <v>41954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 x14ac:dyDescent="0.25">
      <c r="A17" s="8" t="str">
        <f t="shared" si="7"/>
        <v>Mardi</v>
      </c>
      <c r="B17" s="10">
        <f t="shared" si="1"/>
        <v>41955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0.32291666666666669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 x14ac:dyDescent="0.25">
      <c r="A18" s="8" t="str">
        <f t="shared" si="7"/>
        <v>Mercredi</v>
      </c>
      <c r="B18" s="10">
        <f t="shared" si="1"/>
        <v>41956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4"/>
        <v>0.32291666666666669</v>
      </c>
      <c r="G18" s="4"/>
      <c r="H18" s="5"/>
      <c r="I18" s="5"/>
      <c r="J18" s="5" t="str">
        <f t="shared" si="2"/>
        <v xml:space="preserve"> </v>
      </c>
      <c r="K18" s="5"/>
      <c r="L18" s="5">
        <f t="shared" si="5"/>
        <v>0</v>
      </c>
      <c r="M18" s="4" t="str">
        <f t="shared" si="3"/>
        <v/>
      </c>
      <c r="N18" s="4" t="str">
        <f t="shared" si="6"/>
        <v>0:00</v>
      </c>
    </row>
    <row r="19" spans="1:14" x14ac:dyDescent="0.25">
      <c r="A19" s="8" t="str">
        <f t="shared" si="7"/>
        <v>Jeudi</v>
      </c>
      <c r="B19" s="10">
        <f t="shared" si="1"/>
        <v>41957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4"/>
        <v>0.32291666666666669</v>
      </c>
      <c r="G19" s="4"/>
      <c r="H19" s="5"/>
      <c r="I19" s="5"/>
      <c r="J19" s="5" t="str">
        <f t="shared" si="2"/>
        <v xml:space="preserve"> </v>
      </c>
      <c r="K19" s="5"/>
      <c r="L19" s="5">
        <f t="shared" si="5"/>
        <v>0</v>
      </c>
      <c r="M19" s="4" t="str">
        <f t="shared" si="3"/>
        <v/>
      </c>
      <c r="N19" s="4" t="str">
        <f t="shared" si="6"/>
        <v>0:00</v>
      </c>
    </row>
    <row r="20" spans="1:14" x14ac:dyDescent="0.25">
      <c r="A20" s="8" t="str">
        <f t="shared" si="7"/>
        <v>Vendredi</v>
      </c>
      <c r="B20" s="10">
        <f t="shared" si="1"/>
        <v>41958</v>
      </c>
      <c r="C20" s="3">
        <f>IFERROR((VLOOKUP(B20,Fériés:Fériés,2,0)),VLOOKUP(A20,Année!$C$2:$C$8:'Année'!$D$2:$D$8,2,0))</f>
        <v>0.16666666666666666</v>
      </c>
      <c r="D20" s="4"/>
      <c r="E20" s="4"/>
      <c r="F20" s="5">
        <f t="shared" si="4"/>
        <v>0.16666666666666666</v>
      </c>
      <c r="G20" s="4"/>
      <c r="H20" s="5"/>
      <c r="I20" s="5"/>
      <c r="J20" s="5" t="str">
        <f t="shared" si="2"/>
        <v xml:space="preserve"> </v>
      </c>
      <c r="K20" s="5"/>
      <c r="L20" s="5">
        <f t="shared" si="5"/>
        <v>0</v>
      </c>
      <c r="M20" s="4" t="str">
        <f t="shared" si="3"/>
        <v/>
      </c>
      <c r="N20" s="4" t="str">
        <f t="shared" si="6"/>
        <v>0:00</v>
      </c>
    </row>
    <row r="21" spans="1:14" x14ac:dyDescent="0.25">
      <c r="A21" s="8" t="str">
        <f t="shared" si="7"/>
        <v>Samedi</v>
      </c>
      <c r="B21" s="10">
        <f t="shared" si="1"/>
        <v>41959</v>
      </c>
      <c r="C21" s="3">
        <f>IFERROR((VLOOKUP(B21,Fériés:Fériés,2,0)),VLOOKUP(A21,Année!$C$2:$C$8:'Année'!$D$2:$D$8,2,0))</f>
        <v>0</v>
      </c>
      <c r="D21" s="4"/>
      <c r="E21" s="4"/>
      <c r="F21" s="5">
        <f t="shared" si="4"/>
        <v>0</v>
      </c>
      <c r="G21" s="4"/>
      <c r="H21" s="5"/>
      <c r="I21" s="5"/>
      <c r="J21" s="5">
        <f t="shared" si="2"/>
        <v>0</v>
      </c>
      <c r="K21" s="5"/>
      <c r="L21" s="5" t="str">
        <f t="shared" si="5"/>
        <v/>
      </c>
      <c r="M21" s="4" t="str">
        <f t="shared" si="3"/>
        <v/>
      </c>
      <c r="N21" s="4" t="str">
        <f t="shared" si="6"/>
        <v>0:00</v>
      </c>
    </row>
    <row r="22" spans="1:14" x14ac:dyDescent="0.25">
      <c r="A22" s="8" t="str">
        <f t="shared" si="7"/>
        <v>Dimanche</v>
      </c>
      <c r="B22" s="10">
        <f t="shared" si="1"/>
        <v>41960</v>
      </c>
      <c r="C22" s="3">
        <f>IFERROR((VLOOKUP(B22,Fériés:Fériés,2,0)),VLOOKUP(A22,Année!$C$2:$C$8:'Année'!$D$2:$D$8,2,0))</f>
        <v>0</v>
      </c>
      <c r="D22" s="4"/>
      <c r="E22" s="4"/>
      <c r="F22" s="5">
        <f t="shared" si="4"/>
        <v>0</v>
      </c>
      <c r="G22" s="4"/>
      <c r="H22" s="5"/>
      <c r="I22" s="5"/>
      <c r="J22" s="5">
        <f t="shared" si="2"/>
        <v>0</v>
      </c>
      <c r="K22" s="5"/>
      <c r="L22" s="5" t="str">
        <f t="shared" si="5"/>
        <v/>
      </c>
      <c r="M22" s="4" t="str">
        <f t="shared" si="3"/>
        <v/>
      </c>
      <c r="N22" s="4" t="str">
        <f t="shared" si="6"/>
        <v>0:00</v>
      </c>
    </row>
    <row r="23" spans="1:14" x14ac:dyDescent="0.25">
      <c r="A23" s="8" t="str">
        <f t="shared" si="7"/>
        <v>Lundi</v>
      </c>
      <c r="B23" s="10">
        <f t="shared" si="1"/>
        <v>41961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 x14ac:dyDescent="0.25">
      <c r="A24" s="8" t="str">
        <f t="shared" si="7"/>
        <v>Mardi</v>
      </c>
      <c r="B24" s="10">
        <f t="shared" si="1"/>
        <v>41962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 x14ac:dyDescent="0.25">
      <c r="A25" s="8" t="str">
        <f t="shared" si="7"/>
        <v>Mercredi</v>
      </c>
      <c r="B25" s="10">
        <f t="shared" si="1"/>
        <v>41963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4"/>
        <v>0.32291666666666669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 x14ac:dyDescent="0.25">
      <c r="A26" s="8" t="str">
        <f t="shared" si="7"/>
        <v>Jeudi</v>
      </c>
      <c r="B26" s="10">
        <f t="shared" si="1"/>
        <v>41964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4"/>
        <v>0.32291666666666669</v>
      </c>
      <c r="G26" s="4"/>
      <c r="H26" s="5"/>
      <c r="I26" s="5"/>
      <c r="J26" s="5" t="str">
        <f t="shared" si="2"/>
        <v xml:space="preserve"> </v>
      </c>
      <c r="K26" s="5"/>
      <c r="L26" s="5">
        <f t="shared" si="5"/>
        <v>0</v>
      </c>
      <c r="M26" s="4" t="str">
        <f t="shared" si="3"/>
        <v/>
      </c>
      <c r="N26" s="4" t="str">
        <f t="shared" si="6"/>
        <v>0:00</v>
      </c>
    </row>
    <row r="27" spans="1:14" x14ac:dyDescent="0.25">
      <c r="A27" s="8" t="str">
        <f t="shared" si="7"/>
        <v>Vendredi</v>
      </c>
      <c r="B27" s="10">
        <f t="shared" si="1"/>
        <v>41965</v>
      </c>
      <c r="C27" s="3">
        <f>IFERROR((VLOOKUP(B27,Fériés:Fériés,2,0)),VLOOKUP(A27,Année!$C$2:$C$8:'Année'!$D$2:$D$8,2,0))</f>
        <v>0.16666666666666666</v>
      </c>
      <c r="D27" s="4"/>
      <c r="E27" s="4"/>
      <c r="F27" s="5">
        <f t="shared" si="4"/>
        <v>0.16666666666666666</v>
      </c>
      <c r="G27" s="4"/>
      <c r="H27" s="5"/>
      <c r="I27" s="5"/>
      <c r="J27" s="5" t="str">
        <f t="shared" si="2"/>
        <v xml:space="preserve"> </v>
      </c>
      <c r="K27" s="5"/>
      <c r="L27" s="5">
        <f t="shared" si="5"/>
        <v>0</v>
      </c>
      <c r="M27" s="4" t="str">
        <f t="shared" si="3"/>
        <v/>
      </c>
      <c r="N27" s="4" t="str">
        <f t="shared" si="6"/>
        <v>0:00</v>
      </c>
    </row>
    <row r="28" spans="1:14" x14ac:dyDescent="0.25">
      <c r="A28" s="8" t="str">
        <f t="shared" si="7"/>
        <v>Samedi</v>
      </c>
      <c r="B28" s="10">
        <f t="shared" si="1"/>
        <v>41966</v>
      </c>
      <c r="C28" s="3">
        <f>IFERROR((VLOOKUP(B28,Fériés:Fériés,2,0)),VLOOKUP(A28,Année!$C$2:$C$8:'Année'!$D$2:$D$8,2,0))</f>
        <v>0</v>
      </c>
      <c r="D28" s="4"/>
      <c r="E28" s="4"/>
      <c r="F28" s="5">
        <f t="shared" si="4"/>
        <v>0</v>
      </c>
      <c r="G28" s="4"/>
      <c r="H28" s="5"/>
      <c r="I28" s="5"/>
      <c r="J28" s="5">
        <f t="shared" si="2"/>
        <v>0</v>
      </c>
      <c r="K28" s="5"/>
      <c r="L28" s="5" t="str">
        <f t="shared" si="5"/>
        <v/>
      </c>
      <c r="M28" s="4" t="str">
        <f t="shared" si="3"/>
        <v/>
      </c>
      <c r="N28" s="4" t="str">
        <f t="shared" si="6"/>
        <v>0:00</v>
      </c>
    </row>
    <row r="29" spans="1:14" x14ac:dyDescent="0.25">
      <c r="A29" s="8" t="str">
        <f t="shared" si="7"/>
        <v>Dimanche</v>
      </c>
      <c r="B29" s="10">
        <f t="shared" si="1"/>
        <v>41967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4"/>
        <v>0</v>
      </c>
      <c r="G29" s="4"/>
      <c r="H29" s="5"/>
      <c r="I29" s="5"/>
      <c r="J29" s="5">
        <f t="shared" si="2"/>
        <v>0</v>
      </c>
      <c r="K29" s="5"/>
      <c r="L29" s="5" t="str">
        <f t="shared" si="5"/>
        <v/>
      </c>
      <c r="M29" s="4" t="str">
        <f t="shared" si="3"/>
        <v/>
      </c>
      <c r="N29" s="4" t="str">
        <f t="shared" si="6"/>
        <v>0:00</v>
      </c>
    </row>
    <row r="30" spans="1:14" x14ac:dyDescent="0.25">
      <c r="A30" s="8" t="str">
        <f t="shared" si="7"/>
        <v>Lundi</v>
      </c>
      <c r="B30" s="10">
        <f t="shared" si="1"/>
        <v>41968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0.32291666666666669</v>
      </c>
      <c r="G30" s="4"/>
      <c r="H30" s="5"/>
      <c r="I30" s="5"/>
      <c r="J30" s="5" t="str">
        <f t="shared" si="2"/>
        <v xml:space="preserve"> </v>
      </c>
      <c r="K30" s="5"/>
      <c r="L30" s="5">
        <f t="shared" si="5"/>
        <v>0</v>
      </c>
      <c r="M30" s="4" t="str">
        <f t="shared" si="3"/>
        <v/>
      </c>
      <c r="N30" s="4" t="str">
        <f t="shared" si="6"/>
        <v>0:00</v>
      </c>
    </row>
    <row r="31" spans="1:14" x14ac:dyDescent="0.25">
      <c r="A31" s="8" t="str">
        <f t="shared" si="7"/>
        <v>Mardi</v>
      </c>
      <c r="B31" s="10">
        <f t="shared" si="1"/>
        <v>41969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0.32291666666666669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 x14ac:dyDescent="0.25">
      <c r="A32" s="8" t="str">
        <f t="shared" si="7"/>
        <v>Mercredi</v>
      </c>
      <c r="B32" s="10">
        <f t="shared" si="1"/>
        <v>41970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4"/>
        <v>0.32291666666666669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 x14ac:dyDescent="0.25">
      <c r="A33" s="8" t="str">
        <f t="shared" si="7"/>
        <v>Jeudi</v>
      </c>
      <c r="B33" s="10">
        <f t="shared" si="1"/>
        <v>41971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4"/>
        <v>0.32291666666666669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 x14ac:dyDescent="0.25">
      <c r="A34" s="8" t="str">
        <f t="shared" si="7"/>
        <v>Vendredi</v>
      </c>
      <c r="B34" s="10">
        <f t="shared" si="1"/>
        <v>41972</v>
      </c>
      <c r="C34" s="3">
        <f>IFERROR((VLOOKUP(B34,Fériés:Fériés,2,0)),VLOOKUP(A34,Année!$C$2:$C$8:'Année'!$D$2:$D$8,2,0))</f>
        <v>0.16666666666666666</v>
      </c>
      <c r="D34" s="4"/>
      <c r="E34" s="4"/>
      <c r="F34" s="5">
        <f t="shared" si="4"/>
        <v>0.16666666666666666</v>
      </c>
      <c r="G34" s="4"/>
      <c r="H34" s="5"/>
      <c r="I34" s="5"/>
      <c r="J34" s="5" t="str">
        <f t="shared" si="2"/>
        <v xml:space="preserve"> </v>
      </c>
      <c r="K34" s="5"/>
      <c r="L34" s="5">
        <f t="shared" si="5"/>
        <v>0</v>
      </c>
      <c r="M34" s="4" t="str">
        <f t="shared" si="3"/>
        <v/>
      </c>
      <c r="N34" s="4" t="str">
        <f t="shared" si="6"/>
        <v>0:00</v>
      </c>
    </row>
    <row r="35" spans="1:14" x14ac:dyDescent="0.25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/>
      <c r="M35" s="4"/>
      <c r="N35" s="4"/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6.0000000000000018</v>
      </c>
      <c r="D38" s="39">
        <f t="shared" ref="D38:N38" si="8">SUM(D5:D37)</f>
        <v>0</v>
      </c>
      <c r="E38" s="39">
        <f t="shared" si="8"/>
        <v>0</v>
      </c>
      <c r="F38" s="39">
        <f t="shared" si="8"/>
        <v>5.8333333333333348</v>
      </c>
      <c r="G38" s="39">
        <f t="shared" si="8"/>
        <v>0</v>
      </c>
      <c r="H38" s="39">
        <f t="shared" si="8"/>
        <v>0</v>
      </c>
      <c r="I38" s="39">
        <f t="shared" si="8"/>
        <v>0</v>
      </c>
      <c r="J38" s="39">
        <f t="shared" si="8"/>
        <v>0.32291666666666669</v>
      </c>
      <c r="K38" s="39">
        <f t="shared" si="8"/>
        <v>0.16666666666666666</v>
      </c>
      <c r="L38" s="39">
        <f t="shared" si="8"/>
        <v>0</v>
      </c>
      <c r="M38" s="39">
        <f t="shared" si="8"/>
        <v>0</v>
      </c>
      <c r="N38" s="39">
        <f t="shared" si="8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33" priority="14">
      <formula>$A5="Dimanche"</formula>
    </cfRule>
    <cfRule type="expression" dxfId="32" priority="15">
      <formula>$A5="Samedi"</formula>
    </cfRule>
  </conditionalFormatting>
  <conditionalFormatting sqref="A5:A37">
    <cfRule type="expression" dxfId="31" priority="13">
      <formula>$M5&lt;&gt;""</formula>
    </cfRule>
  </conditionalFormatting>
  <conditionalFormatting sqref="A36:N36 K5:K35 A5:E35 G5:I35">
    <cfRule type="expression" dxfId="30" priority="16">
      <formula>COUNTIF(Jours_fériés,$B5)=1</formula>
    </cfRule>
  </conditionalFormatting>
  <conditionalFormatting sqref="J5:J35">
    <cfRule type="expression" dxfId="29" priority="10">
      <formula>$A5="Dimanche"</formula>
    </cfRule>
    <cfRule type="expression" dxfId="28" priority="11">
      <formula>$A5="Samedi"</formula>
    </cfRule>
  </conditionalFormatting>
  <conditionalFormatting sqref="J5:J35">
    <cfRule type="expression" dxfId="27" priority="12">
      <formula>COUNTIF(Jours_fériés,$B5)=1</formula>
    </cfRule>
  </conditionalFormatting>
  <conditionalFormatting sqref="L5:L35 N5:N35">
    <cfRule type="expression" dxfId="26" priority="7">
      <formula>COUNTIF(Jours_fériés,$B5)=1</formula>
    </cfRule>
    <cfRule type="expression" dxfId="25" priority="9">
      <formula>$A5="Samedi"</formula>
    </cfRule>
  </conditionalFormatting>
  <conditionalFormatting sqref="L5:L35 N5:N35">
    <cfRule type="expression" dxfId="24" priority="8">
      <formula>$A5="Dimanche"</formula>
    </cfRule>
  </conditionalFormatting>
  <conditionalFormatting sqref="F5:F35">
    <cfRule type="expression" dxfId="23" priority="4">
      <formula>$A5="Dimanche"</formula>
    </cfRule>
    <cfRule type="expression" dxfId="22" priority="5">
      <formula>$A5="Samedi"</formula>
    </cfRule>
  </conditionalFormatting>
  <conditionalFormatting sqref="F5:F35">
    <cfRule type="expression" dxfId="21" priority="6">
      <formula>COUNTIF(Jours_fériés,$B5)=1</formula>
    </cfRule>
  </conditionalFormatting>
  <conditionalFormatting sqref="M5:M35">
    <cfRule type="expression" dxfId="20" priority="1">
      <formula>COUNTIF(Jours_fériés,$B5)=1</formula>
    </cfRule>
    <cfRule type="expression" dxfId="19" priority="3">
      <formula>$A5="Samedi"</formula>
    </cfRule>
  </conditionalFormatting>
  <conditionalFormatting sqref="M5:M35">
    <cfRule type="expression" dxfId="18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39"/>
  <sheetViews>
    <sheetView workbookViewId="0">
      <pane ySplit="4" topLeftCell="A21" activePane="bottomLeft" state="frozen"/>
      <selection activeCell="B36" sqref="B36"/>
      <selection pane="bottomLeft" activeCell="M5" sqref="M5:M35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3" max="8" width="14.5703125" customWidth="1"/>
    <col min="9" max="11" width="10.85546875" customWidth="1"/>
    <col min="12" max="12" width="14.28515625" customWidth="1"/>
    <col min="13" max="14" width="10.85546875" customWidth="1"/>
  </cols>
  <sheetData>
    <row r="1" spans="1:14" ht="15" customHeight="1" x14ac:dyDescent="0.25">
      <c r="A1" s="49">
        <f>DATE(Année!B1,12,1)</f>
        <v>41973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15.75" customHeight="1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1:14" ht="30" customHeight="1" x14ac:dyDescent="0.25">
      <c r="A3" s="60" t="s">
        <v>29</v>
      </c>
      <c r="B3" s="61"/>
      <c r="C3" s="54" t="s">
        <v>0</v>
      </c>
      <c r="D3" s="51" t="s">
        <v>7</v>
      </c>
      <c r="E3" s="52"/>
      <c r="F3" s="52"/>
      <c r="G3" s="52"/>
      <c r="H3" s="53"/>
      <c r="I3" s="45" t="s">
        <v>1</v>
      </c>
      <c r="J3" s="43" t="s">
        <v>17</v>
      </c>
      <c r="K3" s="45" t="s">
        <v>5</v>
      </c>
      <c r="L3" s="43" t="s">
        <v>18</v>
      </c>
      <c r="M3" s="47" t="s">
        <v>6</v>
      </c>
      <c r="N3" s="41" t="s">
        <v>14</v>
      </c>
    </row>
    <row r="4" spans="1:14" ht="30.75" customHeight="1" thickBot="1" x14ac:dyDescent="0.3">
      <c r="A4" s="60"/>
      <c r="B4" s="61"/>
      <c r="C4" s="55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46"/>
      <c r="J4" s="44"/>
      <c r="K4" s="46"/>
      <c r="L4" s="44"/>
      <c r="M4" s="48"/>
      <c r="N4" s="42"/>
    </row>
    <row r="5" spans="1:14" x14ac:dyDescent="0.25">
      <c r="A5" s="8" t="str">
        <f t="shared" ref="A5:A8" si="0">CHOOSE(WEEKDAY(B5),"Dimanche","Lundi","Mardi","Mercredi","Jeudi","Vendredi","Samedi")</f>
        <v>Samedi</v>
      </c>
      <c r="B5" s="10">
        <f t="shared" ref="B5:B35" si="1">DATE(An,12,ROW(1:31))</f>
        <v>41973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5" si="2">IF(C5=0,VLOOKUP(A5,Horaires,2,FALSE)," ")</f>
        <v>0</v>
      </c>
      <c r="K5" s="5"/>
      <c r="L5" s="5" t="str">
        <f>IF(A5="dimanche","",IF(A5="samedi","",IF(F5&lt;=0,"",(IF(H5="",F5-C5,H5-C5))+(I5+K5+N5))))</f>
        <v/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x14ac:dyDescent="0.25">
      <c r="A6" s="8" t="str">
        <f t="shared" si="0"/>
        <v>Dimanche</v>
      </c>
      <c r="B6" s="10">
        <f t="shared" si="1"/>
        <v>41974</v>
      </c>
      <c r="C6" s="3">
        <f>IFERROR((VLOOKUP(B6,Fériés:Fériés,2,0)),VLOOKUP(A6,Année!$C$2:$C$8:'Année'!$D$2:$D$8,2,0))</f>
        <v>0</v>
      </c>
      <c r="D6" s="4"/>
      <c r="E6" s="4"/>
      <c r="F6" s="5">
        <f t="shared" ref="F6:F35" si="4">IF(K6="",C6,0)</f>
        <v>0</v>
      </c>
      <c r="G6" s="4"/>
      <c r="H6" s="5"/>
      <c r="I6" s="5"/>
      <c r="J6" s="5">
        <f t="shared" si="2"/>
        <v>0</v>
      </c>
      <c r="K6" s="5"/>
      <c r="L6" s="5" t="str">
        <f t="shared" ref="L6:L35" si="5">IF(A6="dimanche","",IF(A6="samedi","",IF(F6&lt;=0,"",(IF(H6="",F6-C6,H6-C6))+(I6+K6+N6))))</f>
        <v/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 x14ac:dyDescent="0.25">
      <c r="A7" s="8" t="str">
        <f t="shared" si="0"/>
        <v>Lundi</v>
      </c>
      <c r="B7" s="10">
        <f t="shared" si="1"/>
        <v>41975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 x14ac:dyDescent="0.25">
      <c r="A8" s="8" t="str">
        <f t="shared" si="0"/>
        <v>Mardi</v>
      </c>
      <c r="B8" s="10">
        <f t="shared" si="1"/>
        <v>41976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 x14ac:dyDescent="0.25">
      <c r="A9" s="8" t="str">
        <f>CHOOSE(WEEKDAY(B9),"Dimanche","Lundi","Mardi","Mercredi","Jeudi","Vendredi","Samedi")</f>
        <v>Mercredi</v>
      </c>
      <c r="B9" s="10">
        <f t="shared" si="1"/>
        <v>41977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 x14ac:dyDescent="0.25">
      <c r="A10" s="8" t="str">
        <f t="shared" ref="A10:A35" si="7">CHOOSE(WEEKDAY(B10),"Dimanche","Lundi","Mardi","Mercredi","Jeudi","Vendredi","Samedi")</f>
        <v>Jeudi</v>
      </c>
      <c r="B10" s="10">
        <f t="shared" si="1"/>
        <v>41978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0.32291666666666669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 x14ac:dyDescent="0.25">
      <c r="A11" s="8" t="str">
        <f t="shared" si="7"/>
        <v>Vendredi</v>
      </c>
      <c r="B11" s="10">
        <f t="shared" si="1"/>
        <v>41979</v>
      </c>
      <c r="C11" s="3">
        <f>IFERROR((VLOOKUP(B11,Fériés:Fériés,2,0)),VLOOKUP(A11,Année!$C$2:$C$8:'Année'!$D$2:$D$8,2,0))</f>
        <v>0.16666666666666666</v>
      </c>
      <c r="D11" s="4"/>
      <c r="E11" s="4"/>
      <c r="F11" s="5">
        <f t="shared" si="4"/>
        <v>0.16666666666666666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 x14ac:dyDescent="0.25">
      <c r="A12" s="8" t="str">
        <f t="shared" si="7"/>
        <v>Samedi</v>
      </c>
      <c r="B12" s="10">
        <f t="shared" si="1"/>
        <v>41980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4"/>
        <v>0</v>
      </c>
      <c r="G12" s="4"/>
      <c r="H12" s="5"/>
      <c r="I12" s="5"/>
      <c r="J12" s="5">
        <f t="shared" si="2"/>
        <v>0</v>
      </c>
      <c r="K12" s="5"/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 x14ac:dyDescent="0.25">
      <c r="A13" s="8" t="str">
        <f t="shared" si="7"/>
        <v>Dimanche</v>
      </c>
      <c r="B13" s="10">
        <f t="shared" si="1"/>
        <v>41981</v>
      </c>
      <c r="C13" s="3">
        <f>IFERROR((VLOOKUP(B13,Fériés:Fériés,2,0)),VLOOKUP(A13,Année!$C$2:$C$8:'Année'!$D$2:$D$8,2,0))</f>
        <v>0</v>
      </c>
      <c r="D13" s="4"/>
      <c r="E13" s="4"/>
      <c r="F13" s="5">
        <f t="shared" si="4"/>
        <v>0</v>
      </c>
      <c r="G13" s="4"/>
      <c r="H13" s="5"/>
      <c r="I13" s="5"/>
      <c r="J13" s="5">
        <f t="shared" si="2"/>
        <v>0</v>
      </c>
      <c r="K13" s="5"/>
      <c r="L13" s="5" t="str">
        <f t="shared" si="5"/>
        <v/>
      </c>
      <c r="M13" s="4" t="str">
        <f t="shared" si="3"/>
        <v/>
      </c>
      <c r="N13" s="4" t="str">
        <f t="shared" si="6"/>
        <v>0:00</v>
      </c>
    </row>
    <row r="14" spans="1:14" x14ac:dyDescent="0.25">
      <c r="A14" s="8" t="str">
        <f t="shared" si="7"/>
        <v>Lundi</v>
      </c>
      <c r="B14" s="10">
        <f t="shared" si="1"/>
        <v>41982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4"/>
        <v>0.32291666666666669</v>
      </c>
      <c r="G14" s="4"/>
      <c r="H14" s="5"/>
      <c r="I14" s="5"/>
      <c r="J14" s="5" t="str">
        <f t="shared" si="2"/>
        <v xml:space="preserve"> </v>
      </c>
      <c r="K14" s="5"/>
      <c r="L14" s="5">
        <f t="shared" si="5"/>
        <v>0</v>
      </c>
      <c r="M14" s="4" t="str">
        <f t="shared" si="3"/>
        <v/>
      </c>
      <c r="N14" s="4" t="str">
        <f t="shared" si="6"/>
        <v>0:00</v>
      </c>
    </row>
    <row r="15" spans="1:14" x14ac:dyDescent="0.25">
      <c r="A15" s="8" t="str">
        <f t="shared" si="7"/>
        <v>Mardi</v>
      </c>
      <c r="B15" s="10">
        <f t="shared" si="1"/>
        <v>41983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 x14ac:dyDescent="0.25">
      <c r="A16" s="8" t="str">
        <f t="shared" si="7"/>
        <v>Mercredi</v>
      </c>
      <c r="B16" s="10">
        <f t="shared" si="1"/>
        <v>41984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 x14ac:dyDescent="0.25">
      <c r="A17" s="8" t="str">
        <f t="shared" si="7"/>
        <v>Jeudi</v>
      </c>
      <c r="B17" s="10">
        <f t="shared" si="1"/>
        <v>41985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0.32291666666666669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 x14ac:dyDescent="0.25">
      <c r="A18" s="8" t="str">
        <f t="shared" si="7"/>
        <v>Vendredi</v>
      </c>
      <c r="B18" s="10">
        <f t="shared" si="1"/>
        <v>41986</v>
      </c>
      <c r="C18" s="3">
        <f>IFERROR((VLOOKUP(B18,Fériés:Fériés,2,0)),VLOOKUP(A18,Année!$C$2:$C$8:'Année'!$D$2:$D$8,2,0))</f>
        <v>0.16666666666666666</v>
      </c>
      <c r="D18" s="4"/>
      <c r="E18" s="4"/>
      <c r="F18" s="5">
        <f t="shared" si="4"/>
        <v>0.16666666666666666</v>
      </c>
      <c r="G18" s="4"/>
      <c r="H18" s="5"/>
      <c r="I18" s="5"/>
      <c r="J18" s="5" t="str">
        <f t="shared" si="2"/>
        <v xml:space="preserve"> </v>
      </c>
      <c r="K18" s="5"/>
      <c r="L18" s="5">
        <f t="shared" si="5"/>
        <v>0</v>
      </c>
      <c r="M18" s="4" t="str">
        <f t="shared" si="3"/>
        <v/>
      </c>
      <c r="N18" s="4" t="str">
        <f t="shared" si="6"/>
        <v>0:00</v>
      </c>
    </row>
    <row r="19" spans="1:14" x14ac:dyDescent="0.25">
      <c r="A19" s="8" t="str">
        <f t="shared" si="7"/>
        <v>Samedi</v>
      </c>
      <c r="B19" s="10">
        <f t="shared" si="1"/>
        <v>41987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4"/>
        <v>0</v>
      </c>
      <c r="G19" s="4"/>
      <c r="H19" s="5"/>
      <c r="I19" s="5"/>
      <c r="J19" s="5">
        <f t="shared" si="2"/>
        <v>0</v>
      </c>
      <c r="K19" s="5"/>
      <c r="L19" s="5" t="str">
        <f t="shared" si="5"/>
        <v/>
      </c>
      <c r="M19" s="4" t="str">
        <f t="shared" si="3"/>
        <v/>
      </c>
      <c r="N19" s="4" t="str">
        <f t="shared" si="6"/>
        <v>0:00</v>
      </c>
    </row>
    <row r="20" spans="1:14" x14ac:dyDescent="0.25">
      <c r="A20" s="8" t="str">
        <f t="shared" si="7"/>
        <v>Dimanche</v>
      </c>
      <c r="B20" s="10">
        <f t="shared" si="1"/>
        <v>41988</v>
      </c>
      <c r="C20" s="3">
        <f>IFERROR((VLOOKUP(B20,Fériés:Fériés,2,0)),VLOOKUP(A20,Année!$C$2:$C$8:'Année'!$D$2:$D$8,2,0))</f>
        <v>0</v>
      </c>
      <c r="D20" s="4"/>
      <c r="E20" s="4"/>
      <c r="F20" s="5">
        <f t="shared" si="4"/>
        <v>0</v>
      </c>
      <c r="G20" s="4"/>
      <c r="H20" s="5"/>
      <c r="I20" s="5"/>
      <c r="J20" s="5">
        <f t="shared" si="2"/>
        <v>0</v>
      </c>
      <c r="K20" s="5"/>
      <c r="L20" s="5" t="str">
        <f t="shared" si="5"/>
        <v/>
      </c>
      <c r="M20" s="4" t="str">
        <f t="shared" si="3"/>
        <v/>
      </c>
      <c r="N20" s="4" t="str">
        <f t="shared" si="6"/>
        <v>0:00</v>
      </c>
    </row>
    <row r="21" spans="1:14" x14ac:dyDescent="0.25">
      <c r="A21" s="8" t="str">
        <f t="shared" si="7"/>
        <v>Lundi</v>
      </c>
      <c r="B21" s="10">
        <f t="shared" si="1"/>
        <v>41989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 x14ac:dyDescent="0.25">
      <c r="A22" s="8" t="str">
        <f t="shared" si="7"/>
        <v>Mardi</v>
      </c>
      <c r="B22" s="10">
        <f t="shared" si="1"/>
        <v>41990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 x14ac:dyDescent="0.25">
      <c r="A23" s="8" t="str">
        <f t="shared" si="7"/>
        <v>Mercredi</v>
      </c>
      <c r="B23" s="10">
        <f t="shared" si="1"/>
        <v>41991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 x14ac:dyDescent="0.25">
      <c r="A24" s="8" t="str">
        <f t="shared" si="7"/>
        <v>Jeudi</v>
      </c>
      <c r="B24" s="10">
        <f t="shared" si="1"/>
        <v>41992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 x14ac:dyDescent="0.25">
      <c r="A25" s="8" t="str">
        <f t="shared" si="7"/>
        <v>Vendredi</v>
      </c>
      <c r="B25" s="10">
        <f t="shared" si="1"/>
        <v>41993</v>
      </c>
      <c r="C25" s="3">
        <f>IFERROR((VLOOKUP(B25,Fériés:Fériés,2,0)),VLOOKUP(A25,Année!$C$2:$C$8:'Année'!$D$2:$D$8,2,0))</f>
        <v>0.16666666666666666</v>
      </c>
      <c r="D25" s="4"/>
      <c r="E25" s="4"/>
      <c r="F25" s="5">
        <f t="shared" si="4"/>
        <v>0.16666666666666666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 x14ac:dyDescent="0.25">
      <c r="A26" s="8" t="str">
        <f t="shared" si="7"/>
        <v>Samedi</v>
      </c>
      <c r="B26" s="10">
        <f t="shared" si="1"/>
        <v>41994</v>
      </c>
      <c r="C26" s="3">
        <f>IFERROR((VLOOKUP(B26,Fériés:Fériés,2,0)),VLOOKUP(A26,Année!$C$2:$C$8:'Année'!$D$2:$D$8,2,0))</f>
        <v>0</v>
      </c>
      <c r="D26" s="4"/>
      <c r="E26" s="4"/>
      <c r="F26" s="5">
        <f t="shared" si="4"/>
        <v>0</v>
      </c>
      <c r="G26" s="4"/>
      <c r="H26" s="5"/>
      <c r="I26" s="5"/>
      <c r="J26" s="5">
        <f t="shared" si="2"/>
        <v>0</v>
      </c>
      <c r="K26" s="5"/>
      <c r="L26" s="5" t="str">
        <f t="shared" si="5"/>
        <v/>
      </c>
      <c r="M26" s="4" t="str">
        <f t="shared" si="3"/>
        <v/>
      </c>
      <c r="N26" s="4" t="str">
        <f t="shared" si="6"/>
        <v>0:00</v>
      </c>
    </row>
    <row r="27" spans="1:14" x14ac:dyDescent="0.25">
      <c r="A27" s="8" t="str">
        <f t="shared" si="7"/>
        <v>Dimanche</v>
      </c>
      <c r="B27" s="10">
        <f t="shared" si="1"/>
        <v>41995</v>
      </c>
      <c r="C27" s="3">
        <f>IFERROR((VLOOKUP(B27,Fériés:Fériés,2,0)),VLOOKUP(A27,Année!$C$2:$C$8:'Année'!$D$2:$D$8,2,0))</f>
        <v>0</v>
      </c>
      <c r="D27" s="4"/>
      <c r="E27" s="4"/>
      <c r="F27" s="5">
        <f t="shared" si="4"/>
        <v>0</v>
      </c>
      <c r="G27" s="4"/>
      <c r="H27" s="5"/>
      <c r="I27" s="5"/>
      <c r="J27" s="5">
        <f t="shared" si="2"/>
        <v>0</v>
      </c>
      <c r="K27" s="5"/>
      <c r="L27" s="5" t="str">
        <f t="shared" si="5"/>
        <v/>
      </c>
      <c r="M27" s="4" t="str">
        <f t="shared" si="3"/>
        <v/>
      </c>
      <c r="N27" s="4" t="str">
        <f t="shared" si="6"/>
        <v>0:00</v>
      </c>
    </row>
    <row r="28" spans="1:14" x14ac:dyDescent="0.25">
      <c r="A28" s="8" t="str">
        <f t="shared" si="7"/>
        <v>Lundi</v>
      </c>
      <c r="B28" s="10">
        <f t="shared" si="1"/>
        <v>41996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</v>
      </c>
      <c r="G28" s="4"/>
      <c r="H28" s="5"/>
      <c r="I28" s="5"/>
      <c r="J28" s="5" t="str">
        <f t="shared" si="2"/>
        <v xml:space="preserve"> </v>
      </c>
      <c r="K28" s="5">
        <v>0.32291666666666669</v>
      </c>
      <c r="L28" s="5" t="str">
        <f t="shared" si="5"/>
        <v/>
      </c>
      <c r="M28" s="4" t="str">
        <f t="shared" si="3"/>
        <v/>
      </c>
      <c r="N28" s="4" t="str">
        <f t="shared" si="6"/>
        <v>0:00</v>
      </c>
    </row>
    <row r="29" spans="1:14" x14ac:dyDescent="0.25">
      <c r="A29" s="8" t="str">
        <f t="shared" si="7"/>
        <v>Mardi</v>
      </c>
      <c r="B29" s="10">
        <f t="shared" si="1"/>
        <v>41997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4"/>
        <v>0</v>
      </c>
      <c r="G29" s="4"/>
      <c r="H29" s="5"/>
      <c r="I29" s="5"/>
      <c r="J29" s="5">
        <f t="shared" si="2"/>
        <v>0.32291666666666669</v>
      </c>
      <c r="K29" s="5">
        <v>0</v>
      </c>
      <c r="L29" s="5" t="str">
        <f t="shared" si="5"/>
        <v/>
      </c>
      <c r="M29" s="4" t="str">
        <f t="shared" si="3"/>
        <v/>
      </c>
      <c r="N29" s="4" t="str">
        <f t="shared" si="6"/>
        <v>0:00</v>
      </c>
    </row>
    <row r="30" spans="1:14" x14ac:dyDescent="0.25">
      <c r="A30" s="8" t="str">
        <f t="shared" si="7"/>
        <v>Mercredi</v>
      </c>
      <c r="B30" s="10">
        <f t="shared" si="1"/>
        <v>41998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</v>
      </c>
      <c r="G30" s="4"/>
      <c r="H30" s="5"/>
      <c r="I30" s="5"/>
      <c r="J30" s="5" t="str">
        <f t="shared" si="2"/>
        <v xml:space="preserve"> </v>
      </c>
      <c r="K30" s="5">
        <v>0.32291666666666669</v>
      </c>
      <c r="L30" s="5" t="str">
        <f t="shared" si="5"/>
        <v/>
      </c>
      <c r="M30" s="4" t="str">
        <f t="shared" si="3"/>
        <v/>
      </c>
      <c r="N30" s="4" t="str">
        <f t="shared" si="6"/>
        <v>0:00</v>
      </c>
    </row>
    <row r="31" spans="1:14" x14ac:dyDescent="0.25">
      <c r="A31" s="8" t="str">
        <f t="shared" si="7"/>
        <v>Jeudi</v>
      </c>
      <c r="B31" s="10">
        <f t="shared" si="1"/>
        <v>41999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</v>
      </c>
      <c r="G31" s="4"/>
      <c r="H31" s="5"/>
      <c r="I31" s="5"/>
      <c r="J31" s="5" t="str">
        <f t="shared" si="2"/>
        <v xml:space="preserve"> </v>
      </c>
      <c r="K31" s="5">
        <v>0.32291666666666669</v>
      </c>
      <c r="L31" s="5" t="str">
        <f t="shared" si="5"/>
        <v/>
      </c>
      <c r="M31" s="4" t="str">
        <f t="shared" si="3"/>
        <v/>
      </c>
      <c r="N31" s="4" t="str">
        <f t="shared" si="6"/>
        <v>0:00</v>
      </c>
    </row>
    <row r="32" spans="1:14" x14ac:dyDescent="0.25">
      <c r="A32" s="8" t="str">
        <f t="shared" si="7"/>
        <v>Vendredi</v>
      </c>
      <c r="B32" s="10">
        <f t="shared" si="1"/>
        <v>42000</v>
      </c>
      <c r="C32" s="3">
        <f>IFERROR((VLOOKUP(B32,Fériés:Fériés,2,0)),VLOOKUP(A32,Année!$C$2:$C$8:'Année'!$D$2:$D$8,2,0))</f>
        <v>0.16666666666666666</v>
      </c>
      <c r="D32" s="4"/>
      <c r="E32" s="4"/>
      <c r="F32" s="5">
        <f t="shared" si="4"/>
        <v>0</v>
      </c>
      <c r="G32" s="4"/>
      <c r="H32" s="5"/>
      <c r="I32" s="5"/>
      <c r="J32" s="5" t="str">
        <f t="shared" si="2"/>
        <v xml:space="preserve"> </v>
      </c>
      <c r="K32" s="5">
        <v>0.16666666666666666</v>
      </c>
      <c r="L32" s="5" t="str">
        <f t="shared" si="5"/>
        <v/>
      </c>
      <c r="M32" s="4" t="str">
        <f t="shared" si="3"/>
        <v/>
      </c>
      <c r="N32" s="4" t="str">
        <f t="shared" si="6"/>
        <v>0:00</v>
      </c>
    </row>
    <row r="33" spans="1:14" x14ac:dyDescent="0.25">
      <c r="A33" s="8" t="str">
        <f t="shared" si="7"/>
        <v>Samedi</v>
      </c>
      <c r="B33" s="10">
        <f t="shared" si="1"/>
        <v>42001</v>
      </c>
      <c r="C33" s="3">
        <f>IFERROR((VLOOKUP(B33,Fériés:Fériés,2,0)),VLOOKUP(A33,Année!$C$2:$C$8:'Année'!$D$2:$D$8,2,0))</f>
        <v>0</v>
      </c>
      <c r="D33" s="4"/>
      <c r="E33" s="4"/>
      <c r="F33" s="5">
        <f t="shared" si="4"/>
        <v>0</v>
      </c>
      <c r="G33" s="4"/>
      <c r="H33" s="5"/>
      <c r="I33" s="5"/>
      <c r="J33" s="5">
        <f t="shared" si="2"/>
        <v>0</v>
      </c>
      <c r="K33" s="5"/>
      <c r="L33" s="5" t="str">
        <f t="shared" si="5"/>
        <v/>
      </c>
      <c r="M33" s="4" t="str">
        <f t="shared" si="3"/>
        <v/>
      </c>
      <c r="N33" s="4" t="str">
        <f t="shared" si="6"/>
        <v>0:00</v>
      </c>
    </row>
    <row r="34" spans="1:14" x14ac:dyDescent="0.25">
      <c r="A34" s="8" t="str">
        <f t="shared" si="7"/>
        <v>Dimanche</v>
      </c>
      <c r="B34" s="10">
        <f t="shared" si="1"/>
        <v>42002</v>
      </c>
      <c r="C34" s="3">
        <f>IFERROR((VLOOKUP(B34,Fériés:Fériés,2,0)),VLOOKUP(A34,Année!$C$2:$C$8:'Année'!$D$2:$D$8,2,0))</f>
        <v>0</v>
      </c>
      <c r="D34" s="4"/>
      <c r="E34" s="4"/>
      <c r="F34" s="5">
        <f t="shared" si="4"/>
        <v>0</v>
      </c>
      <c r="G34" s="4"/>
      <c r="H34" s="5"/>
      <c r="I34" s="5"/>
      <c r="J34" s="5">
        <f t="shared" si="2"/>
        <v>0</v>
      </c>
      <c r="K34" s="5"/>
      <c r="L34" s="5" t="str">
        <f t="shared" si="5"/>
        <v/>
      </c>
      <c r="M34" s="4" t="str">
        <f t="shared" si="3"/>
        <v/>
      </c>
      <c r="N34" s="4" t="str">
        <f t="shared" si="6"/>
        <v>0:00</v>
      </c>
    </row>
    <row r="35" spans="1:14" x14ac:dyDescent="0.25">
      <c r="A35" s="8" t="str">
        <f t="shared" si="7"/>
        <v>Lundi</v>
      </c>
      <c r="B35" s="10">
        <f t="shared" si="1"/>
        <v>42003</v>
      </c>
      <c r="C35" s="3">
        <f>IFERROR((VLOOKUP(B35,Fériés:Fériés,2,0)),VLOOKUP(A35,Année!$C$2:$C$8:'Année'!$D$2:$D$8,2,0))</f>
        <v>0.32291666666666669</v>
      </c>
      <c r="D35" s="4"/>
      <c r="E35" s="4"/>
      <c r="F35" s="5">
        <f t="shared" si="4"/>
        <v>0.32291666666666669</v>
      </c>
      <c r="G35" s="4"/>
      <c r="H35" s="5"/>
      <c r="I35" s="5"/>
      <c r="J35" s="5" t="str">
        <f t="shared" si="2"/>
        <v xml:space="preserve"> </v>
      </c>
      <c r="K35" s="5"/>
      <c r="L35" s="5">
        <f t="shared" si="5"/>
        <v>0</v>
      </c>
      <c r="M35" s="4" t="str">
        <f t="shared" si="3"/>
        <v/>
      </c>
      <c r="N35" s="4" t="str">
        <f t="shared" si="6"/>
        <v>0:00</v>
      </c>
    </row>
    <row r="36" spans="1:14" x14ac:dyDescent="0.25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.75" thickBot="1" x14ac:dyDescent="0.3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 x14ac:dyDescent="0.25">
      <c r="A38" s="56" t="s">
        <v>16</v>
      </c>
      <c r="B38" s="57"/>
      <c r="C38" s="39">
        <f>SUM(C5:C37)</f>
        <v>5.8333333333333348</v>
      </c>
      <c r="D38" s="39">
        <f t="shared" ref="D38:N38" si="8">SUM(D5:D37)</f>
        <v>0</v>
      </c>
      <c r="E38" s="39">
        <f t="shared" si="8"/>
        <v>0</v>
      </c>
      <c r="F38" s="39">
        <f t="shared" si="8"/>
        <v>4.697916666666667</v>
      </c>
      <c r="G38" s="39">
        <f t="shared" si="8"/>
        <v>0</v>
      </c>
      <c r="H38" s="39">
        <f t="shared" si="8"/>
        <v>0</v>
      </c>
      <c r="I38" s="39">
        <f t="shared" si="8"/>
        <v>0</v>
      </c>
      <c r="J38" s="39">
        <f t="shared" si="8"/>
        <v>0.32291666666666669</v>
      </c>
      <c r="K38" s="39">
        <f t="shared" si="8"/>
        <v>1.1354166666666667</v>
      </c>
      <c r="L38" s="39">
        <f t="shared" si="8"/>
        <v>0</v>
      </c>
      <c r="M38" s="39">
        <f t="shared" si="8"/>
        <v>0</v>
      </c>
      <c r="N38" s="39">
        <f t="shared" si="8"/>
        <v>0</v>
      </c>
    </row>
    <row r="39" spans="1:14" ht="15.75" thickBot="1" x14ac:dyDescent="0.3">
      <c r="A39" s="58"/>
      <c r="B39" s="5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17" priority="14">
      <formula>$A5="Dimanche"</formula>
    </cfRule>
    <cfRule type="expression" dxfId="16" priority="15">
      <formula>$A5="Samedi"</formula>
    </cfRule>
  </conditionalFormatting>
  <conditionalFormatting sqref="A5:A37">
    <cfRule type="expression" dxfId="15" priority="13">
      <formula>$M5&lt;&gt;""</formula>
    </cfRule>
  </conditionalFormatting>
  <conditionalFormatting sqref="A36:N36 K5:K35 A5:E35 G5:I35">
    <cfRule type="expression" dxfId="14" priority="16">
      <formula>COUNTIF(Jours_fériés,$B5)=1</formula>
    </cfRule>
  </conditionalFormatting>
  <conditionalFormatting sqref="J5:J35">
    <cfRule type="expression" dxfId="13" priority="10">
      <formula>$A5="Dimanche"</formula>
    </cfRule>
    <cfRule type="expression" dxfId="12" priority="11">
      <formula>$A5="Samedi"</formula>
    </cfRule>
  </conditionalFormatting>
  <conditionalFormatting sqref="J5:J35">
    <cfRule type="expression" dxfId="11" priority="12">
      <formula>COUNTIF(Jours_fériés,$B5)=1</formula>
    </cfRule>
  </conditionalFormatting>
  <conditionalFormatting sqref="L5:L35 N5:N35">
    <cfRule type="expression" dxfId="10" priority="7">
      <formula>COUNTIF(Jours_fériés,$B5)=1</formula>
    </cfRule>
    <cfRule type="expression" dxfId="9" priority="9">
      <formula>$A5="Samedi"</formula>
    </cfRule>
  </conditionalFormatting>
  <conditionalFormatting sqref="L5:L35 N5:N35">
    <cfRule type="expression" dxfId="8" priority="8">
      <formula>$A5="Dimanche"</formula>
    </cfRule>
  </conditionalFormatting>
  <conditionalFormatting sqref="F5:F35">
    <cfRule type="expression" dxfId="7" priority="4">
      <formula>$A5="Dimanche"</formula>
    </cfRule>
    <cfRule type="expression" dxfId="6" priority="5">
      <formula>$A5="Samedi"</formula>
    </cfRule>
  </conditionalFormatting>
  <conditionalFormatting sqref="F5:F35">
    <cfRule type="expression" dxfId="5" priority="6">
      <formula>COUNTIF(Jours_fériés,$B5)=1</formula>
    </cfRule>
  </conditionalFormatting>
  <conditionalFormatting sqref="M5:M35">
    <cfRule type="expression" dxfId="4" priority="1">
      <formula>COUNTIF(Jours_fériés,$B5)=1</formula>
    </cfRule>
    <cfRule type="expression" dxfId="3" priority="3">
      <formula>$A5="Samedi"</formula>
    </cfRule>
  </conditionalFormatting>
  <conditionalFormatting sqref="M5:M35">
    <cfRule type="expression" dxfId="2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6</vt:i4>
      </vt:variant>
    </vt:vector>
  </HeadingPairs>
  <TitlesOfParts>
    <vt:vector size="19" baseType="lpstr">
      <vt:lpstr>Année</vt:lpstr>
      <vt:lpstr>Janvier 2018</vt:lpstr>
      <vt:lpstr>Février</vt:lpstr>
      <vt:lpstr>Mars</vt:lpstr>
      <vt:lpstr>Avril 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</vt:lpstr>
      <vt:lpstr>Année</vt:lpstr>
      <vt:lpstr>Fériés</vt:lpstr>
      <vt:lpstr>Horaires</vt:lpstr>
      <vt:lpstr>Jours_fériés</vt:lpstr>
      <vt:lpstr>Paques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2018-05-01T07:57:54Z</dcterms:modified>
</cp:coreProperties>
</file>