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Travail\LCL\LCL_Gradignan\2018-AnimDDR\"/>
    </mc:Choice>
  </mc:AlternateContent>
  <bookViews>
    <workbookView xWindow="0" yWindow="60" windowWidth="25440" windowHeight="12375"/>
  </bookViews>
  <sheets>
    <sheet name="Anim Commerciale" sheetId="1" r:id="rId1"/>
    <sheet name="Paramètres" sheetId="2" state="hidden" r:id="rId2"/>
    <sheet name="Synthèse Magasins" sheetId="3" state="hidden" r:id="rId3"/>
  </sheets>
  <externalReferences>
    <externalReference r:id="rId4"/>
  </externalReferences>
  <definedNames>
    <definedName name="_xlnm._FilterDatabase" localSheetId="1" hidden="1">Paramètres!$B$1:$B$194</definedName>
    <definedName name="AGENCES">Paramètres!$A$2:$A$183</definedName>
    <definedName name="DGA">#REF!,#REF!,#REF!,#REF!,#REF!,#REF!,#REF!,#REF!,#REF!,#REF!,#REF!,#REF!,#REF!,#REF!,#REF!,#REF!,#REF!</definedName>
    <definedName name="prob">'Synthèse Magasins'!$AG$6:$AG$25</definedName>
    <definedName name="Rang_DGA">#REF!,#REF!,#REF!,#REF!,#REF!,#REF!,#REF!,#REF!,#REF!,#REF!,#REF!,#REF!,#REF!,#REF!,#REF!,#REF!,#REF!</definedName>
    <definedName name="RANGPROA">'Synthèse Magasins'!$M$61:$M$84</definedName>
    <definedName name="RANGPROB">'Synthèse Magasins'!$M$40:$M$59</definedName>
    <definedName name="RANGPROC">'Synthèse Magasins'!$M$7:$M$38</definedName>
  </definedNames>
  <calcPr calcId="152511"/>
</workbook>
</file>

<file path=xl/calcChain.xml><?xml version="1.0" encoding="utf-8"?>
<calcChain xmlns="http://schemas.openxmlformats.org/spreadsheetml/2006/main">
  <c r="B8" i="1" l="1" a="1"/>
  <c r="B8" i="1" s="1"/>
  <c r="D7" i="1"/>
  <c r="T7" i="1" s="1"/>
  <c r="AN7" i="3" l="1"/>
  <c r="AN8" i="3"/>
  <c r="AN9" i="3"/>
  <c r="AN10" i="3"/>
  <c r="AN11" i="3"/>
  <c r="AN12" i="3"/>
  <c r="AN13" i="3"/>
  <c r="AN14" i="3"/>
  <c r="AN15" i="3"/>
  <c r="AN16" i="3"/>
  <c r="AN17" i="3"/>
  <c r="AN18" i="3"/>
  <c r="AN19" i="3"/>
  <c r="AN20" i="3"/>
  <c r="AN21" i="3"/>
  <c r="AN22" i="3"/>
  <c r="AN23" i="3"/>
  <c r="AN24" i="3"/>
  <c r="AN25" i="3"/>
  <c r="AN26" i="3"/>
  <c r="AN27" i="3"/>
  <c r="AN28" i="3"/>
  <c r="AN29" i="3"/>
  <c r="AN6" i="3"/>
  <c r="AG7" i="3"/>
  <c r="AG8" i="3"/>
  <c r="AG9" i="3"/>
  <c r="AG10" i="3"/>
  <c r="AH10" i="3" s="1"/>
  <c r="AG11" i="3"/>
  <c r="AG12" i="3"/>
  <c r="AG13" i="3"/>
  <c r="AG14" i="3"/>
  <c r="AH14" i="3" s="1"/>
  <c r="AG15" i="3"/>
  <c r="AG16" i="3"/>
  <c r="AG17" i="3"/>
  <c r="AG18" i="3"/>
  <c r="AH18" i="3" s="1"/>
  <c r="AG19" i="3"/>
  <c r="AG20" i="3"/>
  <c r="AG21" i="3"/>
  <c r="AG22" i="3"/>
  <c r="AH22" i="3" s="1"/>
  <c r="AG23" i="3"/>
  <c r="AG24" i="3"/>
  <c r="AG25" i="3"/>
  <c r="AG6" i="3"/>
  <c r="AH6" i="3" s="1"/>
  <c r="AL7" i="3"/>
  <c r="AL8" i="3"/>
  <c r="AL9" i="3"/>
  <c r="AL10" i="3"/>
  <c r="AM29" i="3" s="1"/>
  <c r="AL11" i="3"/>
  <c r="AL12" i="3"/>
  <c r="AL13" i="3"/>
  <c r="AL14" i="3"/>
  <c r="AM14" i="3" s="1"/>
  <c r="AL15" i="3"/>
  <c r="AL16" i="3"/>
  <c r="AL17" i="3"/>
  <c r="AL18" i="3"/>
  <c r="AM18" i="3" s="1"/>
  <c r="AL19" i="3"/>
  <c r="AL20" i="3"/>
  <c r="AL21" i="3"/>
  <c r="AL22" i="3"/>
  <c r="AM22" i="3" s="1"/>
  <c r="AL23" i="3"/>
  <c r="AL24" i="3"/>
  <c r="AL25" i="3"/>
  <c r="AL26" i="3"/>
  <c r="AM26" i="3" s="1"/>
  <c r="AL27" i="3"/>
  <c r="AL28" i="3"/>
  <c r="AL29" i="3"/>
  <c r="AM10" i="3"/>
  <c r="AM21" i="3"/>
  <c r="AL6" i="3"/>
  <c r="AM13" i="3"/>
  <c r="AC6" i="3"/>
  <c r="AI7" i="3"/>
  <c r="AI8" i="3"/>
  <c r="AI9" i="3"/>
  <c r="AI10" i="3"/>
  <c r="AI11" i="3"/>
  <c r="AI12" i="3"/>
  <c r="AI13" i="3"/>
  <c r="AI14" i="3"/>
  <c r="AI15" i="3"/>
  <c r="AI16" i="3"/>
  <c r="AI17" i="3"/>
  <c r="AI18" i="3"/>
  <c r="AI19" i="3"/>
  <c r="AI20" i="3"/>
  <c r="AI21" i="3"/>
  <c r="AI22" i="3"/>
  <c r="AI23" i="3"/>
  <c r="AI24" i="3"/>
  <c r="AI25" i="3"/>
  <c r="AH7" i="3"/>
  <c r="AH15" i="3"/>
  <c r="AH20" i="3"/>
  <c r="AD7" i="3"/>
  <c r="AD8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D34" i="3"/>
  <c r="AD35" i="3"/>
  <c r="AD36" i="3"/>
  <c r="AD37" i="3"/>
  <c r="AD6" i="3"/>
  <c r="AC7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36" i="3"/>
  <c r="AC37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6" i="3"/>
  <c r="AH24" i="3" l="1"/>
  <c r="AH19" i="3"/>
  <c r="AH23" i="3"/>
  <c r="AH11" i="3"/>
  <c r="AH16" i="3"/>
  <c r="AH25" i="3"/>
  <c r="AH21" i="3"/>
  <c r="AH17" i="3"/>
  <c r="AH13" i="3"/>
  <c r="AH9" i="3"/>
  <c r="AH12" i="3"/>
  <c r="AH8" i="3"/>
  <c r="AI6" i="3"/>
  <c r="AM17" i="3"/>
  <c r="AM25" i="3"/>
  <c r="AM9" i="3"/>
  <c r="AM28" i="3"/>
  <c r="AM24" i="3"/>
  <c r="AM20" i="3"/>
  <c r="AM16" i="3"/>
  <c r="AM12" i="3"/>
  <c r="AM8" i="3"/>
  <c r="AM6" i="3"/>
  <c r="AM23" i="3"/>
  <c r="AM19" i="3"/>
  <c r="AM15" i="3"/>
  <c r="AM11" i="3"/>
  <c r="AM7" i="3"/>
  <c r="AM27" i="3"/>
  <c r="S39" i="3"/>
  <c r="J23" i="3" l="1"/>
  <c r="L9" i="3"/>
  <c r="L70" i="3"/>
  <c r="L71" i="3"/>
  <c r="W53" i="1"/>
  <c r="W52" i="1"/>
  <c r="W51" i="1"/>
  <c r="AA48" i="1"/>
  <c r="AA49" i="1"/>
  <c r="AA50" i="1"/>
  <c r="AB48" i="1"/>
  <c r="AB49" i="1"/>
  <c r="AC50" i="1"/>
  <c r="AD50" i="1"/>
  <c r="AD48" i="1"/>
  <c r="AD11" i="1"/>
  <c r="AC11" i="1"/>
  <c r="AB11" i="1"/>
  <c r="AA11" i="1"/>
  <c r="Z11" i="1"/>
  <c r="Y11" i="1"/>
  <c r="F3" i="1" l="1"/>
  <c r="S1" i="3" l="1"/>
  <c r="T1" i="3"/>
  <c r="U1" i="3"/>
  <c r="S2" i="3"/>
  <c r="T2" i="3"/>
  <c r="U2" i="3"/>
  <c r="S3" i="3"/>
  <c r="T3" i="3"/>
  <c r="U3" i="3"/>
  <c r="T4" i="3"/>
  <c r="U4" i="3"/>
  <c r="S5" i="3"/>
  <c r="T5" i="3"/>
  <c r="U5" i="3"/>
  <c r="S6" i="3"/>
  <c r="T6" i="3"/>
  <c r="U6" i="3"/>
  <c r="S7" i="3"/>
  <c r="T7" i="3"/>
  <c r="U7" i="3"/>
  <c r="S8" i="3"/>
  <c r="T8" i="3"/>
  <c r="U8" i="3"/>
  <c r="S9" i="3"/>
  <c r="T9" i="3"/>
  <c r="U9" i="3"/>
  <c r="S10" i="3"/>
  <c r="T10" i="3"/>
  <c r="U10" i="3"/>
  <c r="S11" i="3"/>
  <c r="T11" i="3"/>
  <c r="U11" i="3"/>
  <c r="S12" i="3"/>
  <c r="T12" i="3"/>
  <c r="U12" i="3"/>
  <c r="S13" i="3"/>
  <c r="T13" i="3"/>
  <c r="U13" i="3"/>
  <c r="S14" i="3"/>
  <c r="T14" i="3"/>
  <c r="U14" i="3"/>
  <c r="S15" i="3"/>
  <c r="T15" i="3"/>
  <c r="U15" i="3"/>
  <c r="S16" i="3"/>
  <c r="T16" i="3"/>
  <c r="U16" i="3"/>
  <c r="S17" i="3"/>
  <c r="T17" i="3"/>
  <c r="U17" i="3"/>
  <c r="S18" i="3"/>
  <c r="T18" i="3"/>
  <c r="U18" i="3"/>
  <c r="S19" i="3"/>
  <c r="T19" i="3"/>
  <c r="U19" i="3"/>
  <c r="S20" i="3"/>
  <c r="T20" i="3"/>
  <c r="U20" i="3"/>
  <c r="S21" i="3"/>
  <c r="T21" i="3"/>
  <c r="U21" i="3"/>
  <c r="S22" i="3"/>
  <c r="T22" i="3"/>
  <c r="U22" i="3"/>
  <c r="S23" i="3"/>
  <c r="T23" i="3"/>
  <c r="U23" i="3"/>
  <c r="S24" i="3"/>
  <c r="T24" i="3"/>
  <c r="U24" i="3"/>
  <c r="S25" i="3"/>
  <c r="T25" i="3"/>
  <c r="U25" i="3"/>
  <c r="S26" i="3"/>
  <c r="T26" i="3"/>
  <c r="U26" i="3"/>
  <c r="S27" i="3"/>
  <c r="T27" i="3"/>
  <c r="U27" i="3"/>
  <c r="S28" i="3"/>
  <c r="T28" i="3"/>
  <c r="U28" i="3"/>
  <c r="S29" i="3"/>
  <c r="U29" i="3"/>
  <c r="S30" i="3"/>
  <c r="T30" i="3"/>
  <c r="U30" i="3"/>
  <c r="S31" i="3"/>
  <c r="T31" i="3"/>
  <c r="U31" i="3"/>
  <c r="S32" i="3"/>
  <c r="T32" i="3"/>
  <c r="U32" i="3"/>
  <c r="S33" i="3"/>
  <c r="T33" i="3"/>
  <c r="U33" i="3"/>
  <c r="S34" i="3"/>
  <c r="T34" i="3"/>
  <c r="U34" i="3"/>
  <c r="S35" i="3"/>
  <c r="T35" i="3"/>
  <c r="U35" i="3"/>
  <c r="S36" i="3"/>
  <c r="T36" i="3"/>
  <c r="U36" i="3"/>
  <c r="S37" i="3"/>
  <c r="T37" i="3"/>
  <c r="U37" i="3"/>
  <c r="S38" i="3"/>
  <c r="T38" i="3"/>
  <c r="U38" i="3"/>
  <c r="T39" i="3"/>
  <c r="U39" i="3"/>
  <c r="S40" i="3"/>
  <c r="T40" i="3"/>
  <c r="U40" i="3"/>
  <c r="S41" i="3"/>
  <c r="T41" i="3"/>
  <c r="U41" i="3"/>
  <c r="S42" i="3"/>
  <c r="T42" i="3"/>
  <c r="U42" i="3"/>
  <c r="S43" i="3"/>
  <c r="T43" i="3"/>
  <c r="U43" i="3"/>
  <c r="S44" i="3"/>
  <c r="T44" i="3"/>
  <c r="U44" i="3"/>
  <c r="S45" i="3"/>
  <c r="T45" i="3"/>
  <c r="U45" i="3"/>
  <c r="S46" i="3"/>
  <c r="T46" i="3"/>
  <c r="U46" i="3"/>
  <c r="S47" i="3"/>
  <c r="T47" i="3"/>
  <c r="U47" i="3"/>
  <c r="S48" i="3"/>
  <c r="T48" i="3"/>
  <c r="U48" i="3"/>
  <c r="S49" i="3"/>
  <c r="T49" i="3"/>
  <c r="U49" i="3"/>
  <c r="S50" i="3"/>
  <c r="T50" i="3"/>
  <c r="U50" i="3"/>
  <c r="S51" i="3"/>
  <c r="T51" i="3"/>
  <c r="U51" i="3"/>
  <c r="S52" i="3"/>
  <c r="T52" i="3"/>
  <c r="U52" i="3"/>
  <c r="S53" i="3"/>
  <c r="T53" i="3"/>
  <c r="U53" i="3"/>
  <c r="S54" i="3"/>
  <c r="T54" i="3"/>
  <c r="U54" i="3"/>
  <c r="S55" i="3"/>
  <c r="T55" i="3"/>
  <c r="U55" i="3"/>
  <c r="S56" i="3"/>
  <c r="T56" i="3"/>
  <c r="U56" i="3"/>
  <c r="S57" i="3"/>
  <c r="T57" i="3"/>
  <c r="U57" i="3"/>
  <c r="S58" i="3"/>
  <c r="T58" i="3"/>
  <c r="U58" i="3"/>
  <c r="S59" i="3"/>
  <c r="T59" i="3"/>
  <c r="U59" i="3"/>
  <c r="S60" i="3"/>
  <c r="T60" i="3"/>
  <c r="U60" i="3"/>
  <c r="S61" i="3"/>
  <c r="T61" i="3"/>
  <c r="U61" i="3"/>
  <c r="S62" i="3"/>
  <c r="T62" i="3"/>
  <c r="U62" i="3"/>
  <c r="S63" i="3"/>
  <c r="T63" i="3"/>
  <c r="U63" i="3"/>
  <c r="S64" i="3"/>
  <c r="T64" i="3"/>
  <c r="U64" i="3"/>
  <c r="S65" i="3"/>
  <c r="T65" i="3"/>
  <c r="U65" i="3"/>
  <c r="S66" i="3"/>
  <c r="T66" i="3"/>
  <c r="U66" i="3"/>
  <c r="S67" i="3"/>
  <c r="T67" i="3"/>
  <c r="U67" i="3"/>
  <c r="S68" i="3"/>
  <c r="T68" i="3"/>
  <c r="U68" i="3"/>
  <c r="S69" i="3"/>
  <c r="T69" i="3"/>
  <c r="U69" i="3"/>
  <c r="S70" i="3"/>
  <c r="T70" i="3"/>
  <c r="U70" i="3"/>
  <c r="S71" i="3"/>
  <c r="T71" i="3"/>
  <c r="U71" i="3"/>
  <c r="S72" i="3"/>
  <c r="T72" i="3"/>
  <c r="U72" i="3"/>
  <c r="S73" i="3"/>
  <c r="T73" i="3"/>
  <c r="U73" i="3"/>
  <c r="S74" i="3"/>
  <c r="T74" i="3"/>
  <c r="U74" i="3"/>
  <c r="S75" i="3"/>
  <c r="T75" i="3"/>
  <c r="U75" i="3"/>
  <c r="S76" i="3"/>
  <c r="T76" i="3"/>
  <c r="U76" i="3"/>
  <c r="S77" i="3"/>
  <c r="T77" i="3"/>
  <c r="U77" i="3"/>
  <c r="S78" i="3"/>
  <c r="T78" i="3"/>
  <c r="U78" i="3"/>
  <c r="S79" i="3"/>
  <c r="T79" i="3"/>
  <c r="U79" i="3"/>
  <c r="S80" i="3"/>
  <c r="T80" i="3"/>
  <c r="U80" i="3"/>
  <c r="S81" i="3"/>
  <c r="T81" i="3"/>
  <c r="U81" i="3"/>
  <c r="S82" i="3"/>
  <c r="T82" i="3"/>
  <c r="U82" i="3"/>
  <c r="S83" i="3"/>
  <c r="T83" i="3"/>
  <c r="U83" i="3"/>
  <c r="S84" i="3"/>
  <c r="T84" i="3"/>
  <c r="U84" i="3"/>
  <c r="B1" i="3"/>
  <c r="C1" i="3"/>
  <c r="D1" i="3"/>
  <c r="E1" i="3"/>
  <c r="F1" i="3"/>
  <c r="G1" i="3"/>
  <c r="H1" i="3"/>
  <c r="I1" i="3"/>
  <c r="J1" i="3"/>
  <c r="K1" i="3"/>
  <c r="L1" i="3"/>
  <c r="M1" i="3"/>
  <c r="N1" i="3"/>
  <c r="O1" i="3"/>
  <c r="P1" i="3"/>
  <c r="Q1" i="3"/>
  <c r="R1" i="3"/>
  <c r="B2" i="3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E4" i="3"/>
  <c r="G4" i="3"/>
  <c r="I4" i="3"/>
  <c r="K4" i="3"/>
  <c r="M4" i="3"/>
  <c r="N4" i="3"/>
  <c r="O4" i="3"/>
  <c r="P4" i="3"/>
  <c r="Q4" i="3"/>
  <c r="R4" i="3"/>
  <c r="B5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C6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B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B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B9" i="3"/>
  <c r="D9" i="3"/>
  <c r="E9" i="3"/>
  <c r="F9" i="3"/>
  <c r="G9" i="3"/>
  <c r="H9" i="3"/>
  <c r="I9" i="3"/>
  <c r="J9" i="3"/>
  <c r="K9" i="3"/>
  <c r="M9" i="3"/>
  <c r="N9" i="3"/>
  <c r="O9" i="3"/>
  <c r="P9" i="3"/>
  <c r="Q9" i="3"/>
  <c r="R9" i="3"/>
  <c r="B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B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B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B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B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B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B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B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B18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B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B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B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B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B23" i="3"/>
  <c r="D23" i="3"/>
  <c r="E23" i="3"/>
  <c r="F23" i="3"/>
  <c r="G23" i="3"/>
  <c r="H23" i="3"/>
  <c r="I23" i="3"/>
  <c r="K23" i="3"/>
  <c r="L23" i="3"/>
  <c r="M23" i="3"/>
  <c r="N23" i="3"/>
  <c r="O23" i="3"/>
  <c r="P23" i="3"/>
  <c r="Q23" i="3"/>
  <c r="R23" i="3"/>
  <c r="B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B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B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B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B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B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B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B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B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B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B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B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B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B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B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B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B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B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B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B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B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B46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B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B48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B49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B50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B51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B52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B53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B54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B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B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B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B58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B59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C60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B61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B62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B63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B64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B65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B66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B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B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B69" i="3"/>
  <c r="D69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B70" i="3"/>
  <c r="D70" i="3"/>
  <c r="E70" i="3"/>
  <c r="F70" i="3"/>
  <c r="G70" i="3"/>
  <c r="H70" i="3"/>
  <c r="I70" i="3"/>
  <c r="J70" i="3"/>
  <c r="K70" i="3"/>
  <c r="M70" i="3"/>
  <c r="N70" i="3"/>
  <c r="O70" i="3"/>
  <c r="P70" i="3"/>
  <c r="Q70" i="3"/>
  <c r="R70" i="3"/>
  <c r="B71" i="3"/>
  <c r="D71" i="3"/>
  <c r="E71" i="3"/>
  <c r="F71" i="3"/>
  <c r="G71" i="3"/>
  <c r="H71" i="3"/>
  <c r="I71" i="3"/>
  <c r="J71" i="3"/>
  <c r="K71" i="3"/>
  <c r="M71" i="3"/>
  <c r="N71" i="3"/>
  <c r="O71" i="3"/>
  <c r="P71" i="3"/>
  <c r="Q71" i="3"/>
  <c r="R71" i="3"/>
  <c r="B72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B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B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B75" i="3"/>
  <c r="D75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B76" i="3"/>
  <c r="D76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B77" i="3"/>
  <c r="D77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B78" i="3"/>
  <c r="D78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B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B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B81" i="3"/>
  <c r="D81" i="3"/>
  <c r="E81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B82" i="3"/>
  <c r="D82" i="3"/>
  <c r="E82" i="3"/>
  <c r="F82" i="3"/>
  <c r="G82" i="3"/>
  <c r="H82" i="3"/>
  <c r="I82" i="3"/>
  <c r="J82" i="3"/>
  <c r="K82" i="3"/>
  <c r="L82" i="3"/>
  <c r="M82" i="3"/>
  <c r="N82" i="3"/>
  <c r="O82" i="3"/>
  <c r="P82" i="3"/>
  <c r="Q82" i="3"/>
  <c r="R82" i="3"/>
  <c r="B83" i="3"/>
  <c r="D83" i="3"/>
  <c r="E83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B84" i="3"/>
  <c r="D84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1" i="3"/>
  <c r="Y166" i="3" l="1"/>
  <c r="Z69" i="3"/>
  <c r="Z84" i="3"/>
  <c r="Z92" i="3"/>
  <c r="Z46" i="3"/>
  <c r="Z70" i="3"/>
  <c r="Z73" i="3"/>
  <c r="Z89" i="3"/>
  <c r="Q2" i="2"/>
  <c r="L3" i="2"/>
  <c r="M3" i="2" s="1" a="1"/>
  <c r="M3" i="2" s="1"/>
  <c r="L7" i="2"/>
  <c r="O7" i="2" s="1" a="1"/>
  <c r="O7" i="2" s="1"/>
  <c r="L11" i="2"/>
  <c r="O11" i="2" s="1" a="1"/>
  <c r="O11" i="2" s="1"/>
  <c r="L15" i="2"/>
  <c r="M15" i="2" s="1" a="1"/>
  <c r="M15" i="2" s="1"/>
  <c r="L19" i="2"/>
  <c r="O19" i="2" s="1" a="1"/>
  <c r="O19" i="2" s="1"/>
  <c r="L2" i="2"/>
  <c r="M2" i="2" s="1" a="1"/>
  <c r="M2" i="2" s="1"/>
  <c r="L4" i="2"/>
  <c r="M4" i="2" s="1" a="1"/>
  <c r="M4" i="2" s="1"/>
  <c r="L8" i="2"/>
  <c r="M8" i="2" s="1" a="1"/>
  <c r="M8" i="2" s="1"/>
  <c r="L12" i="2"/>
  <c r="M12" i="2" s="1" a="1"/>
  <c r="M12" i="2" s="1"/>
  <c r="L16" i="2"/>
  <c r="O16" i="2" s="1" a="1"/>
  <c r="O16" i="2" s="1"/>
  <c r="L20" i="2"/>
  <c r="M20" i="2" s="1" a="1"/>
  <c r="M20" i="2" s="1"/>
  <c r="L14" i="2"/>
  <c r="N14" i="2" s="1" a="1"/>
  <c r="N14" i="2" s="1"/>
  <c r="L5" i="2"/>
  <c r="M5" i="2" s="1" a="1"/>
  <c r="M5" i="2" s="1"/>
  <c r="L9" i="2"/>
  <c r="M9" i="2" s="1" a="1"/>
  <c r="M9" i="2" s="1"/>
  <c r="L13" i="2"/>
  <c r="O13" i="2" s="1" a="1"/>
  <c r="O13" i="2" s="1"/>
  <c r="L17" i="2"/>
  <c r="O17" i="2" s="1" a="1"/>
  <c r="O17" i="2" s="1"/>
  <c r="L21" i="2"/>
  <c r="O21" i="2" s="1" a="1"/>
  <c r="O21" i="2" s="1"/>
  <c r="L6" i="2"/>
  <c r="N6" i="2" s="1" a="1"/>
  <c r="N6" i="2" s="1"/>
  <c r="L10" i="2"/>
  <c r="N10" i="2" s="1" a="1"/>
  <c r="N10" i="2" s="1"/>
  <c r="L18" i="2"/>
  <c r="O18" i="2" s="1" a="1"/>
  <c r="O18" i="2" s="1"/>
  <c r="X166" i="3"/>
  <c r="Y38" i="3"/>
  <c r="Y37" i="3" s="1"/>
  <c r="Y36" i="3" s="1"/>
  <c r="Y35" i="3" s="1"/>
  <c r="Y34" i="3" s="1"/>
  <c r="Y33" i="3" s="1"/>
  <c r="Y32" i="3" s="1"/>
  <c r="Y51" i="3"/>
  <c r="Y50" i="3" s="1"/>
  <c r="Y49" i="3" s="1"/>
  <c r="Y48" i="3" s="1"/>
  <c r="Y47" i="3" s="1"/>
  <c r="Y46" i="3" s="1"/>
  <c r="Y45" i="3" s="1"/>
  <c r="Y44" i="3" s="1"/>
  <c r="Y43" i="3" s="1"/>
  <c r="Y42" i="3" s="1"/>
  <c r="Y41" i="3" s="1"/>
  <c r="Y40" i="3"/>
  <c r="Y39" i="3" s="1"/>
  <c r="Y52" i="3"/>
  <c r="Y70" i="3"/>
  <c r="Y69" i="3" s="1"/>
  <c r="Y68" i="3" s="1"/>
  <c r="Y81" i="3"/>
  <c r="Y80" i="3" s="1"/>
  <c r="Y79" i="3" s="1"/>
  <c r="Y78" i="3" s="1"/>
  <c r="Y77" i="3" s="1"/>
  <c r="Y76" i="3" s="1"/>
  <c r="Y75" i="3" s="1"/>
  <c r="Y74" i="3" s="1"/>
  <c r="Y73" i="3" s="1"/>
  <c r="Y72" i="3" s="1"/>
  <c r="Y165" i="3"/>
  <c r="Y164" i="3" s="1"/>
  <c r="Y163" i="3" s="1"/>
  <c r="Y162" i="3" s="1"/>
  <c r="Y161" i="3" s="1"/>
  <c r="Y160" i="3" s="1"/>
  <c r="Y159" i="3" s="1"/>
  <c r="Y158" i="3" s="1"/>
  <c r="Y157" i="3" s="1"/>
  <c r="Y156" i="3" s="1"/>
  <c r="Y155" i="3" s="1"/>
  <c r="Y154" i="3" s="1"/>
  <c r="Y153" i="3" s="1"/>
  <c r="Y152" i="3" s="1"/>
  <c r="Y151" i="3" s="1"/>
  <c r="Y150" i="3" s="1"/>
  <c r="Y149" i="3" s="1"/>
  <c r="Y148" i="3" s="1"/>
  <c r="Y147" i="3" s="1"/>
  <c r="Y146" i="3" s="1"/>
  <c r="Y145" i="3" s="1"/>
  <c r="Y144" i="3" s="1"/>
  <c r="Y143" i="3" s="1"/>
  <c r="Y142" i="3" s="1"/>
  <c r="Y141" i="3" s="1"/>
  <c r="Y140" i="3" s="1"/>
  <c r="Y139" i="3" s="1"/>
  <c r="Y138" i="3" s="1"/>
  <c r="Y137" i="3" s="1"/>
  <c r="Y136" i="3" s="1"/>
  <c r="Y135" i="3" s="1"/>
  <c r="Y134" i="3" s="1"/>
  <c r="Y133" i="3" s="1"/>
  <c r="Y132" i="3" s="1"/>
  <c r="Y131" i="3" s="1"/>
  <c r="Y130" i="3" s="1"/>
  <c r="Y129" i="3" s="1"/>
  <c r="Y128" i="3" s="1"/>
  <c r="Y127" i="3" s="1"/>
  <c r="Y126" i="3" s="1"/>
  <c r="Y125" i="3" s="1"/>
  <c r="Y124" i="3" s="1"/>
  <c r="Y123" i="3" s="1"/>
  <c r="Y122" i="3" s="1"/>
  <c r="Y121" i="3" s="1"/>
  <c r="Y120" i="3" s="1"/>
  <c r="Y119" i="3" s="1"/>
  <c r="Y118" i="3" s="1"/>
  <c r="Y117" i="3" s="1"/>
  <c r="Y116" i="3" s="1"/>
  <c r="Y115" i="3" s="1"/>
  <c r="Y114" i="3" s="1"/>
  <c r="Y113" i="3" s="1"/>
  <c r="Y112" i="3" s="1"/>
  <c r="Y111" i="3" s="1"/>
  <c r="Y110" i="3" s="1"/>
  <c r="Y109" i="3" s="1"/>
  <c r="Y108" i="3" s="1"/>
  <c r="Y107" i="3" s="1"/>
  <c r="Y106" i="3" s="1"/>
  <c r="Y105" i="3" s="1"/>
  <c r="Y104" i="3" s="1"/>
  <c r="Y103" i="3" s="1"/>
  <c r="Y102" i="3" s="1"/>
  <c r="Y101" i="3" s="1"/>
  <c r="Y100" i="3" s="1"/>
  <c r="Y99" i="3" s="1"/>
  <c r="Y98" i="3" s="1"/>
  <c r="Y97" i="3" s="1"/>
  <c r="Y96" i="3" s="1"/>
  <c r="Y95" i="3" s="1"/>
  <c r="Y94" i="3" s="1"/>
  <c r="Y93" i="3" s="1"/>
  <c r="Y92" i="3" s="1"/>
  <c r="Y91" i="3" s="1"/>
  <c r="Y90" i="3" s="1"/>
  <c r="Y89" i="3" s="1"/>
  <c r="Y88" i="3" s="1"/>
  <c r="Y87" i="3" s="1"/>
  <c r="Y86" i="3" s="1"/>
  <c r="Y85" i="3" s="1"/>
  <c r="Y84" i="3" s="1"/>
  <c r="Y83" i="3" s="1"/>
  <c r="Y82" i="3" s="1"/>
  <c r="Y71" i="3"/>
  <c r="Y31" i="3"/>
  <c r="Y30" i="3" s="1"/>
  <c r="Y29" i="3" s="1"/>
  <c r="Y28" i="3" s="1"/>
  <c r="Y27" i="3" s="1"/>
  <c r="Y26" i="3" s="1"/>
  <c r="Y25" i="3" s="1"/>
  <c r="Y24" i="3" s="1"/>
  <c r="Y23" i="3" s="1"/>
  <c r="Y22" i="3" s="1"/>
  <c r="Y21" i="3" s="1"/>
  <c r="Y20" i="3" s="1"/>
  <c r="Y19" i="3" s="1"/>
  <c r="Y18" i="3" s="1"/>
  <c r="Y17" i="3" s="1"/>
  <c r="Y16" i="3" s="1"/>
  <c r="Y15" i="3" s="1"/>
  <c r="Y14" i="3" s="1"/>
  <c r="Y13" i="3" s="1"/>
  <c r="Y12" i="3" s="1"/>
  <c r="Y11" i="3" s="1"/>
  <c r="Y10" i="3" s="1"/>
  <c r="Y9" i="3" s="1"/>
  <c r="Y8" i="3" s="1"/>
  <c r="Y7" i="3" s="1"/>
  <c r="Y6" i="3" s="1"/>
  <c r="Y67" i="3"/>
  <c r="Y66" i="3" s="1"/>
  <c r="Y65" i="3" s="1"/>
  <c r="Y64" i="3" s="1"/>
  <c r="Y63" i="3" s="1"/>
  <c r="Y62" i="3" s="1"/>
  <c r="Y61" i="3" s="1"/>
  <c r="Y60" i="3" s="1"/>
  <c r="Y59" i="3" s="1"/>
  <c r="Y58" i="3" s="1"/>
  <c r="Y57" i="3" s="1"/>
  <c r="Y56" i="3" s="1"/>
  <c r="Y55" i="3" s="1"/>
  <c r="Y54" i="3" s="1"/>
  <c r="Y53" i="3" s="1"/>
  <c r="X72" i="3"/>
  <c r="X165" i="3"/>
  <c r="X164" i="3" s="1"/>
  <c r="X163" i="3" s="1"/>
  <c r="X162" i="3" s="1"/>
  <c r="X161" i="3" s="1"/>
  <c r="X160" i="3" s="1"/>
  <c r="X159" i="3" s="1"/>
  <c r="X158" i="3" s="1"/>
  <c r="X157" i="3" s="1"/>
  <c r="X156" i="3" s="1"/>
  <c r="X155" i="3" s="1"/>
  <c r="X154" i="3" s="1"/>
  <c r="X153" i="3" s="1"/>
  <c r="X152" i="3" s="1"/>
  <c r="X151" i="3" s="1"/>
  <c r="X150" i="3" s="1"/>
  <c r="X149" i="3" s="1"/>
  <c r="X148" i="3" s="1"/>
  <c r="X147" i="3" s="1"/>
  <c r="X146" i="3" s="1"/>
  <c r="X145" i="3" s="1"/>
  <c r="X144" i="3" s="1"/>
  <c r="X143" i="3" s="1"/>
  <c r="X142" i="3" s="1"/>
  <c r="X141" i="3" s="1"/>
  <c r="X140" i="3" s="1"/>
  <c r="X139" i="3" s="1"/>
  <c r="X138" i="3" s="1"/>
  <c r="X137" i="3" s="1"/>
  <c r="X136" i="3" s="1"/>
  <c r="X135" i="3" s="1"/>
  <c r="X134" i="3" s="1"/>
  <c r="X133" i="3" s="1"/>
  <c r="X132" i="3" s="1"/>
  <c r="X131" i="3" s="1"/>
  <c r="X130" i="3" s="1"/>
  <c r="X129" i="3" s="1"/>
  <c r="X128" i="3" s="1"/>
  <c r="X127" i="3" s="1"/>
  <c r="X126" i="3" s="1"/>
  <c r="X125" i="3" s="1"/>
  <c r="X124" i="3" s="1"/>
  <c r="X123" i="3" s="1"/>
  <c r="X122" i="3" s="1"/>
  <c r="X121" i="3" s="1"/>
  <c r="X120" i="3" s="1"/>
  <c r="X119" i="3" s="1"/>
  <c r="X118" i="3" s="1"/>
  <c r="X117" i="3" s="1"/>
  <c r="X116" i="3" s="1"/>
  <c r="X115" i="3" s="1"/>
  <c r="X114" i="3" s="1"/>
  <c r="X50" i="3"/>
  <c r="X49" i="3" s="1"/>
  <c r="X48" i="3" s="1"/>
  <c r="X47" i="3" s="1"/>
  <c r="X46" i="3" s="1"/>
  <c r="X45" i="3" s="1"/>
  <c r="X44" i="3" s="1"/>
  <c r="X43" i="3" s="1"/>
  <c r="X42" i="3" s="1"/>
  <c r="X41" i="3" s="1"/>
  <c r="X40" i="3" s="1"/>
  <c r="X39" i="3" s="1"/>
  <c r="X38" i="3" s="1"/>
  <c r="X37" i="3" s="1"/>
  <c r="X36" i="3" s="1"/>
  <c r="X35" i="3" s="1"/>
  <c r="X34" i="3" s="1"/>
  <c r="X33" i="3" s="1"/>
  <c r="X32" i="3" s="1"/>
  <c r="X31" i="3" s="1"/>
  <c r="X30" i="3" s="1"/>
  <c r="X29" i="3" s="1"/>
  <c r="X28" i="3" s="1"/>
  <c r="X27" i="3" s="1"/>
  <c r="X26" i="3" s="1"/>
  <c r="X25" i="3" s="1"/>
  <c r="X24" i="3" s="1"/>
  <c r="X23" i="3" s="1"/>
  <c r="X22" i="3" s="1"/>
  <c r="X21" i="3" s="1"/>
  <c r="X20" i="3" s="1"/>
  <c r="X19" i="3" s="1"/>
  <c r="X18" i="3" s="1"/>
  <c r="X17" i="3" s="1"/>
  <c r="X16" i="3" s="1"/>
  <c r="X15" i="3" s="1"/>
  <c r="X14" i="3" s="1"/>
  <c r="X13" i="3" s="1"/>
  <c r="X12" i="3" s="1"/>
  <c r="X11" i="3" s="1"/>
  <c r="X10" i="3" s="1"/>
  <c r="X9" i="3" s="1"/>
  <c r="X8" i="3" s="1"/>
  <c r="X7" i="3" s="1"/>
  <c r="X6" i="3" s="1"/>
  <c r="X73" i="3"/>
  <c r="X54" i="3"/>
  <c r="X53" i="3" s="1"/>
  <c r="X52" i="3" s="1"/>
  <c r="X51" i="3" s="1"/>
  <c r="X61" i="3"/>
  <c r="X60" i="3" s="1"/>
  <c r="X59" i="3" s="1"/>
  <c r="X58" i="3" s="1"/>
  <c r="X57" i="3" s="1"/>
  <c r="X56" i="3" s="1"/>
  <c r="X55" i="3" s="1"/>
  <c r="X107" i="3"/>
  <c r="X106" i="3" s="1"/>
  <c r="X105" i="3" s="1"/>
  <c r="X104" i="3" s="1"/>
  <c r="X103" i="3" s="1"/>
  <c r="X102" i="3" s="1"/>
  <c r="X101" i="3" s="1"/>
  <c r="X100" i="3" s="1"/>
  <c r="X99" i="3" s="1"/>
  <c r="X98" i="3" s="1"/>
  <c r="X97" i="3" s="1"/>
  <c r="X96" i="3" s="1"/>
  <c r="X95" i="3" s="1"/>
  <c r="X94" i="3" s="1"/>
  <c r="X93" i="3" s="1"/>
  <c r="X92" i="3" s="1"/>
  <c r="X91" i="3" s="1"/>
  <c r="X90" i="3" s="1"/>
  <c r="X89" i="3" s="1"/>
  <c r="X88" i="3" s="1"/>
  <c r="X87" i="3" s="1"/>
  <c r="X86" i="3" s="1"/>
  <c r="X85" i="3" s="1"/>
  <c r="X84" i="3" s="1"/>
  <c r="X83" i="3" s="1"/>
  <c r="X82" i="3" s="1"/>
  <c r="X81" i="3" s="1"/>
  <c r="X80" i="3" s="1"/>
  <c r="X79" i="3" s="1"/>
  <c r="X78" i="3" s="1"/>
  <c r="X77" i="3" s="1"/>
  <c r="X76" i="3" s="1"/>
  <c r="X75" i="3" s="1"/>
  <c r="X74" i="3" s="1"/>
  <c r="X66" i="3"/>
  <c r="X65" i="3" s="1"/>
  <c r="X64" i="3" s="1"/>
  <c r="X63" i="3" s="1"/>
  <c r="X62" i="3" s="1"/>
  <c r="X71" i="3"/>
  <c r="X70" i="3" s="1"/>
  <c r="X69" i="3" s="1"/>
  <c r="X68" i="3" s="1"/>
  <c r="X67" i="3" s="1"/>
  <c r="X113" i="3"/>
  <c r="X112" i="3" s="1"/>
  <c r="X111" i="3" s="1"/>
  <c r="X110" i="3" s="1"/>
  <c r="X109" i="3" s="1"/>
  <c r="X108" i="3" s="1"/>
  <c r="N9" i="2" a="1"/>
  <c r="N9" i="2" s="1"/>
  <c r="J12" i="1"/>
  <c r="N18" i="2" l="1" a="1"/>
  <c r="N18" i="2" s="1"/>
  <c r="O20" i="2" a="1"/>
  <c r="O20" i="2" s="1"/>
  <c r="N21" i="2" a="1"/>
  <c r="N21" i="2" s="1"/>
  <c r="N12" i="2" a="1"/>
  <c r="N12" i="2" s="1"/>
  <c r="N7" i="2" a="1"/>
  <c r="N7" i="2" s="1"/>
  <c r="O6" i="2" a="1"/>
  <c r="O6" i="2" s="1"/>
  <c r="N16" i="2" a="1"/>
  <c r="N16" i="2" s="1"/>
  <c r="O2" i="2" a="1"/>
  <c r="O2" i="2" s="1"/>
  <c r="J2" i="2" s="1"/>
  <c r="O9" i="2" a="1"/>
  <c r="O9" i="2" s="1"/>
  <c r="J9" i="2" s="1"/>
  <c r="M6" i="2" a="1"/>
  <c r="M6" i="2" s="1"/>
  <c r="J6" i="2" s="1"/>
  <c r="O12" i="2" a="1"/>
  <c r="O12" i="2" s="1"/>
  <c r="J12" i="2" s="1"/>
  <c r="N3" i="2" a="1"/>
  <c r="N3" i="2" s="1"/>
  <c r="O5" i="2" a="1"/>
  <c r="O5" i="2" s="1"/>
  <c r="J5" i="2" s="1"/>
  <c r="N15" i="2" a="1"/>
  <c r="N15" i="2" s="1"/>
  <c r="N8" i="2" a="1"/>
  <c r="N8" i="2" s="1"/>
  <c r="M18" i="2" a="1"/>
  <c r="M18" i="2" s="1"/>
  <c r="J18" i="2" s="1"/>
  <c r="M17" i="2" a="1"/>
  <c r="M17" i="2" s="1"/>
  <c r="J17" i="2" s="1"/>
  <c r="O14" i="2" a="1"/>
  <c r="O14" i="2" s="1"/>
  <c r="O15" i="2" a="1"/>
  <c r="O15" i="2" s="1"/>
  <c r="J15" i="2" s="1"/>
  <c r="M14" i="2" a="1"/>
  <c r="M14" i="2" s="1"/>
  <c r="J14" i="2" s="1"/>
  <c r="O8" i="2" a="1"/>
  <c r="O8" i="2" s="1"/>
  <c r="J8" i="2" s="1"/>
  <c r="N17" i="2" a="1"/>
  <c r="N17" i="2" s="1"/>
  <c r="M10" i="2" a="1"/>
  <c r="M10" i="2" s="1"/>
  <c r="N2" i="2" a="1"/>
  <c r="N2" i="2" s="1"/>
  <c r="O4" i="2" a="1"/>
  <c r="O4" i="2" s="1"/>
  <c r="M7" i="2" a="1"/>
  <c r="M7" i="2" s="1"/>
  <c r="J7" i="2" s="1"/>
  <c r="M16" i="2" a="1"/>
  <c r="M16" i="2" s="1"/>
  <c r="J16" i="2" s="1"/>
  <c r="N5" i="2" a="1"/>
  <c r="N5" i="2" s="1"/>
  <c r="N20" i="2" a="1"/>
  <c r="N20" i="2" s="1"/>
  <c r="N4" i="2" a="1"/>
  <c r="N4" i="2" s="1"/>
  <c r="N19" i="2" a="1"/>
  <c r="N19" i="2" s="1"/>
  <c r="M19" i="2" a="1"/>
  <c r="M19" i="2" s="1"/>
  <c r="J19" i="2" s="1"/>
  <c r="O10" i="2" a="1"/>
  <c r="O10" i="2" s="1"/>
  <c r="M21" i="2" a="1"/>
  <c r="M21" i="2" s="1"/>
  <c r="J21" i="2" s="1"/>
  <c r="O3" i="2" a="1"/>
  <c r="O3" i="2" s="1"/>
  <c r="J3" i="2" s="1"/>
  <c r="N13" i="2" a="1"/>
  <c r="N13" i="2" s="1"/>
  <c r="N11" i="2" a="1"/>
  <c r="N11" i="2" s="1"/>
  <c r="M11" i="2" a="1"/>
  <c r="M11" i="2" s="1"/>
  <c r="J11" i="2" s="1"/>
  <c r="M13" i="2" a="1"/>
  <c r="M13" i="2" s="1"/>
  <c r="J13" i="2" s="1"/>
  <c r="J4" i="2"/>
  <c r="J20" i="2"/>
  <c r="P30" i="1"/>
  <c r="P21" i="1"/>
  <c r="P12" i="1"/>
  <c r="P39" i="1"/>
  <c r="H8" i="2"/>
  <c r="U51" i="1" l="1"/>
  <c r="U12" i="1"/>
  <c r="V12" i="1" s="1"/>
  <c r="J10" i="2"/>
  <c r="U39" i="1"/>
  <c r="U30" i="1"/>
  <c r="R2" i="2"/>
  <c r="S2" i="2" s="1"/>
  <c r="D53" i="1"/>
  <c r="F53" i="1" s="1"/>
  <c r="G52" i="1"/>
  <c r="H53" i="1"/>
  <c r="G53" i="1"/>
  <c r="J51" i="1"/>
  <c r="H51" i="1"/>
  <c r="J52" i="1"/>
  <c r="G51" i="1"/>
  <c r="H52" i="1"/>
  <c r="J53" i="1"/>
  <c r="P51" i="1"/>
  <c r="D51" i="1"/>
  <c r="F51" i="1" s="1"/>
  <c r="D52" i="1"/>
  <c r="F52" i="1" s="1"/>
  <c r="U21" i="1" l="1"/>
  <c r="H5" i="2"/>
  <c r="H4" i="2"/>
  <c r="H3" i="2"/>
  <c r="H2" i="2"/>
  <c r="E52" i="1" l="1"/>
  <c r="H40" i="1"/>
  <c r="H31" i="1"/>
  <c r="H22" i="1"/>
  <c r="H13" i="1"/>
  <c r="H39" i="1"/>
  <c r="H30" i="1"/>
  <c r="H21" i="1"/>
  <c r="H12" i="1"/>
  <c r="J40" i="1"/>
  <c r="J31" i="1"/>
  <c r="J22" i="1"/>
  <c r="J13" i="1"/>
  <c r="J39" i="1"/>
  <c r="J30" i="1"/>
  <c r="J21" i="1"/>
  <c r="G40" i="1"/>
  <c r="G31" i="1"/>
  <c r="G13" i="1"/>
  <c r="G39" i="1"/>
  <c r="G30" i="1"/>
  <c r="G12" i="1"/>
  <c r="D40" i="1"/>
  <c r="D31" i="1"/>
  <c r="D22" i="1"/>
  <c r="D13" i="1"/>
  <c r="E51" i="1"/>
  <c r="L51" i="1" s="1"/>
  <c r="D39" i="1"/>
  <c r="D30" i="1"/>
  <c r="D12" i="1"/>
  <c r="G22" i="1"/>
  <c r="G21" i="1"/>
  <c r="D21" i="1"/>
  <c r="B10" i="1"/>
  <c r="F4" i="1"/>
  <c r="AN30" i="3" l="1"/>
  <c r="AD38" i="3"/>
  <c r="AE23" i="3" s="1"/>
  <c r="AI26" i="3"/>
  <c r="AJ15" i="3" s="1"/>
  <c r="AG26" i="3"/>
  <c r="AH26" i="3" s="1" a="1"/>
  <c r="AH26" i="3" s="1"/>
  <c r="AO18" i="3"/>
  <c r="S51" i="1"/>
  <c r="T6" i="1"/>
  <c r="E21" i="1"/>
  <c r="E22" i="1"/>
  <c r="E39" i="1"/>
  <c r="E31" i="1"/>
  <c r="E40" i="1"/>
  <c r="E30" i="1"/>
  <c r="E12" i="1"/>
  <c r="Y12" i="1" s="1"/>
  <c r="E13" i="1"/>
  <c r="N12" i="1"/>
  <c r="N21" i="1"/>
  <c r="N39" i="1"/>
  <c r="N22" i="1"/>
  <c r="N13" i="1"/>
  <c r="N31" i="1"/>
  <c r="N51" i="1"/>
  <c r="N53" i="1"/>
  <c r="N52" i="1"/>
  <c r="N30" i="1"/>
  <c r="N40" i="1"/>
  <c r="B9" i="1"/>
  <c r="L52" i="1"/>
  <c r="F12" i="1"/>
  <c r="E53" i="1"/>
  <c r="L53" i="1" s="1"/>
  <c r="K51" i="1"/>
  <c r="M51" i="1" s="1"/>
  <c r="K52" i="1"/>
  <c r="AJ18" i="3" l="1"/>
  <c r="S21" i="1"/>
  <c r="AJ21" i="3"/>
  <c r="AJ9" i="3"/>
  <c r="AJ8" i="3"/>
  <c r="AJ23" i="3"/>
  <c r="AJ16" i="3"/>
  <c r="AJ24" i="3"/>
  <c r="AJ12" i="3"/>
  <c r="AJ22" i="3"/>
  <c r="AB38" i="3"/>
  <c r="AC38" i="3" s="1" a="1"/>
  <c r="AC38" i="3" s="1"/>
  <c r="AJ26" i="3"/>
  <c r="AJ27" i="3" s="1"/>
  <c r="AJ17" i="3"/>
  <c r="AJ7" i="3"/>
  <c r="AJ19" i="3"/>
  <c r="AJ11" i="3"/>
  <c r="AJ25" i="3"/>
  <c r="AJ13" i="3"/>
  <c r="AJ10" i="3"/>
  <c r="AJ6" i="3"/>
  <c r="AJ14" i="3"/>
  <c r="AJ20" i="3"/>
  <c r="AL30" i="3"/>
  <c r="AM30" i="3" s="1" a="1"/>
  <c r="AM30" i="3" s="1"/>
  <c r="AO30" i="3"/>
  <c r="AO27" i="3"/>
  <c r="AO25" i="3"/>
  <c r="AO11" i="3"/>
  <c r="AO13" i="3"/>
  <c r="AO21" i="3"/>
  <c r="AE6" i="3"/>
  <c r="AO6" i="3"/>
  <c r="AO10" i="3"/>
  <c r="AO15" i="3"/>
  <c r="AO28" i="3"/>
  <c r="AO7" i="3"/>
  <c r="AO22" i="3"/>
  <c r="AO24" i="3"/>
  <c r="AE30" i="3"/>
  <c r="AE31" i="3"/>
  <c r="AO9" i="3"/>
  <c r="AO26" i="3"/>
  <c r="AO19" i="3"/>
  <c r="AO8" i="3"/>
  <c r="AO14" i="3"/>
  <c r="AO12" i="3"/>
  <c r="AO20" i="3"/>
  <c r="AO16" i="3"/>
  <c r="AO29" i="3"/>
  <c r="AO23" i="3"/>
  <c r="AO17" i="3"/>
  <c r="AE37" i="3"/>
  <c r="AE34" i="3"/>
  <c r="AE13" i="3"/>
  <c r="AE24" i="3"/>
  <c r="AE12" i="3"/>
  <c r="AE15" i="3"/>
  <c r="AE8" i="3"/>
  <c r="AE18" i="3"/>
  <c r="AE20" i="3"/>
  <c r="AE35" i="3"/>
  <c r="AE32" i="3"/>
  <c r="AE21" i="3"/>
  <c r="AE19" i="3"/>
  <c r="AE17" i="3"/>
  <c r="AE26" i="3"/>
  <c r="AE16" i="3"/>
  <c r="AE14" i="3"/>
  <c r="AE22" i="3"/>
  <c r="AE27" i="3"/>
  <c r="AE28" i="3"/>
  <c r="AE38" i="3"/>
  <c r="AE11" i="3"/>
  <c r="AE9" i="3"/>
  <c r="AE36" i="3"/>
  <c r="AE10" i="3"/>
  <c r="AE25" i="3"/>
  <c r="AE29" i="3"/>
  <c r="AE7" i="3"/>
  <c r="AE33" i="3"/>
  <c r="S39" i="1"/>
  <c r="S30" i="1"/>
  <c r="S12" i="1"/>
  <c r="X12" i="1"/>
  <c r="X13" i="1" s="1"/>
  <c r="AA12" i="1"/>
  <c r="Y13" i="1"/>
  <c r="Y14" i="1" s="1"/>
  <c r="Z12" i="1"/>
  <c r="AC12" i="1"/>
  <c r="AC13" i="1" s="1"/>
  <c r="AD12" i="1"/>
  <c r="AB12" i="1"/>
  <c r="M52" i="1"/>
  <c r="Q51" i="1"/>
  <c r="K12" i="1"/>
  <c r="L12" i="1"/>
  <c r="K53" i="1"/>
  <c r="M53" i="1" s="1"/>
  <c r="F31" i="1"/>
  <c r="L31" i="1" s="1"/>
  <c r="AE39" i="3" l="1"/>
  <c r="AO31" i="3"/>
  <c r="T29" i="3" s="1"/>
  <c r="Z111" i="3" s="1"/>
  <c r="Z110" i="3" s="1"/>
  <c r="Z109" i="3" s="1"/>
  <c r="Z108" i="3" s="1"/>
  <c r="Z107" i="3" s="1"/>
  <c r="AB13" i="1"/>
  <c r="AB14" i="1" s="1"/>
  <c r="AA13" i="1"/>
  <c r="AA14" i="1" s="1"/>
  <c r="AD13" i="1"/>
  <c r="AD14" i="1" s="1"/>
  <c r="AC14" i="1"/>
  <c r="Z13" i="1"/>
  <c r="Z14" i="1" s="1"/>
  <c r="M12" i="1"/>
  <c r="F40" i="1"/>
  <c r="L40" i="1" s="1"/>
  <c r="F39" i="1"/>
  <c r="F30" i="1"/>
  <c r="Q30" i="1" s="1"/>
  <c r="F22" i="1"/>
  <c r="L22" i="1" s="1"/>
  <c r="Z45" i="3" l="1"/>
  <c r="Z44" i="3" s="1"/>
  <c r="Z43" i="3" s="1"/>
  <c r="Z42" i="3" s="1"/>
  <c r="Z41" i="3" s="1"/>
  <c r="Z40" i="3" s="1"/>
  <c r="Z39" i="3" s="1"/>
  <c r="Z38" i="3" s="1"/>
  <c r="Z37" i="3" s="1"/>
  <c r="Z36" i="3" s="1"/>
  <c r="Z35" i="3" s="1"/>
  <c r="Z34" i="3" s="1"/>
  <c r="Z33" i="3" s="1"/>
  <c r="Z32" i="3" s="1"/>
  <c r="Z31" i="3" s="1"/>
  <c r="Z30" i="3" s="1"/>
  <c r="Z29" i="3" s="1"/>
  <c r="Z28" i="3" s="1"/>
  <c r="Z27" i="3" s="1"/>
  <c r="Z26" i="3" s="1"/>
  <c r="Z25" i="3" s="1"/>
  <c r="Z24" i="3" s="1"/>
  <c r="Z23" i="3" s="1"/>
  <c r="Z22" i="3" s="1"/>
  <c r="Z21" i="3" s="1"/>
  <c r="Z20" i="3" s="1"/>
  <c r="Z19" i="3" s="1"/>
  <c r="Z18" i="3" s="1"/>
  <c r="Z17" i="3" s="1"/>
  <c r="Z16" i="3" s="1"/>
  <c r="Z15" i="3" s="1"/>
  <c r="Z14" i="3" s="1"/>
  <c r="Z13" i="3" s="1"/>
  <c r="Z12" i="3" s="1"/>
  <c r="Z11" i="3" s="1"/>
  <c r="Z10" i="3" s="1"/>
  <c r="Z9" i="3" s="1"/>
  <c r="Z8" i="3" s="1"/>
  <c r="Z7" i="3" s="1"/>
  <c r="Z6" i="3" s="1"/>
  <c r="Z83" i="3"/>
  <c r="Z82" i="3" s="1"/>
  <c r="Z81" i="3" s="1"/>
  <c r="Z80" i="3" s="1"/>
  <c r="Z79" i="3" s="1"/>
  <c r="Z78" i="3" s="1"/>
  <c r="Z77" i="3" s="1"/>
  <c r="Z76" i="3" s="1"/>
  <c r="Z75" i="3" s="1"/>
  <c r="Z74" i="3" s="1"/>
  <c r="Z106" i="3"/>
  <c r="Z105" i="3" s="1"/>
  <c r="Z104" i="3" s="1"/>
  <c r="Z103" i="3" s="1"/>
  <c r="Z102" i="3" s="1"/>
  <c r="Z101" i="3" s="1"/>
  <c r="Z100" i="3" s="1"/>
  <c r="Z99" i="3" s="1"/>
  <c r="Z68" i="3"/>
  <c r="Z67" i="3" s="1"/>
  <c r="Z66" i="3" s="1"/>
  <c r="Z65" i="3" s="1"/>
  <c r="Z64" i="3" s="1"/>
  <c r="Z63" i="3" s="1"/>
  <c r="Z62" i="3" s="1"/>
  <c r="Z61" i="3" s="1"/>
  <c r="Z60" i="3" s="1"/>
  <c r="Z59" i="3" s="1"/>
  <c r="Z58" i="3" s="1"/>
  <c r="Z57" i="3" s="1"/>
  <c r="Z56" i="3" s="1"/>
  <c r="Z55" i="3" s="1"/>
  <c r="Z54" i="3" s="1"/>
  <c r="Z53" i="3" s="1"/>
  <c r="Z52" i="3" s="1"/>
  <c r="Z51" i="3" s="1"/>
  <c r="Z50" i="3" s="1"/>
  <c r="Z49" i="3" s="1"/>
  <c r="Z48" i="3" s="1"/>
  <c r="Z47" i="3" s="1"/>
  <c r="Z88" i="3"/>
  <c r="Z87" i="3" s="1"/>
  <c r="Z86" i="3" s="1"/>
  <c r="Z85" i="3" s="1"/>
  <c r="Z165" i="3"/>
  <c r="Z164" i="3" s="1"/>
  <c r="Z163" i="3" s="1"/>
  <c r="Z162" i="3" s="1"/>
  <c r="Z161" i="3" s="1"/>
  <c r="Z160" i="3" s="1"/>
  <c r="Z159" i="3" s="1"/>
  <c r="Z158" i="3" s="1"/>
  <c r="Z157" i="3" s="1"/>
  <c r="Z156" i="3" s="1"/>
  <c r="Z155" i="3" s="1"/>
  <c r="Z154" i="3" s="1"/>
  <c r="Z153" i="3" s="1"/>
  <c r="Z152" i="3" s="1"/>
  <c r="Z151" i="3" s="1"/>
  <c r="Z150" i="3" s="1"/>
  <c r="Z149" i="3" s="1"/>
  <c r="Z148" i="3" s="1"/>
  <c r="Z147" i="3" s="1"/>
  <c r="Z146" i="3" s="1"/>
  <c r="Z145" i="3" s="1"/>
  <c r="Z144" i="3" s="1"/>
  <c r="Z143" i="3" s="1"/>
  <c r="Z142" i="3" s="1"/>
  <c r="Z141" i="3" s="1"/>
  <c r="Z140" i="3" s="1"/>
  <c r="Z139" i="3" s="1"/>
  <c r="Z138" i="3" s="1"/>
  <c r="Z137" i="3" s="1"/>
  <c r="Z136" i="3" s="1"/>
  <c r="Z135" i="3" s="1"/>
  <c r="Z134" i="3" s="1"/>
  <c r="Z133" i="3" s="1"/>
  <c r="Z132" i="3" s="1"/>
  <c r="Z131" i="3" s="1"/>
  <c r="Z130" i="3" s="1"/>
  <c r="Z129" i="3" s="1"/>
  <c r="Z128" i="3" s="1"/>
  <c r="Z127" i="3" s="1"/>
  <c r="Z126" i="3" s="1"/>
  <c r="Z125" i="3" s="1"/>
  <c r="Z124" i="3" s="1"/>
  <c r="Z123" i="3" s="1"/>
  <c r="Z122" i="3" s="1"/>
  <c r="Z121" i="3" s="1"/>
  <c r="Z120" i="3" s="1"/>
  <c r="Z119" i="3" s="1"/>
  <c r="Z118" i="3" s="1"/>
  <c r="Z117" i="3" s="1"/>
  <c r="Z116" i="3" s="1"/>
  <c r="Z115" i="3" s="1"/>
  <c r="Z114" i="3" s="1"/>
  <c r="Z113" i="3" s="1"/>
  <c r="Z112" i="3" s="1"/>
  <c r="Z72" i="3"/>
  <c r="Z71" i="3" s="1"/>
  <c r="Z91" i="3"/>
  <c r="Z90" i="3" s="1"/>
  <c r="AA16" i="1"/>
  <c r="AA17" i="1" s="1"/>
  <c r="AD16" i="1"/>
  <c r="AD17" i="1" s="1"/>
  <c r="Z16" i="1"/>
  <c r="Z17" i="1" s="1"/>
  <c r="Y16" i="1"/>
  <c r="Y17" i="1" s="1"/>
  <c r="AC16" i="1"/>
  <c r="AC17" i="1" s="1"/>
  <c r="AB16" i="1"/>
  <c r="AB17" i="1" s="1"/>
  <c r="X14" i="1"/>
  <c r="L30" i="1"/>
  <c r="L39" i="1"/>
  <c r="Q39" i="1"/>
  <c r="F13" i="1"/>
  <c r="Q12" i="1" s="1"/>
  <c r="F21" i="1"/>
  <c r="Q21" i="1" s="1"/>
  <c r="Z98" i="3" l="1"/>
  <c r="Z97" i="3" s="1"/>
  <c r="Z96" i="3" s="1"/>
  <c r="Z95" i="3" s="1"/>
  <c r="Z94" i="3" s="1"/>
  <c r="Z93" i="3" s="1"/>
  <c r="T2" i="2"/>
  <c r="S63" i="1" s="1"/>
  <c r="X16" i="1"/>
  <c r="K13" i="1"/>
  <c r="L13" i="1"/>
  <c r="K21" i="1"/>
  <c r="L21" i="1"/>
  <c r="X17" i="1" l="1"/>
  <c r="M21" i="1"/>
  <c r="M13" i="1"/>
  <c r="K31" i="1"/>
  <c r="M31" i="1" s="1"/>
  <c r="K30" i="1"/>
  <c r="M30" i="1" s="1"/>
  <c r="K22" i="1"/>
  <c r="M22" i="1" s="1"/>
  <c r="AD18" i="1" l="1"/>
  <c r="X18" i="1"/>
  <c r="AB18" i="1"/>
  <c r="AC18" i="1"/>
  <c r="Z18" i="1"/>
  <c r="AA18" i="1"/>
  <c r="Y18" i="1"/>
  <c r="K40" i="1"/>
  <c r="M40" i="1" s="1"/>
  <c r="K39" i="1"/>
  <c r="M39" i="1" s="1"/>
  <c r="X15" i="1" l="1"/>
  <c r="AD15" i="1"/>
  <c r="AC15" i="1"/>
  <c r="Z15" i="1"/>
  <c r="AA15" i="1"/>
  <c r="AB15" i="1"/>
  <c r="Y15" i="1"/>
  <c r="V30" i="1"/>
  <c r="V51" i="1"/>
  <c r="V21" i="1"/>
  <c r="V39" i="1"/>
  <c r="X19" i="1" l="1"/>
  <c r="X51" i="1"/>
  <c r="AD19" i="1"/>
  <c r="Y51" i="1"/>
  <c r="AC51" i="1"/>
  <c r="AA52" i="1"/>
  <c r="Y53" i="1"/>
  <c r="AC53" i="1"/>
  <c r="Z52" i="1"/>
  <c r="Z51" i="1"/>
  <c r="AD51" i="1"/>
  <c r="AB52" i="1"/>
  <c r="Z53" i="1"/>
  <c r="AD53" i="1"/>
  <c r="AD52" i="1"/>
  <c r="AA51" i="1"/>
  <c r="Y52" i="1"/>
  <c r="AC52" i="1"/>
  <c r="AA53" i="1"/>
  <c r="AB51" i="1"/>
  <c r="AB53" i="1"/>
  <c r="X52" i="1"/>
  <c r="X53" i="1"/>
  <c r="AC19" i="1"/>
  <c r="AA39" i="1"/>
  <c r="AD39" i="1"/>
  <c r="Z39" i="1"/>
  <c r="X39" i="1"/>
  <c r="X40" i="1" s="1"/>
  <c r="AC39" i="1"/>
  <c r="Y39" i="1"/>
  <c r="AB39" i="1"/>
  <c r="AA30" i="1"/>
  <c r="AC30" i="1"/>
  <c r="Y30" i="1"/>
  <c r="AB30" i="1"/>
  <c r="X30" i="1"/>
  <c r="X31" i="1" s="1"/>
  <c r="AD30" i="1"/>
  <c r="Z30" i="1"/>
  <c r="AA21" i="1"/>
  <c r="X21" i="1"/>
  <c r="X22" i="1" s="1"/>
  <c r="AD21" i="1"/>
  <c r="Z21" i="1"/>
  <c r="AC21" i="1"/>
  <c r="Y21" i="1"/>
  <c r="AB21" i="1"/>
  <c r="Y19" i="1"/>
  <c r="AB19" i="1"/>
  <c r="AA19" i="1"/>
  <c r="Z19" i="1"/>
  <c r="X54" i="1" l="1"/>
  <c r="AC54" i="1"/>
  <c r="Z54" i="1"/>
  <c r="AD54" i="1"/>
  <c r="AD56" i="1" s="1"/>
  <c r="AD57" i="1" s="1"/>
  <c r="AA54" i="1"/>
  <c r="Y54" i="1"/>
  <c r="AB54" i="1"/>
  <c r="Z22" i="1"/>
  <c r="Z23" i="1" s="1"/>
  <c r="AC31" i="1"/>
  <c r="AC32" i="1" s="1"/>
  <c r="Y31" i="1"/>
  <c r="Y32" i="1" s="1"/>
  <c r="Z40" i="1"/>
  <c r="Z41" i="1" s="1"/>
  <c r="Y40" i="1"/>
  <c r="Y41" i="1" s="1"/>
  <c r="AD40" i="1"/>
  <c r="AD41" i="1" s="1"/>
  <c r="AD43" i="1" s="1"/>
  <c r="AD44" i="1" s="1"/>
  <c r="AC40" i="1"/>
  <c r="AC41" i="1" s="1"/>
  <c r="X41" i="1"/>
  <c r="AA40" i="1"/>
  <c r="AA41" i="1" s="1"/>
  <c r="AB40" i="1"/>
  <c r="AB41" i="1" s="1"/>
  <c r="Z31" i="1"/>
  <c r="Z32" i="1" s="1"/>
  <c r="AA31" i="1"/>
  <c r="AA32" i="1" s="1"/>
  <c r="AD31" i="1"/>
  <c r="AD32" i="1" s="1"/>
  <c r="X32" i="1"/>
  <c r="AB31" i="1"/>
  <c r="AB32" i="1" s="1"/>
  <c r="AC22" i="1"/>
  <c r="AC23" i="1" s="1"/>
  <c r="AD22" i="1"/>
  <c r="AA22" i="1"/>
  <c r="AA23" i="1" s="1"/>
  <c r="Y22" i="1"/>
  <c r="Y23" i="1" s="1"/>
  <c r="X23" i="1"/>
  <c r="AB22" i="1"/>
  <c r="AB23" i="1" s="1"/>
  <c r="AB56" i="1" l="1"/>
  <c r="AB57" i="1" s="1"/>
  <c r="AD23" i="1"/>
  <c r="AD25" i="1" s="1"/>
  <c r="AD26" i="1" s="1"/>
  <c r="AD34" i="1"/>
  <c r="AD35" i="1" s="1"/>
  <c r="Z56" i="1"/>
  <c r="Z57" i="1" s="1"/>
  <c r="AC56" i="1"/>
  <c r="AC57" i="1" s="1"/>
  <c r="X56" i="1"/>
  <c r="X57" i="1" s="1"/>
  <c r="X58" i="1" s="1"/>
  <c r="Y56" i="1"/>
  <c r="AA56" i="1"/>
  <c r="AA57" i="1" s="1"/>
  <c r="AB43" i="1"/>
  <c r="AB44" i="1" s="1"/>
  <c r="Y43" i="1"/>
  <c r="Y44" i="1" s="1"/>
  <c r="AA43" i="1"/>
  <c r="AA44" i="1" s="1"/>
  <c r="AC43" i="1"/>
  <c r="AC44" i="1" s="1"/>
  <c r="X43" i="1"/>
  <c r="X44" i="1" s="1"/>
  <c r="AB34" i="1"/>
  <c r="AB35" i="1" s="1"/>
  <c r="Z43" i="1"/>
  <c r="Z44" i="1" s="1"/>
  <c r="AA34" i="1"/>
  <c r="AA35" i="1" s="1"/>
  <c r="Z34" i="1"/>
  <c r="Z35" i="1" s="1"/>
  <c r="Y34" i="1"/>
  <c r="Y35" i="1" s="1"/>
  <c r="AC34" i="1"/>
  <c r="AC35" i="1" s="1"/>
  <c r="Z25" i="1"/>
  <c r="Z26" i="1" s="1"/>
  <c r="AB25" i="1"/>
  <c r="AB26" i="1" s="1"/>
  <c r="Y25" i="1"/>
  <c r="Y26" i="1" s="1"/>
  <c r="X34" i="1"/>
  <c r="X25" i="1"/>
  <c r="AA25" i="1"/>
  <c r="AA26" i="1" s="1"/>
  <c r="AC25" i="1" l="1"/>
  <c r="AC26" i="1" s="1"/>
  <c r="X55" i="1"/>
  <c r="X59" i="1" s="1"/>
  <c r="Y57" i="1"/>
  <c r="AC45" i="1"/>
  <c r="Y45" i="1"/>
  <c r="Z45" i="1"/>
  <c r="AB45" i="1"/>
  <c r="X45" i="1"/>
  <c r="AD45" i="1"/>
  <c r="AA45" i="1"/>
  <c r="X35" i="1"/>
  <c r="X26" i="1"/>
  <c r="X42" i="1" l="1"/>
  <c r="AB58" i="1"/>
  <c r="AC58" i="1"/>
  <c r="Y58" i="1"/>
  <c r="Y55" i="1" s="1"/>
  <c r="AD58" i="1"/>
  <c r="Z58" i="1"/>
  <c r="AA58" i="1"/>
  <c r="Z42" i="1"/>
  <c r="AA42" i="1"/>
  <c r="AD42" i="1"/>
  <c r="Y42" i="1"/>
  <c r="AC42" i="1"/>
  <c r="AB42" i="1"/>
  <c r="AC36" i="1"/>
  <c r="Y36" i="1"/>
  <c r="AA36" i="1"/>
  <c r="AD36" i="1"/>
  <c r="Z36" i="1"/>
  <c r="AB36" i="1"/>
  <c r="X36" i="1"/>
  <c r="AC27" i="1"/>
  <c r="Y27" i="1"/>
  <c r="Z27" i="1"/>
  <c r="AB27" i="1"/>
  <c r="X27" i="1"/>
  <c r="AD27" i="1"/>
  <c r="AA27" i="1"/>
  <c r="X46" i="1" l="1"/>
  <c r="X33" i="1"/>
  <c r="X24" i="1"/>
  <c r="AA55" i="1"/>
  <c r="AC55" i="1"/>
  <c r="AD55" i="1"/>
  <c r="Z55" i="1"/>
  <c r="Z59" i="1" s="1"/>
  <c r="AB55" i="1"/>
  <c r="AA46" i="1"/>
  <c r="AB24" i="1"/>
  <c r="AA33" i="1"/>
  <c r="Z24" i="1"/>
  <c r="AC46" i="1"/>
  <c r="AA24" i="1"/>
  <c r="Z33" i="1"/>
  <c r="AD33" i="1"/>
  <c r="AB46" i="1"/>
  <c r="Z46" i="1"/>
  <c r="AD46" i="1"/>
  <c r="Y46" i="1"/>
  <c r="AB33" i="1"/>
  <c r="Y33" i="1"/>
  <c r="AD24" i="1"/>
  <c r="AC33" i="1"/>
  <c r="Y24" i="1"/>
  <c r="AC24" i="1"/>
  <c r="X28" i="1" l="1"/>
  <c r="X37" i="1"/>
  <c r="Y28" i="1"/>
  <c r="AD59" i="1"/>
  <c r="AA59" i="1"/>
  <c r="AC59" i="1"/>
  <c r="Y59" i="1"/>
  <c r="AB59" i="1"/>
  <c r="AC28" i="1"/>
  <c r="AB37" i="1"/>
  <c r="AB28" i="1"/>
  <c r="AC37" i="1"/>
  <c r="AD28" i="1"/>
  <c r="AD37" i="1"/>
  <c r="Z28" i="1"/>
  <c r="AA37" i="1"/>
  <c r="Y37" i="1"/>
  <c r="Z37" i="1"/>
  <c r="AA28" i="1"/>
</calcChain>
</file>

<file path=xl/sharedStrings.xml><?xml version="1.0" encoding="utf-8"?>
<sst xmlns="http://schemas.openxmlformats.org/spreadsheetml/2006/main" count="225" uniqueCount="143">
  <si>
    <t>Objectif</t>
  </si>
  <si>
    <t>Taux Période</t>
  </si>
  <si>
    <t xml:space="preserve"> Objectif : </t>
  </si>
  <si>
    <t xml:space="preserve"> Tx cumul : </t>
  </si>
  <si>
    <t>Taux Moyen Période</t>
  </si>
  <si>
    <t>Retard / Avance</t>
  </si>
  <si>
    <t>ASTUCE</t>
  </si>
  <si>
    <t>Prod Semaine</t>
  </si>
  <si>
    <t>RAF</t>
  </si>
  <si>
    <t xml:space="preserve">Rythme hebdo </t>
  </si>
  <si>
    <t>Rythme hebo actualisé</t>
  </si>
  <si>
    <t>Obj T1</t>
  </si>
  <si>
    <t>Prod T1</t>
  </si>
  <si>
    <t>Nombre de semaines Etape</t>
  </si>
  <si>
    <t>Nombre de semaine restantes</t>
  </si>
  <si>
    <t>Catégorie</t>
  </si>
  <si>
    <t>C</t>
  </si>
  <si>
    <t>B</t>
  </si>
  <si>
    <t>A</t>
  </si>
  <si>
    <t>CAT</t>
  </si>
  <si>
    <t>RANG</t>
  </si>
  <si>
    <t>© ASM DA 01856 -tous droits réservés ;)</t>
  </si>
  <si>
    <t>rang</t>
  </si>
  <si>
    <t>CAT A</t>
  </si>
  <si>
    <t>CAT B</t>
  </si>
  <si>
    <t>CAT C</t>
  </si>
  <si>
    <t>rang actuel</t>
  </si>
  <si>
    <t>rangs gagnés</t>
  </si>
  <si>
    <t>rang final</t>
  </si>
  <si>
    <t>CLASSEMENT POTENTIEL</t>
  </si>
  <si>
    <t>place</t>
  </si>
  <si>
    <t>indicatif autorisé</t>
  </si>
  <si>
    <t>Tx max</t>
  </si>
  <si>
    <t>Max T1</t>
  </si>
  <si>
    <t>GAGNER 3 RANGS*</t>
  </si>
  <si>
    <t>PRODUIT 1</t>
  </si>
  <si>
    <t>PRODUIT 2</t>
  </si>
  <si>
    <t>PRODUIT 3</t>
  </si>
  <si>
    <t>PRODUIT 4</t>
  </si>
  <si>
    <t>PRODUIT 5</t>
  </si>
  <si>
    <t>PRODUIT 7</t>
  </si>
  <si>
    <t>PRODUIT 6</t>
  </si>
  <si>
    <t>PRODUIT 8</t>
  </si>
  <si>
    <t>PRODUIT 9</t>
  </si>
  <si>
    <t>PRODUIT 10</t>
  </si>
  <si>
    <t>PRODUIT 11</t>
  </si>
  <si>
    <t>ANIMATION COMMERCIALE</t>
  </si>
  <si>
    <t>2 PRODUIT 1
 &amp; 0 PRODUIT 2</t>
  </si>
  <si>
    <t>77 PRODUIT 3
 &amp; 0 PRODUIT 4</t>
  </si>
  <si>
    <t>5 PRODUIT 5
 &amp; 1 PRODUIT 6</t>
  </si>
  <si>
    <t>59 PRODUIT 7
 &amp; 2 PRODUIT 8</t>
  </si>
  <si>
    <t>1 PRODUIT 9
 &amp; 1 PRODUIT 10
 &amp; 1 PRODUIT 11</t>
  </si>
  <si>
    <t>FAMILLE 1</t>
  </si>
  <si>
    <t>FAMILLE 2</t>
  </si>
  <si>
    <t>FAMILLE 3</t>
  </si>
  <si>
    <t>FAMILLE 4</t>
  </si>
  <si>
    <t>FAMILLE 5</t>
  </si>
  <si>
    <t>ANIMATION COMMERCIALE (MAGASINS)</t>
  </si>
  <si>
    <t>NB
FAMILLE</t>
  </si>
  <si>
    <t>MAGASIN C</t>
  </si>
  <si>
    <t>MAGASIN B</t>
  </si>
  <si>
    <t>MAGASIN A</t>
  </si>
  <si>
    <t>MAGASIN C1</t>
  </si>
  <si>
    <t>MAGASIN C2</t>
  </si>
  <si>
    <t>MAGASIN C3</t>
  </si>
  <si>
    <t>MAGASIN C4</t>
  </si>
  <si>
    <t>MAGASIN C5</t>
  </si>
  <si>
    <t>MAGASIN C6</t>
  </si>
  <si>
    <t>MAGASIN C7</t>
  </si>
  <si>
    <t>MAGASIN C8</t>
  </si>
  <si>
    <t>MAGASIN C9</t>
  </si>
  <si>
    <t>MAGASIN C10</t>
  </si>
  <si>
    <t>MAGASIN C11</t>
  </si>
  <si>
    <t>MAGASIN C12</t>
  </si>
  <si>
    <t>MAGASIN C13</t>
  </si>
  <si>
    <t>MAGASIN C14</t>
  </si>
  <si>
    <t>MAGASIN C15</t>
  </si>
  <si>
    <t>MAGASIN C16</t>
  </si>
  <si>
    <t>MAGASIN C17</t>
  </si>
  <si>
    <t>MAGASIN C18</t>
  </si>
  <si>
    <t>MAGASIN C19</t>
  </si>
  <si>
    <t>MAGASIN C20</t>
  </si>
  <si>
    <t>MAGASIN C21</t>
  </si>
  <si>
    <t>MAGASIN C22</t>
  </si>
  <si>
    <t>MAGASIN C23</t>
  </si>
  <si>
    <t>MAGASIN C24</t>
  </si>
  <si>
    <t>MAGASIN C25</t>
  </si>
  <si>
    <t>MAGASIN C26</t>
  </si>
  <si>
    <t>MAGASIN C27</t>
  </si>
  <si>
    <t>MAGASIN C28</t>
  </si>
  <si>
    <t>MAGASIN C29</t>
  </si>
  <si>
    <t>MAGASIN C30</t>
  </si>
  <si>
    <t>MAGASIN C31</t>
  </si>
  <si>
    <t>MAGASIN C32</t>
  </si>
  <si>
    <t>MAGASIN B1</t>
  </si>
  <si>
    <t>MAGASIN B2</t>
  </si>
  <si>
    <t>MAGASIN B3</t>
  </si>
  <si>
    <t>MAGASIN B4</t>
  </si>
  <si>
    <t>MAGASIN B5</t>
  </si>
  <si>
    <t>MAGASIN B6</t>
  </si>
  <si>
    <t>MAGASIN B7</t>
  </si>
  <si>
    <t>MAGASIN B8</t>
  </si>
  <si>
    <t>MAGASIN B9</t>
  </si>
  <si>
    <t>MAGASIN B10</t>
  </si>
  <si>
    <t>MAGASIN B11</t>
  </si>
  <si>
    <t>MAGASIN B12</t>
  </si>
  <si>
    <t>MAGASIN B13</t>
  </si>
  <si>
    <t>MAGASIN B14</t>
  </si>
  <si>
    <t>MAGASIN B15</t>
  </si>
  <si>
    <t>MAGASIN B16</t>
  </si>
  <si>
    <t>MAGASIN B17</t>
  </si>
  <si>
    <t>MAGASIN B18</t>
  </si>
  <si>
    <t>MAGASIN B19</t>
  </si>
  <si>
    <t>MAGASIN B20</t>
  </si>
  <si>
    <t>MAGASIN A1</t>
  </si>
  <si>
    <t>MAGASIN A2</t>
  </si>
  <si>
    <t>MAGASIN A3</t>
  </si>
  <si>
    <t>MAGASIN A4</t>
  </si>
  <si>
    <t>MAGASIN A5</t>
  </si>
  <si>
    <t>MAGASIN A6</t>
  </si>
  <si>
    <t>MAGASIN A7</t>
  </si>
  <si>
    <t>MAGASIN A8</t>
  </si>
  <si>
    <t>MAGASIN A9</t>
  </si>
  <si>
    <t>MAGASIN A10</t>
  </si>
  <si>
    <t>MAGASIN A11</t>
  </si>
  <si>
    <t>MAGASIN A12</t>
  </si>
  <si>
    <t>MAGASIN A13</t>
  </si>
  <si>
    <t>MAGASIN A14</t>
  </si>
  <si>
    <t>MAGASIN A15</t>
  </si>
  <si>
    <t>MAGASIN A16</t>
  </si>
  <si>
    <t>MAGASIN A17</t>
  </si>
  <si>
    <t>MAGASIN A18</t>
  </si>
  <si>
    <t>MAGASIN A19</t>
  </si>
  <si>
    <t>MAGASIN A20</t>
  </si>
  <si>
    <t>MAGASIN A21</t>
  </si>
  <si>
    <t>MAGASIN A22</t>
  </si>
  <si>
    <t>MAGASIN A23</t>
  </si>
  <si>
    <t>MAGASIN A24</t>
  </si>
  <si>
    <t>magasin</t>
  </si>
  <si>
    <t>secteur</t>
  </si>
  <si>
    <t>region</t>
  </si>
  <si>
    <t>nb magasins</t>
  </si>
  <si>
    <t>RANG FINAL famille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</si>
</sst>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0_ ;[Red]\-0\ "/>
    <numFmt numFmtId="166" formatCode="#"/>
    <numFmt numFmtId="167" formatCode="0.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9"/>
      <color indexed="62"/>
      <name val="Arial"/>
      <family val="2"/>
    </font>
    <font>
      <b/>
      <sz val="8"/>
      <color indexed="6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0000"/>
      <name val="Arial"/>
      <family val="2"/>
    </font>
    <font>
      <sz val="9"/>
      <color rgb="FFFF0000"/>
      <name val="Arial"/>
      <family val="2"/>
    </font>
    <font>
      <sz val="11"/>
      <color rgb="FF00B05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FF0000"/>
      <name val="Arial"/>
      <family val="2"/>
    </font>
    <font>
      <i/>
      <sz val="8"/>
      <color theme="0" tint="-0.499984740745262"/>
      <name val="Calibri"/>
      <family val="2"/>
    </font>
    <font>
      <i/>
      <sz val="8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indexed="62"/>
      <name val="Arial"/>
      <family val="2"/>
    </font>
    <font>
      <b/>
      <sz val="10"/>
      <color indexed="62"/>
      <name val="Arial"/>
      <family val="2"/>
    </font>
    <font>
      <sz val="9"/>
      <name val="Times New Roman"/>
      <family val="1"/>
    </font>
    <font>
      <sz val="9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2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.5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EC0B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slantDashDot">
        <color indexed="64"/>
      </right>
      <top/>
      <bottom/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/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theme="0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5" fillId="0" borderId="0"/>
    <xf numFmtId="0" fontId="3" fillId="0" borderId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238">
    <xf numFmtId="0" fontId="0" fillId="0" borderId="0" xfId="0"/>
    <xf numFmtId="0" fontId="0" fillId="0" borderId="0" xfId="0" applyAlignment="1">
      <alignment horizontal="center"/>
    </xf>
    <xf numFmtId="0" fontId="0" fillId="9" borderId="0" xfId="0" applyFill="1"/>
    <xf numFmtId="166" fontId="4" fillId="14" borderId="7" xfId="0" applyNumberFormat="1" applyFont="1" applyFill="1" applyBorder="1" applyAlignment="1">
      <alignment horizontal="center" vertical="center"/>
    </xf>
    <xf numFmtId="166" fontId="6" fillId="14" borderId="7" xfId="0" applyNumberFormat="1" applyFont="1" applyFill="1" applyBorder="1" applyAlignment="1">
      <alignment horizontal="center" vertical="center"/>
    </xf>
    <xf numFmtId="0" fontId="6" fillId="14" borderId="7" xfId="0" applyFont="1" applyFill="1" applyBorder="1" applyAlignment="1">
      <alignment horizontal="center" vertical="center"/>
    </xf>
    <xf numFmtId="0" fontId="4" fillId="14" borderId="7" xfId="0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horizontal="center" vertical="center"/>
    </xf>
    <xf numFmtId="0" fontId="6" fillId="15" borderId="7" xfId="0" applyFont="1" applyFill="1" applyBorder="1" applyAlignment="1">
      <alignment horizontal="center" vertical="center"/>
    </xf>
    <xf numFmtId="166" fontId="6" fillId="15" borderId="7" xfId="0" applyNumberFormat="1" applyFont="1" applyFill="1" applyBorder="1" applyAlignment="1">
      <alignment horizontal="center" vertical="center"/>
    </xf>
    <xf numFmtId="166" fontId="4" fillId="15" borderId="7" xfId="0" applyNumberFormat="1" applyFont="1" applyFill="1" applyBorder="1" applyAlignment="1">
      <alignment horizontal="center" vertical="center"/>
    </xf>
    <xf numFmtId="0" fontId="4" fillId="16" borderId="7" xfId="0" applyFont="1" applyFill="1" applyBorder="1" applyAlignment="1">
      <alignment horizontal="center" vertical="center"/>
    </xf>
    <xf numFmtId="0" fontId="6" fillId="16" borderId="7" xfId="0" applyFont="1" applyFill="1" applyBorder="1" applyAlignment="1">
      <alignment horizontal="center" vertical="center"/>
    </xf>
    <xf numFmtId="166" fontId="6" fillId="16" borderId="7" xfId="0" applyNumberFormat="1" applyFont="1" applyFill="1" applyBorder="1" applyAlignment="1">
      <alignment horizontal="center" vertical="center"/>
    </xf>
    <xf numFmtId="0" fontId="4" fillId="16" borderId="8" xfId="0" applyFont="1" applyFill="1" applyBorder="1" applyAlignment="1">
      <alignment horizontal="center" vertical="center"/>
    </xf>
    <xf numFmtId="0" fontId="4" fillId="17" borderId="7" xfId="0" applyFont="1" applyFill="1" applyBorder="1" applyAlignment="1">
      <alignment horizontal="center" vertical="center"/>
    </xf>
    <xf numFmtId="0" fontId="6" fillId="17" borderId="7" xfId="0" applyFont="1" applyFill="1" applyBorder="1" applyAlignment="1">
      <alignment horizontal="center" vertical="center"/>
    </xf>
    <xf numFmtId="166" fontId="6" fillId="17" borderId="7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9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18" borderId="0" xfId="0" applyFill="1"/>
    <xf numFmtId="0" fontId="0" fillId="19" borderId="0" xfId="0" applyFill="1" applyAlignment="1">
      <alignment horizontal="center"/>
    </xf>
    <xf numFmtId="0" fontId="0" fillId="19" borderId="0" xfId="0" applyFill="1"/>
    <xf numFmtId="0" fontId="0" fillId="16" borderId="0" xfId="0" applyFill="1" applyAlignment="1">
      <alignment horizontal="center"/>
    </xf>
    <xf numFmtId="0" fontId="0" fillId="16" borderId="0" xfId="0" applyFill="1"/>
    <xf numFmtId="0" fontId="0" fillId="0" borderId="0" xfId="0" applyProtection="1">
      <protection hidden="1"/>
    </xf>
    <xf numFmtId="0" fontId="0" fillId="12" borderId="0" xfId="0" applyFill="1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3" fillId="0" borderId="0" xfId="5"/>
    <xf numFmtId="0" fontId="2" fillId="0" borderId="0" xfId="5" applyFont="1" applyAlignment="1">
      <alignment horizontal="center"/>
    </xf>
    <xf numFmtId="0" fontId="2" fillId="0" borderId="0" xfId="5" applyFont="1"/>
    <xf numFmtId="0" fontId="3" fillId="0" borderId="0" xfId="5" applyAlignment="1">
      <alignment horizontal="center"/>
    </xf>
    <xf numFmtId="1" fontId="3" fillId="0" borderId="0" xfId="5" applyNumberFormat="1" applyAlignment="1">
      <alignment horizontal="center"/>
    </xf>
    <xf numFmtId="1" fontId="3" fillId="0" borderId="0" xfId="5" applyNumberFormat="1" applyFill="1" applyBorder="1" applyAlignment="1">
      <alignment horizontal="center"/>
    </xf>
    <xf numFmtId="1" fontId="3" fillId="0" borderId="0" xfId="5" applyNumberFormat="1"/>
    <xf numFmtId="167" fontId="2" fillId="0" borderId="0" xfId="5" applyNumberFormat="1" applyFont="1" applyAlignment="1">
      <alignment horizontal="center"/>
    </xf>
    <xf numFmtId="0" fontId="7" fillId="0" borderId="0" xfId="5" applyFont="1" applyFill="1" applyBorder="1" applyAlignment="1">
      <alignment horizontal="center" vertical="center" wrapText="1"/>
    </xf>
    <xf numFmtId="0" fontId="23" fillId="2" borderId="24" xfId="5" applyFont="1" applyFill="1" applyBorder="1" applyAlignment="1">
      <alignment horizontal="center" vertical="center" wrapText="1"/>
    </xf>
    <xf numFmtId="0" fontId="23" fillId="2" borderId="26" xfId="5" applyFont="1" applyFill="1" applyBorder="1" applyAlignment="1">
      <alignment horizontal="center" vertical="center" wrapText="1"/>
    </xf>
    <xf numFmtId="0" fontId="7" fillId="2" borderId="33" xfId="5" applyFont="1" applyFill="1" applyBorder="1" applyAlignment="1">
      <alignment horizontal="center" vertical="center" wrapText="1"/>
    </xf>
    <xf numFmtId="1" fontId="7" fillId="2" borderId="34" xfId="5" applyNumberFormat="1" applyFont="1" applyFill="1" applyBorder="1" applyAlignment="1">
      <alignment horizontal="center" vertical="center" wrapText="1"/>
    </xf>
    <xf numFmtId="0" fontId="7" fillId="2" borderId="34" xfId="5" applyFont="1" applyFill="1" applyBorder="1" applyAlignment="1">
      <alignment horizontal="center" vertical="center" wrapText="1"/>
    </xf>
    <xf numFmtId="1" fontId="7" fillId="2" borderId="35" xfId="5" applyNumberFormat="1" applyFont="1" applyFill="1" applyBorder="1" applyAlignment="1">
      <alignment horizontal="center" vertical="center" wrapText="1"/>
    </xf>
    <xf numFmtId="1" fontId="7" fillId="0" borderId="0" xfId="5" applyNumberFormat="1" applyFont="1" applyFill="1" applyBorder="1" applyAlignment="1">
      <alignment horizontal="center" vertical="center" wrapText="1"/>
    </xf>
    <xf numFmtId="0" fontId="23" fillId="0" borderId="0" xfId="5" applyFont="1" applyFill="1" applyBorder="1" applyAlignment="1">
      <alignment horizontal="center" vertical="center" wrapText="1"/>
    </xf>
    <xf numFmtId="0" fontId="4" fillId="14" borderId="43" xfId="5" applyFont="1" applyFill="1" applyBorder="1" applyAlignment="1">
      <alignment horizontal="center" vertical="center"/>
    </xf>
    <xf numFmtId="0" fontId="4" fillId="14" borderId="44" xfId="5" applyFont="1" applyFill="1" applyBorder="1" applyAlignment="1">
      <alignment horizontal="left" vertical="center"/>
    </xf>
    <xf numFmtId="10" fontId="6" fillId="0" borderId="45" xfId="5" applyNumberFormat="1" applyFont="1" applyBorder="1" applyAlignment="1">
      <alignment horizontal="center" vertical="center"/>
    </xf>
    <xf numFmtId="1" fontId="6" fillId="0" borderId="31" xfId="5" applyNumberFormat="1" applyFont="1" applyBorder="1" applyAlignment="1">
      <alignment horizontal="center" vertical="center"/>
    </xf>
    <xf numFmtId="10" fontId="6" fillId="0" borderId="31" xfId="5" applyNumberFormat="1" applyFont="1" applyBorder="1" applyAlignment="1">
      <alignment horizontal="center" vertical="center"/>
    </xf>
    <xf numFmtId="1" fontId="6" fillId="0" borderId="32" xfId="5" applyNumberFormat="1" applyFont="1" applyBorder="1" applyAlignment="1">
      <alignment horizontal="center" vertical="center"/>
    </xf>
    <xf numFmtId="1" fontId="6" fillId="0" borderId="0" xfId="5" applyNumberFormat="1" applyFont="1" applyFill="1" applyBorder="1" applyAlignment="1">
      <alignment horizontal="center" vertical="center"/>
    </xf>
    <xf numFmtId="1" fontId="6" fillId="0" borderId="30" xfId="5" applyNumberFormat="1" applyFont="1" applyBorder="1" applyAlignment="1">
      <alignment horizontal="center" vertical="center"/>
    </xf>
    <xf numFmtId="0" fontId="4" fillId="17" borderId="46" xfId="5" applyFont="1" applyFill="1" applyBorder="1" applyAlignment="1">
      <alignment horizontal="center" vertical="center"/>
    </xf>
    <xf numFmtId="0" fontId="4" fillId="17" borderId="47" xfId="5" applyFont="1" applyFill="1" applyBorder="1" applyAlignment="1">
      <alignment horizontal="left" vertical="center"/>
    </xf>
    <xf numFmtId="10" fontId="6" fillId="0" borderId="48" xfId="5" applyNumberFormat="1" applyFont="1" applyBorder="1" applyAlignment="1">
      <alignment horizontal="center" vertical="center"/>
    </xf>
    <xf numFmtId="1" fontId="6" fillId="0" borderId="12" xfId="5" applyNumberFormat="1" applyFont="1" applyBorder="1" applyAlignment="1">
      <alignment horizontal="center" vertical="center"/>
    </xf>
    <xf numFmtId="10" fontId="6" fillId="0" borderId="12" xfId="5" applyNumberFormat="1" applyFont="1" applyBorder="1" applyAlignment="1">
      <alignment horizontal="center" vertical="center"/>
    </xf>
    <xf numFmtId="1" fontId="6" fillId="0" borderId="36" xfId="5" applyNumberFormat="1" applyFont="1" applyBorder="1" applyAlignment="1">
      <alignment horizontal="center" vertical="center"/>
    </xf>
    <xf numFmtId="1" fontId="6" fillId="0" borderId="10" xfId="5" applyNumberFormat="1" applyFont="1" applyBorder="1" applyAlignment="1">
      <alignment horizontal="center" vertical="center"/>
    </xf>
    <xf numFmtId="0" fontId="4" fillId="15" borderId="46" xfId="5" applyFont="1" applyFill="1" applyBorder="1" applyAlignment="1">
      <alignment horizontal="center" vertical="center"/>
    </xf>
    <xf numFmtId="0" fontId="4" fillId="15" borderId="47" xfId="5" applyFont="1" applyFill="1" applyBorder="1" applyAlignment="1">
      <alignment horizontal="left" vertical="center"/>
    </xf>
    <xf numFmtId="0" fontId="4" fillId="14" borderId="46" xfId="5" applyFont="1" applyFill="1" applyBorder="1" applyAlignment="1">
      <alignment horizontal="center" vertical="center"/>
    </xf>
    <xf numFmtId="0" fontId="4" fillId="14" borderId="47" xfId="5" applyFont="1" applyFill="1" applyBorder="1" applyAlignment="1">
      <alignment horizontal="left" vertical="center"/>
    </xf>
    <xf numFmtId="166" fontId="4" fillId="14" borderId="46" xfId="5" applyNumberFormat="1" applyFont="1" applyFill="1" applyBorder="1" applyAlignment="1">
      <alignment horizontal="center" vertical="center"/>
    </xf>
    <xf numFmtId="0" fontId="4" fillId="16" borderId="46" xfId="5" applyFont="1" applyFill="1" applyBorder="1" applyAlignment="1">
      <alignment horizontal="center" vertical="center"/>
    </xf>
    <xf numFmtId="0" fontId="4" fillId="16" borderId="47" xfId="5" applyFont="1" applyFill="1" applyBorder="1" applyAlignment="1">
      <alignment horizontal="left" vertical="center"/>
    </xf>
    <xf numFmtId="0" fontId="4" fillId="17" borderId="49" xfId="5" applyFont="1" applyFill="1" applyBorder="1" applyAlignment="1">
      <alignment horizontal="center" vertical="center"/>
    </xf>
    <xf numFmtId="0" fontId="4" fillId="17" borderId="50" xfId="5" applyFont="1" applyFill="1" applyBorder="1" applyAlignment="1">
      <alignment horizontal="left" vertical="center"/>
    </xf>
    <xf numFmtId="10" fontId="6" fillId="0" borderId="51" xfId="5" applyNumberFormat="1" applyFont="1" applyBorder="1" applyAlignment="1">
      <alignment horizontal="center" vertical="center"/>
    </xf>
    <xf numFmtId="1" fontId="6" fillId="0" borderId="41" xfId="5" applyNumberFormat="1" applyFont="1" applyBorder="1" applyAlignment="1">
      <alignment horizontal="center" vertical="center"/>
    </xf>
    <xf numFmtId="10" fontId="6" fillId="0" borderId="41" xfId="5" applyNumberFormat="1" applyFont="1" applyBorder="1" applyAlignment="1">
      <alignment horizontal="center" vertical="center"/>
    </xf>
    <xf numFmtId="1" fontId="6" fillId="0" borderId="42" xfId="5" applyNumberFormat="1" applyFont="1" applyBorder="1" applyAlignment="1">
      <alignment horizontal="center" vertical="center"/>
    </xf>
    <xf numFmtId="1" fontId="6" fillId="0" borderId="40" xfId="5" applyNumberFormat="1" applyFont="1" applyBorder="1" applyAlignment="1">
      <alignment horizontal="center" vertical="center"/>
    </xf>
    <xf numFmtId="1" fontId="23" fillId="2" borderId="25" xfId="5" applyNumberFormat="1" applyFont="1" applyFill="1" applyBorder="1" applyAlignment="1">
      <alignment horizontal="center" vertical="center" wrapText="1"/>
    </xf>
    <xf numFmtId="0" fontId="4" fillId="16" borderId="43" xfId="5" applyFont="1" applyFill="1" applyBorder="1" applyAlignment="1">
      <alignment horizontal="center" vertical="center"/>
    </xf>
    <xf numFmtId="0" fontId="4" fillId="16" borderId="44" xfId="5" applyFont="1" applyFill="1" applyBorder="1" applyAlignment="1">
      <alignment horizontal="left" vertical="center"/>
    </xf>
    <xf numFmtId="166" fontId="4" fillId="17" borderId="46" xfId="5" applyNumberFormat="1" applyFont="1" applyFill="1" applyBorder="1" applyAlignment="1">
      <alignment horizontal="center" vertical="center"/>
    </xf>
    <xf numFmtId="0" fontId="4" fillId="17" borderId="37" xfId="5" applyFont="1" applyFill="1" applyBorder="1" applyAlignment="1">
      <alignment horizontal="center" vertical="center"/>
    </xf>
    <xf numFmtId="0" fontId="4" fillId="17" borderId="39" xfId="5" applyFont="1" applyFill="1" applyBorder="1" applyAlignment="1">
      <alignment horizontal="left" vertical="center"/>
    </xf>
    <xf numFmtId="0" fontId="24" fillId="0" borderId="0" xfId="5" applyFont="1" applyAlignment="1">
      <alignment horizontal="center"/>
    </xf>
    <xf numFmtId="0" fontId="24" fillId="0" borderId="0" xfId="5" applyFont="1"/>
    <xf numFmtId="0" fontId="2" fillId="0" borderId="0" xfId="5" applyFont="1" applyAlignment="1">
      <alignment horizontal="right"/>
    </xf>
    <xf numFmtId="0" fontId="3" fillId="0" borderId="0" xfId="5" applyAlignment="1">
      <alignment horizontal="right"/>
    </xf>
    <xf numFmtId="0" fontId="21" fillId="12" borderId="0" xfId="0" applyFont="1" applyFill="1"/>
    <xf numFmtId="0" fontId="0" fillId="7" borderId="9" xfId="0" applyFill="1" applyBorder="1" applyAlignment="1" applyProtection="1">
      <alignment horizontal="center" vertical="center"/>
      <protection hidden="1"/>
    </xf>
    <xf numFmtId="0" fontId="0" fillId="0" borderId="9" xfId="0" applyBorder="1" applyProtection="1">
      <protection hidden="1"/>
    </xf>
    <xf numFmtId="0" fontId="0" fillId="0" borderId="9" xfId="0" applyBorder="1" applyAlignment="1" applyProtection="1">
      <alignment horizontal="center"/>
      <protection hidden="1"/>
    </xf>
    <xf numFmtId="0" fontId="4" fillId="7" borderId="9" xfId="0" applyFont="1" applyFill="1" applyBorder="1" applyAlignment="1">
      <alignment horizontal="center" vertical="center"/>
    </xf>
    <xf numFmtId="166" fontId="4" fillId="7" borderId="9" xfId="0" applyNumberFormat="1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10" fontId="3" fillId="0" borderId="0" xfId="5" applyNumberFormat="1"/>
    <xf numFmtId="10" fontId="3" fillId="7" borderId="0" xfId="5" applyNumberFormat="1" applyFill="1"/>
    <xf numFmtId="0" fontId="3" fillId="7" borderId="0" xfId="5" applyFill="1"/>
    <xf numFmtId="0" fontId="3" fillId="0" borderId="0" xfId="5" applyFill="1"/>
    <xf numFmtId="0" fontId="3" fillId="0" borderId="0" xfId="5" applyNumberFormat="1"/>
    <xf numFmtId="0" fontId="3" fillId="0" borderId="0" xfId="8" applyNumberFormat="1" applyFont="1"/>
    <xf numFmtId="10" fontId="3" fillId="0" borderId="0" xfId="8" applyNumberFormat="1" applyFont="1"/>
    <xf numFmtId="0" fontId="3" fillId="7" borderId="0" xfId="8" applyNumberFormat="1" applyFont="1" applyFill="1"/>
    <xf numFmtId="0" fontId="3" fillId="7" borderId="0" xfId="5" applyNumberFormat="1" applyFill="1"/>
    <xf numFmtId="0" fontId="4" fillId="7" borderId="0" xfId="3" applyFont="1" applyFill="1" applyBorder="1" applyAlignment="1" applyProtection="1">
      <alignment horizontal="center" vertical="center"/>
      <protection locked="0" hidden="1"/>
    </xf>
    <xf numFmtId="0" fontId="0" fillId="12" borderId="0" xfId="0" applyFill="1" applyAlignment="1" applyProtection="1">
      <alignment horizontal="center"/>
      <protection hidden="1"/>
    </xf>
    <xf numFmtId="0" fontId="0" fillId="12" borderId="0" xfId="0" applyFill="1" applyProtection="1">
      <protection hidden="1"/>
    </xf>
    <xf numFmtId="0" fontId="12" fillId="12" borderId="0" xfId="7" applyFill="1" applyAlignment="1" applyProtection="1">
      <alignment vertical="center"/>
      <protection hidden="1"/>
    </xf>
    <xf numFmtId="9" fontId="12" fillId="12" borderId="0" xfId="2" applyFont="1" applyFill="1" applyAlignment="1" applyProtection="1">
      <alignment horizontal="center" vertical="center"/>
      <protection hidden="1"/>
    </xf>
    <xf numFmtId="0" fontId="12" fillId="12" borderId="0" xfId="7" applyNumberFormat="1" applyFill="1" applyAlignment="1" applyProtection="1">
      <alignment horizontal="center" vertical="center"/>
      <protection hidden="1"/>
    </xf>
    <xf numFmtId="0" fontId="0" fillId="12" borderId="2" xfId="0" applyFill="1" applyBorder="1" applyProtection="1">
      <protection hidden="1"/>
    </xf>
    <xf numFmtId="0" fontId="0" fillId="12" borderId="1" xfId="0" applyFill="1" applyBorder="1" applyProtection="1">
      <protection hidden="1"/>
    </xf>
    <xf numFmtId="9" fontId="0" fillId="12" borderId="3" xfId="0" applyNumberFormat="1" applyFill="1" applyBorder="1" applyAlignment="1" applyProtection="1">
      <alignment horizontal="left"/>
      <protection hidden="1"/>
    </xf>
    <xf numFmtId="0" fontId="0" fillId="12" borderId="52" xfId="0" applyFill="1" applyBorder="1" applyProtection="1">
      <protection hidden="1"/>
    </xf>
    <xf numFmtId="0" fontId="0" fillId="12" borderId="0" xfId="0" applyFill="1" applyBorder="1" applyProtection="1">
      <protection hidden="1"/>
    </xf>
    <xf numFmtId="9" fontId="0" fillId="12" borderId="53" xfId="0" applyNumberFormat="1" applyFill="1" applyBorder="1" applyAlignment="1" applyProtection="1">
      <alignment horizontal="left"/>
      <protection hidden="1"/>
    </xf>
    <xf numFmtId="0" fontId="12" fillId="12" borderId="0" xfId="7" applyFill="1" applyAlignment="1" applyProtection="1">
      <alignment horizontal="center" vertical="center"/>
      <protection hidden="1"/>
    </xf>
    <xf numFmtId="0" fontId="0" fillId="12" borderId="4" xfId="0" applyFill="1" applyBorder="1" applyProtection="1">
      <protection hidden="1"/>
    </xf>
    <xf numFmtId="0" fontId="0" fillId="12" borderId="5" xfId="0" applyFill="1" applyBorder="1" applyProtection="1">
      <protection hidden="1"/>
    </xf>
    <xf numFmtId="164" fontId="0" fillId="12" borderId="6" xfId="2" applyNumberFormat="1" applyFont="1" applyFill="1" applyBorder="1" applyAlignment="1" applyProtection="1">
      <alignment horizontal="left"/>
      <protection hidden="1"/>
    </xf>
    <xf numFmtId="0" fontId="12" fillId="12" borderId="0" xfId="7" applyFill="1" applyAlignment="1" applyProtection="1">
      <alignment horizontal="center"/>
      <protection hidden="1"/>
    </xf>
    <xf numFmtId="9" fontId="0" fillId="12" borderId="0" xfId="2" applyFont="1" applyFill="1" applyAlignment="1" applyProtection="1">
      <alignment horizontal="center"/>
      <protection hidden="1"/>
    </xf>
    <xf numFmtId="0" fontId="0" fillId="12" borderId="0" xfId="0" applyNumberFormat="1" applyFill="1" applyAlignment="1" applyProtection="1">
      <alignment horizontal="center"/>
      <protection hidden="1"/>
    </xf>
    <xf numFmtId="0" fontId="12" fillId="12" borderId="0" xfId="7" applyFill="1" applyProtection="1">
      <protection hidden="1"/>
    </xf>
    <xf numFmtId="9" fontId="0" fillId="12" borderId="0" xfId="2" applyFont="1" applyFill="1" applyBorder="1" applyAlignment="1" applyProtection="1">
      <alignment horizontal="center"/>
      <protection hidden="1"/>
    </xf>
    <xf numFmtId="0" fontId="0" fillId="12" borderId="0" xfId="0" applyNumberFormat="1" applyFill="1" applyBorder="1" applyAlignment="1" applyProtection="1">
      <alignment horizontal="center"/>
      <protection hidden="1"/>
    </xf>
    <xf numFmtId="0" fontId="9" fillId="12" borderId="0" xfId="0" applyFont="1" applyFill="1" applyBorder="1" applyProtection="1">
      <protection hidden="1"/>
    </xf>
    <xf numFmtId="0" fontId="0" fillId="12" borderId="11" xfId="0" applyFill="1" applyBorder="1" applyProtection="1">
      <protection hidden="1"/>
    </xf>
    <xf numFmtId="0" fontId="0" fillId="12" borderId="11" xfId="0" applyFill="1" applyBorder="1" applyAlignment="1" applyProtection="1">
      <alignment horizontal="center"/>
      <protection hidden="1"/>
    </xf>
    <xf numFmtId="0" fontId="0" fillId="12" borderId="18" xfId="0" applyFill="1" applyBorder="1" applyProtection="1">
      <protection hidden="1"/>
    </xf>
    <xf numFmtId="0" fontId="11" fillId="13" borderId="0" xfId="0" applyFont="1" applyFill="1" applyBorder="1" applyAlignment="1" applyProtection="1">
      <alignment horizontal="center" vertical="center"/>
      <protection hidden="1"/>
    </xf>
    <xf numFmtId="0" fontId="0" fillId="12" borderId="10" xfId="0" applyFill="1" applyBorder="1" applyProtection="1">
      <protection hidden="1"/>
    </xf>
    <xf numFmtId="0" fontId="7" fillId="3" borderId="0" xfId="0" applyFont="1" applyFill="1" applyBorder="1" applyAlignment="1" applyProtection="1">
      <alignment horizontal="center" vertical="center" wrapText="1"/>
      <protection hidden="1"/>
    </xf>
    <xf numFmtId="0" fontId="7" fillId="4" borderId="0" xfId="0" applyFont="1" applyFill="1" applyBorder="1" applyAlignment="1" applyProtection="1">
      <alignment horizontal="center" vertical="center" wrapText="1"/>
      <protection hidden="1"/>
    </xf>
    <xf numFmtId="0" fontId="7" fillId="4" borderId="10" xfId="0" applyFont="1" applyFill="1" applyBorder="1" applyAlignment="1" applyProtection="1">
      <alignment horizontal="center" vertical="center" wrapText="1"/>
      <protection hidden="1"/>
    </xf>
    <xf numFmtId="0" fontId="0" fillId="12" borderId="12" xfId="0" applyFill="1" applyBorder="1" applyProtection="1">
      <protection hidden="1"/>
    </xf>
    <xf numFmtId="0" fontId="7" fillId="5" borderId="0" xfId="0" applyFont="1" applyFill="1" applyBorder="1" applyAlignment="1" applyProtection="1">
      <alignment horizontal="center" vertical="center" wrapText="1"/>
      <protection hidden="1"/>
    </xf>
    <xf numFmtId="0" fontId="7" fillId="2" borderId="0" xfId="3" applyFont="1" applyFill="1" applyBorder="1" applyAlignment="1" applyProtection="1">
      <alignment horizontal="center" vertical="center" wrapText="1"/>
      <protection hidden="1"/>
    </xf>
    <xf numFmtId="0" fontId="8" fillId="6" borderId="0" xfId="0" applyFont="1" applyFill="1" applyBorder="1" applyAlignment="1" applyProtection="1">
      <alignment horizontal="center" vertical="center" wrapText="1"/>
      <protection hidden="1"/>
    </xf>
    <xf numFmtId="0" fontId="9" fillId="8" borderId="10" xfId="0" applyFont="1" applyFill="1" applyBorder="1" applyAlignment="1" applyProtection="1">
      <alignment horizontal="center" vertical="center"/>
      <protection hidden="1"/>
    </xf>
    <xf numFmtId="0" fontId="0" fillId="12" borderId="17" xfId="0" applyFill="1" applyBorder="1" applyProtection="1">
      <protection hidden="1"/>
    </xf>
    <xf numFmtId="0" fontId="15" fillId="12" borderId="0" xfId="0" applyFont="1" applyFill="1" applyBorder="1" applyAlignment="1" applyProtection="1">
      <alignment horizontal="center"/>
      <protection hidden="1"/>
    </xf>
    <xf numFmtId="165" fontId="10" fillId="12" borderId="0" xfId="0" applyNumberFormat="1" applyFont="1" applyFill="1" applyBorder="1" applyAlignment="1" applyProtection="1">
      <alignment horizontal="center"/>
      <protection hidden="1"/>
    </xf>
    <xf numFmtId="0" fontId="0" fillId="12" borderId="0" xfId="8" applyNumberFormat="1" applyFont="1" applyFill="1" applyBorder="1" applyAlignment="1" applyProtection="1">
      <alignment horizontal="center" vertical="center"/>
      <protection hidden="1"/>
    </xf>
    <xf numFmtId="43" fontId="0" fillId="12" borderId="0" xfId="8" applyFont="1" applyFill="1" applyBorder="1" applyAlignment="1" applyProtection="1">
      <alignment horizontal="center" vertical="center"/>
      <protection hidden="1"/>
    </xf>
    <xf numFmtId="10" fontId="0" fillId="12" borderId="0" xfId="2" applyNumberFormat="1" applyFont="1" applyFill="1" applyBorder="1" applyAlignment="1" applyProtection="1">
      <alignment horizontal="center" vertical="center"/>
      <protection hidden="1"/>
    </xf>
    <xf numFmtId="44" fontId="7" fillId="2" borderId="0" xfId="1" applyFont="1" applyFill="1" applyBorder="1" applyAlignment="1" applyProtection="1">
      <alignment vertical="center" wrapText="1"/>
      <protection hidden="1"/>
    </xf>
    <xf numFmtId="3" fontId="6" fillId="3" borderId="0" xfId="6" applyNumberFormat="1" applyFont="1" applyFill="1" applyBorder="1" applyAlignment="1" applyProtection="1">
      <alignment horizontal="center" vertical="center"/>
      <protection hidden="1"/>
    </xf>
    <xf numFmtId="3" fontId="6" fillId="4" borderId="0" xfId="0" applyNumberFormat="1" applyFont="1" applyFill="1" applyBorder="1" applyAlignment="1" applyProtection="1">
      <alignment horizontal="center" vertical="center"/>
      <protection hidden="1"/>
    </xf>
    <xf numFmtId="3" fontId="4" fillId="4" borderId="10" xfId="0" applyNumberFormat="1" applyFont="1" applyFill="1" applyBorder="1" applyAlignment="1" applyProtection="1">
      <alignment horizontal="center" vertical="center"/>
      <protection hidden="1"/>
    </xf>
    <xf numFmtId="164" fontId="14" fillId="11" borderId="0" xfId="6" applyNumberFormat="1" applyFont="1" applyFill="1" applyBorder="1" applyAlignment="1" applyProtection="1">
      <alignment horizontal="center" vertical="center"/>
      <protection hidden="1"/>
    </xf>
    <xf numFmtId="165" fontId="10" fillId="12" borderId="10" xfId="0" applyNumberFormat="1" applyFont="1" applyFill="1" applyBorder="1" applyAlignment="1" applyProtection="1">
      <alignment horizontal="center"/>
      <protection hidden="1"/>
    </xf>
    <xf numFmtId="10" fontId="14" fillId="11" borderId="0" xfId="6" applyNumberFormat="1" applyFont="1" applyFill="1" applyBorder="1" applyAlignment="1" applyProtection="1">
      <alignment horizontal="center" vertical="center"/>
      <protection hidden="1"/>
    </xf>
    <xf numFmtId="44" fontId="8" fillId="2" borderId="0" xfId="1" applyFont="1" applyFill="1" applyBorder="1" applyAlignment="1" applyProtection="1">
      <alignment vertical="center" wrapText="1"/>
      <protection hidden="1"/>
    </xf>
    <xf numFmtId="3" fontId="6" fillId="3" borderId="15" xfId="6" applyNumberFormat="1" applyFont="1" applyFill="1" applyBorder="1" applyAlignment="1" applyProtection="1">
      <alignment horizontal="center" vertical="center"/>
      <protection hidden="1"/>
    </xf>
    <xf numFmtId="3" fontId="6" fillId="3" borderId="11" xfId="6" applyNumberFormat="1" applyFont="1" applyFill="1" applyBorder="1" applyAlignment="1" applyProtection="1">
      <alignment horizontal="center" vertical="center"/>
      <protection hidden="1"/>
    </xf>
    <xf numFmtId="3" fontId="6" fillId="4" borderId="11" xfId="0" applyNumberFormat="1" applyFont="1" applyFill="1" applyBorder="1" applyAlignment="1" applyProtection="1">
      <alignment horizontal="center" vertical="center"/>
      <protection hidden="1"/>
    </xf>
    <xf numFmtId="3" fontId="4" fillId="4" borderId="14" xfId="0" applyNumberFormat="1" applyFont="1" applyFill="1" applyBorder="1" applyAlignment="1" applyProtection="1">
      <alignment horizontal="center" vertical="center"/>
      <protection hidden="1"/>
    </xf>
    <xf numFmtId="164" fontId="14" fillId="11" borderId="15" xfId="6" applyNumberFormat="1" applyFont="1" applyFill="1" applyBorder="1" applyAlignment="1" applyProtection="1">
      <alignment horizontal="center" vertical="center"/>
      <protection hidden="1"/>
    </xf>
    <xf numFmtId="165" fontId="10" fillId="12" borderId="11" xfId="0" applyNumberFormat="1" applyFont="1" applyFill="1" applyBorder="1" applyAlignment="1" applyProtection="1">
      <alignment horizontal="center"/>
      <protection hidden="1"/>
    </xf>
    <xf numFmtId="165" fontId="10" fillId="12" borderId="14" xfId="0" applyNumberFormat="1" applyFont="1" applyFill="1" applyBorder="1" applyAlignment="1" applyProtection="1">
      <alignment horizontal="center"/>
      <protection hidden="1"/>
    </xf>
    <xf numFmtId="0" fontId="29" fillId="22" borderId="0" xfId="8" applyNumberFormat="1" applyFont="1" applyFill="1" applyBorder="1" applyAlignment="1" applyProtection="1">
      <alignment horizontal="center" vertical="center" wrapText="1"/>
      <protection hidden="1"/>
    </xf>
    <xf numFmtId="43" fontId="30" fillId="22" borderId="0" xfId="8" applyFont="1" applyFill="1" applyBorder="1" applyAlignment="1" applyProtection="1">
      <alignment horizontal="center" vertical="center" wrapText="1"/>
      <protection hidden="1"/>
    </xf>
    <xf numFmtId="0" fontId="30" fillId="22" borderId="0" xfId="8" applyNumberFormat="1" applyFont="1" applyFill="1" applyBorder="1" applyAlignment="1" applyProtection="1">
      <alignment horizontal="center" vertical="center" wrapText="1"/>
      <protection hidden="1"/>
    </xf>
    <xf numFmtId="0" fontId="16" fillId="12" borderId="0" xfId="0" applyFont="1" applyFill="1" applyAlignment="1" applyProtection="1">
      <alignment horizontal="center"/>
      <protection hidden="1"/>
    </xf>
    <xf numFmtId="9" fontId="30" fillId="22" borderId="0" xfId="8" applyNumberFormat="1" applyFont="1" applyFill="1" applyBorder="1" applyAlignment="1" applyProtection="1">
      <alignment horizontal="center" vertical="center" wrapText="1"/>
      <protection hidden="1"/>
    </xf>
    <xf numFmtId="43" fontId="0" fillId="12" borderId="0" xfId="8" applyFont="1" applyFill="1" applyBorder="1" applyAlignment="1" applyProtection="1">
      <alignment horizontal="center"/>
      <protection hidden="1"/>
    </xf>
    <xf numFmtId="9" fontId="30" fillId="23" borderId="0" xfId="8" applyNumberFormat="1" applyFont="1" applyFill="1" applyBorder="1" applyAlignment="1" applyProtection="1">
      <alignment horizontal="center" vertical="center" wrapText="1"/>
      <protection hidden="1"/>
    </xf>
    <xf numFmtId="9" fontId="0" fillId="0" borderId="0" xfId="2" applyFont="1" applyAlignment="1" applyProtection="1">
      <alignment horizontal="center"/>
      <protection hidden="1"/>
    </xf>
    <xf numFmtId="0" fontId="0" fillId="0" borderId="0" xfId="0" applyNumberFormat="1" applyAlignment="1" applyProtection="1">
      <alignment horizontal="center"/>
      <protection hidden="1"/>
    </xf>
    <xf numFmtId="0" fontId="9" fillId="10" borderId="0" xfId="0" applyFont="1" applyFill="1" applyAlignment="1" applyProtection="1">
      <alignment horizontal="center"/>
      <protection hidden="1"/>
    </xf>
    <xf numFmtId="0" fontId="4" fillId="7" borderId="0" xfId="3" applyFont="1" applyFill="1" applyBorder="1" applyAlignment="1" applyProtection="1">
      <alignment horizontal="center" vertical="center"/>
      <protection hidden="1"/>
    </xf>
    <xf numFmtId="0" fontId="9" fillId="10" borderId="0" xfId="0" applyFont="1" applyFill="1" applyBorder="1" applyAlignment="1" applyProtection="1">
      <alignment horizontal="center"/>
      <protection hidden="1"/>
    </xf>
    <xf numFmtId="0" fontId="7" fillId="2" borderId="13" xfId="3" applyFont="1" applyFill="1" applyBorder="1" applyAlignment="1" applyProtection="1">
      <alignment horizontal="center" vertical="center" wrapText="1"/>
      <protection hidden="1"/>
    </xf>
    <xf numFmtId="9" fontId="9" fillId="12" borderId="54" xfId="2" applyFont="1" applyFill="1" applyBorder="1" applyAlignment="1" applyProtection="1">
      <alignment horizontal="center"/>
      <protection hidden="1"/>
    </xf>
    <xf numFmtId="9" fontId="9" fillId="12" borderId="54" xfId="8" applyNumberFormat="1" applyFont="1" applyFill="1" applyBorder="1" applyAlignment="1" applyProtection="1">
      <alignment horizontal="center"/>
      <protection hidden="1"/>
    </xf>
    <xf numFmtId="9" fontId="0" fillId="12" borderId="0" xfId="2" applyFont="1" applyFill="1" applyBorder="1" applyAlignment="1" applyProtection="1">
      <alignment horizontal="center" vertical="center"/>
      <protection hidden="1"/>
    </xf>
    <xf numFmtId="9" fontId="0" fillId="12" borderId="0" xfId="0" applyNumberFormat="1" applyFill="1" applyBorder="1" applyAlignment="1" applyProtection="1">
      <alignment horizontal="center"/>
      <protection hidden="1"/>
    </xf>
    <xf numFmtId="0" fontId="0" fillId="12" borderId="20" xfId="0" applyFill="1" applyBorder="1" applyProtection="1">
      <protection hidden="1"/>
    </xf>
    <xf numFmtId="0" fontId="16" fillId="12" borderId="0" xfId="0" applyFont="1" applyFill="1" applyAlignment="1" applyProtection="1">
      <alignment horizontal="right"/>
      <protection hidden="1"/>
    </xf>
    <xf numFmtId="10" fontId="0" fillId="12" borderId="0" xfId="0" applyNumberFormat="1" applyFill="1" applyAlignment="1" applyProtection="1">
      <alignment horizontal="center"/>
      <protection hidden="1"/>
    </xf>
    <xf numFmtId="0" fontId="19" fillId="12" borderId="0" xfId="0" applyFont="1" applyFill="1" applyAlignment="1" applyProtection="1">
      <alignment horizontal="right"/>
      <protection hidden="1"/>
    </xf>
    <xf numFmtId="0" fontId="20" fillId="12" borderId="0" xfId="0" applyFont="1" applyFill="1" applyAlignment="1" applyProtection="1">
      <alignment horizontal="right"/>
      <protection hidden="1"/>
    </xf>
    <xf numFmtId="0" fontId="0" fillId="12" borderId="55" xfId="0" applyFill="1" applyBorder="1" applyAlignment="1" applyProtection="1">
      <alignment horizontal="center"/>
      <protection hidden="1"/>
    </xf>
    <xf numFmtId="0" fontId="0" fillId="12" borderId="55" xfId="0" applyFill="1" applyBorder="1" applyProtection="1">
      <protection hidden="1"/>
    </xf>
    <xf numFmtId="0" fontId="19" fillId="12" borderId="55" xfId="0" applyFont="1" applyFill="1" applyBorder="1" applyAlignment="1" applyProtection="1">
      <alignment horizontal="right"/>
      <protection hidden="1"/>
    </xf>
    <xf numFmtId="0" fontId="20" fillId="12" borderId="55" xfId="0" applyFont="1" applyFill="1" applyBorder="1" applyAlignment="1" applyProtection="1">
      <alignment horizontal="right"/>
      <protection hidden="1"/>
    </xf>
    <xf numFmtId="9" fontId="0" fillId="12" borderId="55" xfId="2" applyFont="1" applyFill="1" applyBorder="1" applyAlignment="1" applyProtection="1">
      <alignment horizontal="center"/>
      <protection hidden="1"/>
    </xf>
    <xf numFmtId="0" fontId="0" fillId="12" borderId="55" xfId="0" applyNumberFormat="1" applyFill="1" applyBorder="1" applyAlignment="1" applyProtection="1">
      <alignment horizontal="center"/>
      <protection hidden="1"/>
    </xf>
    <xf numFmtId="0" fontId="9" fillId="7" borderId="19" xfId="0" applyFont="1" applyFill="1" applyBorder="1" applyAlignment="1" applyProtection="1">
      <alignment horizontal="center" vertical="center"/>
      <protection locked="0" hidden="1"/>
    </xf>
    <xf numFmtId="0" fontId="27" fillId="7" borderId="2" xfId="0" applyFont="1" applyFill="1" applyBorder="1" applyAlignment="1" applyProtection="1">
      <alignment horizontal="center"/>
      <protection hidden="1"/>
    </xf>
    <xf numFmtId="0" fontId="27" fillId="7" borderId="3" xfId="0" applyFont="1" applyFill="1" applyBorder="1" applyAlignment="1" applyProtection="1">
      <alignment horizontal="center"/>
      <protection hidden="1"/>
    </xf>
    <xf numFmtId="0" fontId="28" fillId="7" borderId="52" xfId="0" applyFont="1" applyFill="1" applyBorder="1" applyAlignment="1" applyProtection="1">
      <alignment horizontal="center"/>
      <protection hidden="1"/>
    </xf>
    <xf numFmtId="0" fontId="28" fillId="7" borderId="53" xfId="0" applyFont="1" applyFill="1" applyBorder="1" applyAlignment="1" applyProtection="1">
      <alignment horizontal="center"/>
      <protection hidden="1"/>
    </xf>
    <xf numFmtId="0" fontId="28" fillId="7" borderId="4" xfId="0" applyFont="1" applyFill="1" applyBorder="1" applyAlignment="1" applyProtection="1">
      <alignment horizontal="center"/>
      <protection hidden="1"/>
    </xf>
    <xf numFmtId="0" fontId="28" fillId="7" borderId="6" xfId="0" applyFont="1" applyFill="1" applyBorder="1" applyAlignment="1" applyProtection="1">
      <alignment horizontal="center"/>
      <protection hidden="1"/>
    </xf>
    <xf numFmtId="0" fontId="19" fillId="12" borderId="0" xfId="0" applyFont="1" applyFill="1" applyAlignment="1" applyProtection="1">
      <alignment horizontal="right"/>
      <protection hidden="1"/>
    </xf>
    <xf numFmtId="0" fontId="20" fillId="12" borderId="0" xfId="0" applyFont="1" applyFill="1" applyAlignment="1" applyProtection="1">
      <alignment horizontal="right"/>
      <protection hidden="1"/>
    </xf>
    <xf numFmtId="10" fontId="13" fillId="11" borderId="16" xfId="2" applyNumberFormat="1" applyFont="1" applyFill="1" applyBorder="1" applyAlignment="1" applyProtection="1">
      <alignment horizontal="center" vertical="center" wrapText="1"/>
      <protection hidden="1"/>
    </xf>
    <xf numFmtId="10" fontId="13" fillId="11" borderId="15" xfId="2" applyNumberFormat="1" applyFont="1" applyFill="1" applyBorder="1" applyAlignment="1" applyProtection="1">
      <alignment horizontal="center" vertical="center" wrapText="1"/>
      <protection hidden="1"/>
    </xf>
    <xf numFmtId="0" fontId="12" fillId="12" borderId="0" xfId="7" applyFill="1" applyAlignment="1" applyProtection="1">
      <alignment horizontal="center" vertical="center"/>
      <protection hidden="1"/>
    </xf>
    <xf numFmtId="10" fontId="13" fillId="11" borderId="0" xfId="2" applyNumberFormat="1" applyFont="1" applyFill="1" applyBorder="1" applyAlignment="1" applyProtection="1">
      <alignment horizontal="center" vertical="center" wrapText="1"/>
      <protection hidden="1"/>
    </xf>
    <xf numFmtId="0" fontId="17" fillId="20" borderId="10" xfId="0" applyFont="1" applyFill="1" applyBorder="1" applyAlignment="1" applyProtection="1">
      <alignment horizontal="center" vertical="center" wrapText="1"/>
      <protection hidden="1"/>
    </xf>
    <xf numFmtId="0" fontId="4" fillId="9" borderId="0" xfId="3" applyFont="1" applyFill="1" applyBorder="1" applyAlignment="1" applyProtection="1">
      <alignment horizontal="center" vertical="center"/>
      <protection hidden="1"/>
    </xf>
    <xf numFmtId="0" fontId="9" fillId="9" borderId="0" xfId="0" applyFont="1" applyFill="1" applyAlignment="1" applyProtection="1">
      <alignment horizontal="center"/>
      <protection hidden="1"/>
    </xf>
    <xf numFmtId="10" fontId="0" fillId="12" borderId="0" xfId="2" applyNumberFormat="1" applyFont="1" applyFill="1" applyBorder="1" applyAlignment="1" applyProtection="1">
      <alignment horizontal="center" vertical="center"/>
      <protection hidden="1"/>
    </xf>
    <xf numFmtId="10" fontId="0" fillId="12" borderId="21" xfId="2" applyNumberFormat="1" applyFont="1" applyFill="1" applyBorder="1" applyAlignment="1" applyProtection="1">
      <alignment horizontal="center" vertical="center"/>
      <protection hidden="1"/>
    </xf>
    <xf numFmtId="0" fontId="16" fillId="12" borderId="0" xfId="0" applyFont="1" applyFill="1" applyAlignment="1" applyProtection="1">
      <alignment horizontal="right"/>
      <protection hidden="1"/>
    </xf>
    <xf numFmtId="0" fontId="31" fillId="7" borderId="20" xfId="0" applyFont="1" applyFill="1" applyBorder="1" applyAlignment="1" applyProtection="1">
      <alignment horizontal="center" vertical="center" wrapText="1"/>
      <protection locked="0" hidden="1"/>
    </xf>
    <xf numFmtId="0" fontId="31" fillId="21" borderId="20" xfId="0" applyFont="1" applyFill="1" applyBorder="1" applyAlignment="1" applyProtection="1">
      <alignment horizontal="center" vertical="center" wrapText="1"/>
      <protection locked="0" hidden="1"/>
    </xf>
    <xf numFmtId="0" fontId="31" fillId="21" borderId="23" xfId="0" applyFont="1" applyFill="1" applyBorder="1" applyAlignment="1" applyProtection="1">
      <alignment horizontal="center" vertical="center" wrapText="1"/>
      <protection locked="0" hidden="1"/>
    </xf>
    <xf numFmtId="0" fontId="17" fillId="20" borderId="14" xfId="0" applyFont="1" applyFill="1" applyBorder="1" applyAlignment="1" applyProtection="1">
      <alignment horizontal="center" vertical="center" wrapText="1"/>
      <protection hidden="1"/>
    </xf>
    <xf numFmtId="10" fontId="18" fillId="11" borderId="0" xfId="2" applyNumberFormat="1" applyFont="1" applyFill="1" applyBorder="1" applyAlignment="1" applyProtection="1">
      <alignment horizontal="center" vertical="center" wrapText="1"/>
      <protection hidden="1"/>
    </xf>
    <xf numFmtId="10" fontId="18" fillId="11" borderId="21" xfId="2" applyNumberFormat="1" applyFont="1" applyFill="1" applyBorder="1" applyAlignment="1" applyProtection="1">
      <alignment horizontal="center" vertical="center" wrapText="1"/>
      <protection hidden="1"/>
    </xf>
    <xf numFmtId="10" fontId="18" fillId="11" borderId="22" xfId="2" applyNumberFormat="1" applyFont="1" applyFill="1" applyBorder="1" applyAlignment="1" applyProtection="1">
      <alignment horizontal="center" vertical="center" wrapText="1"/>
      <protection hidden="1"/>
    </xf>
    <xf numFmtId="0" fontId="18" fillId="11" borderId="0" xfId="2" applyNumberFormat="1" applyFont="1" applyFill="1" applyBorder="1" applyAlignment="1" applyProtection="1">
      <alignment horizontal="center" vertical="center" wrapText="1"/>
      <protection hidden="1"/>
    </xf>
    <xf numFmtId="14" fontId="25" fillId="12" borderId="0" xfId="0" applyNumberFormat="1" applyFont="1" applyFill="1" applyAlignment="1">
      <alignment horizontal="center"/>
    </xf>
    <xf numFmtId="0" fontId="26" fillId="12" borderId="0" xfId="0" applyFont="1" applyFill="1" applyAlignment="1">
      <alignment horizontal="center"/>
    </xf>
    <xf numFmtId="0" fontId="22" fillId="2" borderId="24" xfId="5" applyFont="1" applyFill="1" applyBorder="1" applyAlignment="1">
      <alignment horizontal="center" vertical="center" wrapText="1"/>
    </xf>
    <xf numFmtId="0" fontId="22" fillId="2" borderId="25" xfId="5" applyFont="1" applyFill="1" applyBorder="1" applyAlignment="1">
      <alignment horizontal="center" vertical="center" wrapText="1"/>
    </xf>
    <xf numFmtId="0" fontId="22" fillId="2" borderId="26" xfId="5" applyFont="1" applyFill="1" applyBorder="1" applyAlignment="1">
      <alignment horizontal="center" vertical="center" wrapText="1"/>
    </xf>
    <xf numFmtId="0" fontId="7" fillId="2" borderId="27" xfId="5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horizontal="center" vertical="center" wrapText="1"/>
    </xf>
    <xf numFmtId="0" fontId="7" fillId="2" borderId="29" xfId="5" applyFont="1" applyFill="1" applyBorder="1" applyAlignment="1">
      <alignment horizontal="center" vertical="center" wrapText="1"/>
    </xf>
    <xf numFmtId="0" fontId="23" fillId="2" borderId="30" xfId="5" applyFont="1" applyFill="1" applyBorder="1" applyAlignment="1">
      <alignment horizontal="center" vertical="center" wrapText="1"/>
    </xf>
    <xf numFmtId="0" fontId="23" fillId="2" borderId="10" xfId="5" applyFont="1" applyFill="1" applyBorder="1" applyAlignment="1">
      <alignment horizontal="center" vertical="center" wrapText="1"/>
    </xf>
    <xf numFmtId="0" fontId="23" fillId="2" borderId="40" xfId="5" applyFont="1" applyFill="1" applyBorder="1" applyAlignment="1">
      <alignment horizontal="center" vertical="center" wrapText="1"/>
    </xf>
    <xf numFmtId="1" fontId="23" fillId="2" borderId="31" xfId="5" applyNumberFormat="1" applyFont="1" applyFill="1" applyBorder="1" applyAlignment="1">
      <alignment horizontal="center" vertical="center" wrapText="1"/>
    </xf>
    <xf numFmtId="1" fontId="23" fillId="2" borderId="12" xfId="5" applyNumberFormat="1" applyFont="1" applyFill="1" applyBorder="1" applyAlignment="1">
      <alignment horizontal="center" vertical="center" wrapText="1"/>
    </xf>
    <xf numFmtId="1" fontId="23" fillId="2" borderId="41" xfId="5" applyNumberFormat="1" applyFont="1" applyFill="1" applyBorder="1" applyAlignment="1">
      <alignment horizontal="center" vertical="center" wrapText="1"/>
    </xf>
    <xf numFmtId="0" fontId="23" fillId="2" borderId="32" xfId="5" applyFont="1" applyFill="1" applyBorder="1" applyAlignment="1">
      <alignment horizontal="center" vertical="center" wrapText="1"/>
    </xf>
    <xf numFmtId="0" fontId="23" fillId="2" borderId="36" xfId="5" applyFont="1" applyFill="1" applyBorder="1" applyAlignment="1">
      <alignment horizontal="center" vertical="center" wrapText="1"/>
    </xf>
    <xf numFmtId="0" fontId="23" fillId="2" borderId="42" xfId="5" applyFont="1" applyFill="1" applyBorder="1" applyAlignment="1">
      <alignment horizontal="center" vertical="center" wrapText="1"/>
    </xf>
    <xf numFmtId="0" fontId="2" fillId="0" borderId="0" xfId="5" applyFont="1" applyAlignment="1">
      <alignment horizontal="center"/>
    </xf>
    <xf numFmtId="0" fontId="23" fillId="2" borderId="24" xfId="5" applyFont="1" applyFill="1" applyBorder="1" applyAlignment="1">
      <alignment horizontal="center" vertical="center" wrapText="1"/>
    </xf>
    <xf numFmtId="0" fontId="23" fillId="2" borderId="26" xfId="5" applyFont="1" applyFill="1" applyBorder="1" applyAlignment="1">
      <alignment horizontal="center" vertical="center" wrapText="1"/>
    </xf>
    <xf numFmtId="0" fontId="23" fillId="2" borderId="37" xfId="5" applyFont="1" applyFill="1" applyBorder="1" applyAlignment="1">
      <alignment horizontal="center" vertical="center" wrapText="1"/>
    </xf>
    <xf numFmtId="0" fontId="23" fillId="2" borderId="38" xfId="5" applyFont="1" applyFill="1" applyBorder="1" applyAlignment="1">
      <alignment horizontal="center" vertical="center" wrapText="1"/>
    </xf>
    <xf numFmtId="0" fontId="23" fillId="2" borderId="39" xfId="5" applyFont="1" applyFill="1" applyBorder="1" applyAlignment="1">
      <alignment horizontal="center" vertical="center" wrapText="1"/>
    </xf>
    <xf numFmtId="0" fontId="23" fillId="2" borderId="25" xfId="5" applyFont="1" applyFill="1" applyBorder="1" applyAlignment="1">
      <alignment horizontal="center" vertical="center" wrapText="1"/>
    </xf>
  </cellXfs>
  <cellStyles count="9">
    <cellStyle name="Lien hypertexte" xfId="7" builtinId="8"/>
    <cellStyle name="Milliers" xfId="8" builtinId="3"/>
    <cellStyle name="Monétaire" xfId="1" builtinId="4"/>
    <cellStyle name="Normal" xfId="0" builtinId="0"/>
    <cellStyle name="Normal 2" xfId="4"/>
    <cellStyle name="Normal 3" xfId="5"/>
    <cellStyle name="Normal 4" xfId="3"/>
    <cellStyle name="Pourcentage" xfId="2" builtinId="5"/>
    <cellStyle name="Pourcentage 2" xfId="6"/>
  </cellStyles>
  <dxfs count="2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  <vertical/>
        <horizontal/>
      </border>
    </dxf>
    <dxf>
      <font>
        <color rgb="FF7C3B06"/>
      </font>
      <fill>
        <patternFill>
          <bgColor theme="9" tint="0.59996337778862885"/>
        </patternFill>
      </fill>
    </dxf>
    <dxf>
      <font>
        <color rgb="FF00421E"/>
      </font>
      <fill>
        <patternFill>
          <bgColor theme="6" tint="0.59996337778862885"/>
        </patternFill>
      </fill>
    </dxf>
    <dxf>
      <font>
        <color rgb="FF7C3B06"/>
      </font>
      <fill>
        <patternFill>
          <bgColor theme="9" tint="0.59996337778862885"/>
        </patternFill>
      </fill>
    </dxf>
    <dxf>
      <font>
        <color rgb="FF00421E"/>
      </font>
      <fill>
        <patternFill>
          <bgColor theme="6" tint="0.59996337778862885"/>
        </patternFill>
      </fill>
    </dxf>
    <dxf>
      <font>
        <color rgb="FFFF0000"/>
      </font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  <vertical/>
        <horizontal/>
      </border>
    </dxf>
    <dxf>
      <font>
        <color rgb="FFFF0000"/>
      </font>
    </dxf>
  </dxfs>
  <tableStyles count="0" defaultTableStyle="TableStyleMedium2" defaultPivotStyle="PivotStyleLight16"/>
  <colors>
    <mruColors>
      <color rgb="FF7C3B06"/>
      <color rgb="FFFFFF99"/>
      <color rgb="FFFFFFCC"/>
      <color rgb="FFFFFF66"/>
      <color rgb="FF00421E"/>
      <color rgb="FFFF9999"/>
      <color rgb="FFFEC0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225.238.194/intr@de/Resultats/Suivi%20DDR/Trimestre%201/Fichier%20Animation%20T1%20DD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DGA"/>
      <sheetName val="Synthèse Agence"/>
      <sheetName val="Fil Rouge 1"/>
      <sheetName val="Fil Rouge 2"/>
      <sheetName val="Fil Rouge 3"/>
      <sheetName val="Fil Rouge 4"/>
      <sheetName val="Fil Rouge 5"/>
    </sheetNames>
    <sheetDataSet>
      <sheetData sheetId="0" refreshError="1">
        <row r="1">
          <cell r="A1">
            <v>0.12720000000000001</v>
          </cell>
          <cell r="C1">
            <v>7</v>
          </cell>
          <cell r="D1">
            <v>14</v>
          </cell>
          <cell r="E1">
            <v>17</v>
          </cell>
          <cell r="F1">
            <v>7</v>
          </cell>
          <cell r="G1">
            <v>14</v>
          </cell>
          <cell r="H1">
            <v>17</v>
          </cell>
          <cell r="I1">
            <v>7</v>
          </cell>
          <cell r="J1">
            <v>14</v>
          </cell>
          <cell r="K1">
            <v>17</v>
          </cell>
          <cell r="L1">
            <v>7</v>
          </cell>
          <cell r="M1">
            <v>14</v>
          </cell>
          <cell r="N1">
            <v>17</v>
          </cell>
          <cell r="O1">
            <v>7</v>
          </cell>
          <cell r="P1">
            <v>14</v>
          </cell>
          <cell r="Q1">
            <v>21</v>
          </cell>
          <cell r="R1">
            <v>24</v>
          </cell>
        </row>
        <row r="4">
          <cell r="C4" t="str">
            <v>Animations DDR Etape 1</v>
          </cell>
        </row>
        <row r="5">
          <cell r="B5" t="str">
            <v>Point de Passage (Q) Episode 3 = 12,72%</v>
          </cell>
          <cell r="C5" t="str">
            <v>Offensif Base Client</v>
          </cell>
          <cell r="F5" t="str">
            <v>Banque Principale</v>
          </cell>
          <cell r="I5" t="str">
            <v>Assureur</v>
          </cell>
          <cell r="L5" t="str">
            <v>Partenaire Conseil</v>
          </cell>
          <cell r="O5" t="str">
            <v>Banque des Pros</v>
          </cell>
          <cell r="X5" t="str">
            <v>Gain
Potentiel
DGA</v>
          </cell>
        </row>
        <row r="6">
          <cell r="A6" t="str">
            <v>Unité</v>
          </cell>
          <cell r="B6" t="str">
            <v>Libellé</v>
          </cell>
          <cell r="C6" t="str">
            <v>Taux
CD+16</v>
          </cell>
          <cell r="D6" t="str">
            <v>Taux
ER-16</v>
          </cell>
          <cell r="E6" t="str">
            <v>Taux
Moyen</v>
          </cell>
          <cell r="F6" t="str">
            <v>Taux
Conso</v>
          </cell>
          <cell r="G6" t="str">
            <v>Taux 
Cartes</v>
          </cell>
          <cell r="H6" t="str">
            <v>Taux
Moyen</v>
          </cell>
          <cell r="I6" t="str">
            <v>Taux
MAS</v>
          </cell>
          <cell r="J6" t="str">
            <v>Taux
Prévoy.</v>
          </cell>
          <cell r="K6" t="str">
            <v>Taux
Moyen</v>
          </cell>
          <cell r="L6" t="str">
            <v>Taux
HB</v>
          </cell>
          <cell r="M6" t="str">
            <v>Taux 
Verst Réc.</v>
          </cell>
          <cell r="N6" t="str">
            <v>Taux
Moyen</v>
          </cell>
          <cell r="O6" t="str">
            <v>Taux
CC Pro</v>
          </cell>
          <cell r="P6" t="str">
            <v>Taux 
Crédit Pro</v>
          </cell>
          <cell r="Q6" t="str">
            <v>Taux 
Ass. Pro</v>
          </cell>
          <cell r="R6" t="str">
            <v>Taux
Moyen</v>
          </cell>
        </row>
        <row r="7">
          <cell r="A7">
            <v>69014</v>
          </cell>
          <cell r="B7" t="str">
            <v>Banque de Proximité</v>
          </cell>
          <cell r="C7">
            <v>0.10428493046616161</v>
          </cell>
          <cell r="D7">
            <v>0.12184902402275305</v>
          </cell>
          <cell r="E7">
            <v>0.11306697724445733</v>
          </cell>
          <cell r="F7">
            <v>0.11320643302909636</v>
          </cell>
          <cell r="G7">
            <v>9.3167885483118093E-2</v>
          </cell>
          <cell r="H7">
            <v>0.10318715925610722</v>
          </cell>
          <cell r="I7">
            <v>0.10280871529670202</v>
          </cell>
          <cell r="J7">
            <v>9.9701601330265829E-2</v>
          </cell>
          <cell r="K7">
            <v>0.10125515831348392</v>
          </cell>
          <cell r="L7">
            <v>0.1619172597726975</v>
          </cell>
          <cell r="M7">
            <v>0.14270861411683161</v>
          </cell>
          <cell r="N7">
            <v>0.15231293694476455</v>
          </cell>
          <cell r="O7">
            <v>0.13083065257352941</v>
          </cell>
          <cell r="P7">
            <v>0.15066889969531266</v>
          </cell>
          <cell r="Q7">
            <v>0.11753160084792337</v>
          </cell>
          <cell r="R7">
            <v>0.13301038437225512</v>
          </cell>
        </row>
        <row r="8">
          <cell r="A8">
            <v>43003</v>
          </cell>
          <cell r="B8" t="str">
            <v>RSO DdR du Sud Ouest</v>
          </cell>
          <cell r="C8">
            <v>0.10101694915254238</v>
          </cell>
          <cell r="D8">
            <v>0.11820013431833445</v>
          </cell>
          <cell r="E8">
            <v>0.10960854173543841</v>
          </cell>
          <cell r="F8">
            <v>0.11053870324189526</v>
          </cell>
          <cell r="G8">
            <v>9.2414449621724529E-2</v>
          </cell>
          <cell r="H8">
            <v>0.10147657643180989</v>
          </cell>
          <cell r="I8">
            <v>0.10259033873660402</v>
          </cell>
          <cell r="J8">
            <v>9.5026744053715723E-2</v>
          </cell>
          <cell r="K8">
            <v>9.8808541395159877E-2</v>
          </cell>
          <cell r="L8">
            <v>0.15974831287573055</v>
          </cell>
          <cell r="M8">
            <v>0.17956284153005464</v>
          </cell>
          <cell r="N8">
            <v>0.16965557720289259</v>
          </cell>
          <cell r="O8">
            <v>0.12583562721195438</v>
          </cell>
          <cell r="P8">
            <v>0.15130830489192265</v>
          </cell>
          <cell r="Q8">
            <v>0.16779431664411368</v>
          </cell>
          <cell r="R8">
            <v>0.14831274958266358</v>
          </cell>
        </row>
        <row r="9">
          <cell r="A9">
            <v>43700</v>
          </cell>
          <cell r="B9" t="str">
            <v>RSO DR Gironde</v>
          </cell>
          <cell r="C9">
            <v>9.014396456256922E-2</v>
          </cell>
          <cell r="D9">
            <v>0.1143166245943022</v>
          </cell>
          <cell r="E9">
            <v>0.10223029457843572</v>
          </cell>
          <cell r="F9">
            <v>0.11739285714285715</v>
          </cell>
          <cell r="G9">
            <v>8.7740469936821178E-2</v>
          </cell>
          <cell r="H9">
            <v>0.10256666353983916</v>
          </cell>
          <cell r="I9">
            <v>8.6378737541528236E-2</v>
          </cell>
          <cell r="J9">
            <v>9.2651757188498399E-2</v>
          </cell>
          <cell r="K9">
            <v>8.9515247365013317E-2</v>
          </cell>
          <cell r="L9">
            <v>0.15413558630537519</v>
          </cell>
          <cell r="M9">
            <v>0.24090296495956873</v>
          </cell>
          <cell r="N9">
            <v>0.19751927563247196</v>
          </cell>
          <cell r="O9">
            <v>0.11665098777046096</v>
          </cell>
          <cell r="P9">
            <v>0.15023721665788087</v>
          </cell>
          <cell r="Q9">
            <v>0.1368421052631579</v>
          </cell>
          <cell r="R9">
            <v>0.13457676989716658</v>
          </cell>
        </row>
        <row r="10">
          <cell r="A10">
            <v>43780</v>
          </cell>
          <cell r="B10" t="str">
            <v>RSO DR Sud Aquitaine</v>
          </cell>
          <cell r="C10">
            <v>9.7178683385579931E-2</v>
          </cell>
          <cell r="D10">
            <v>0.10758552305404065</v>
          </cell>
          <cell r="E10">
            <v>0.10238210321981028</v>
          </cell>
          <cell r="F10">
            <v>0.1116342803030303</v>
          </cell>
          <cell r="G10">
            <v>8.8625326858423614E-2</v>
          </cell>
          <cell r="H10">
            <v>0.10012980358072696</v>
          </cell>
          <cell r="I10">
            <v>0.1177422617843415</v>
          </cell>
          <cell r="J10">
            <v>9.0985678180286439E-2</v>
          </cell>
          <cell r="K10">
            <v>0.10436396998231397</v>
          </cell>
          <cell r="L10">
            <v>0.17612058356268601</v>
          </cell>
          <cell r="M10">
            <v>0.12163072776280323</v>
          </cell>
          <cell r="N10">
            <v>0.14887565566274463</v>
          </cell>
          <cell r="O10">
            <v>0.15545590433482809</v>
          </cell>
          <cell r="P10">
            <v>0.15122873345935728</v>
          </cell>
          <cell r="Q10">
            <v>0.13215859030837004</v>
          </cell>
          <cell r="R10">
            <v>0.14628107603418514</v>
          </cell>
        </row>
        <row r="11">
          <cell r="A11">
            <v>43801</v>
          </cell>
          <cell r="B11" t="str">
            <v>RSO DR Poitou Charentes</v>
          </cell>
          <cell r="C11">
            <v>0.11513944223107569</v>
          </cell>
          <cell r="D11">
            <v>0.12560975609756098</v>
          </cell>
          <cell r="E11">
            <v>0.12037459916431834</v>
          </cell>
          <cell r="F11">
            <v>0.1018201814058957</v>
          </cell>
          <cell r="G11">
            <v>9.7662504002561643E-2</v>
          </cell>
          <cell r="H11">
            <v>9.9741342704228672E-2</v>
          </cell>
          <cell r="I11">
            <v>0.10414866032843562</v>
          </cell>
          <cell r="J11">
            <v>9.4931271477663226E-2</v>
          </cell>
          <cell r="K11">
            <v>9.9539965903049421E-2</v>
          </cell>
          <cell r="L11">
            <v>0.16084513029253023</v>
          </cell>
          <cell r="M11">
            <v>0.16995666827154549</v>
          </cell>
          <cell r="N11">
            <v>0.16540089928203786</v>
          </cell>
          <cell r="O11">
            <v>0.13</v>
          </cell>
          <cell r="P11">
            <v>0.13513513513513514</v>
          </cell>
          <cell r="Q11">
            <v>0.21511627906976744</v>
          </cell>
          <cell r="R11">
            <v>0.16008380473496753</v>
          </cell>
        </row>
        <row r="12">
          <cell r="A12">
            <v>43861</v>
          </cell>
          <cell r="B12" t="str">
            <v>RSO DR Limousin Dordogne</v>
          </cell>
          <cell r="C12">
            <v>9.4630872483221481E-2</v>
          </cell>
          <cell r="D12">
            <v>0.12433011789924973</v>
          </cell>
          <cell r="E12">
            <v>0.10948049519123561</v>
          </cell>
          <cell r="F12">
            <v>0.10626289752650175</v>
          </cell>
          <cell r="G12">
            <v>9.415148609779482E-2</v>
          </cell>
          <cell r="H12">
            <v>0.10020719181214829</v>
          </cell>
          <cell r="I12">
            <v>0.10237923576063446</v>
          </cell>
          <cell r="J12">
            <v>0.1034937376400791</v>
          </cell>
          <cell r="K12">
            <v>0.10293648670035678</v>
          </cell>
          <cell r="L12">
            <v>0.13268005845375891</v>
          </cell>
          <cell r="M12">
            <v>0.20019249278152068</v>
          </cell>
          <cell r="N12">
            <v>0.1664362756176398</v>
          </cell>
          <cell r="O12">
            <v>8.6261980830670923E-2</v>
          </cell>
          <cell r="P12">
            <v>0.18083182640144665</v>
          </cell>
          <cell r="Q12">
            <v>0.17475728155339806</v>
          </cell>
          <cell r="R12">
            <v>0.14728369626183854</v>
          </cell>
        </row>
        <row r="13">
          <cell r="A13">
            <v>43703</v>
          </cell>
          <cell r="B13" t="str">
            <v>DGA BORDEAUX CENTRE</v>
          </cell>
          <cell r="C13">
            <v>0.10212765957446808</v>
          </cell>
          <cell r="D13">
            <v>0.13122171945701358</v>
          </cell>
          <cell r="E13">
            <v>0.11667468951574084</v>
          </cell>
          <cell r="F13">
            <v>0.15611333333333333</v>
          </cell>
          <cell r="G13">
            <v>9.4727939103467718E-2</v>
          </cell>
          <cell r="H13">
            <v>0.12542063621840052</v>
          </cell>
          <cell r="I13">
            <v>7.8659370725034206E-2</v>
          </cell>
          <cell r="J13">
            <v>9.0016366612111293E-2</v>
          </cell>
          <cell r="K13">
            <v>8.4337868668572749E-2</v>
          </cell>
          <cell r="L13">
            <v>0.11056298223577965</v>
          </cell>
          <cell r="M13">
            <v>0.12380952380952381</v>
          </cell>
          <cell r="N13">
            <v>0.11718625302265173</v>
          </cell>
          <cell r="O13">
            <v>0.13813813813813813</v>
          </cell>
          <cell r="P13">
            <v>0.14382402707275804</v>
          </cell>
          <cell r="Q13">
            <v>0.12820512820512819</v>
          </cell>
          <cell r="R13">
            <v>0.1367224311386748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1</v>
          </cell>
          <cell r="X13">
            <v>500</v>
          </cell>
        </row>
        <row r="14">
          <cell r="A14">
            <v>51800</v>
          </cell>
          <cell r="B14" t="str">
            <v>Multisite BORDEAUX</v>
          </cell>
          <cell r="C14">
            <v>9.0308370044052858E-2</v>
          </cell>
          <cell r="D14">
            <v>0.16541353383458646</v>
          </cell>
          <cell r="E14">
            <v>0.12786095193931965</v>
          </cell>
          <cell r="F14">
            <v>0.19638395792241947</v>
          </cell>
          <cell r="G14">
            <v>7.9772079772079771E-2</v>
          </cell>
          <cell r="H14">
            <v>0.13807801884724963</v>
          </cell>
          <cell r="I14">
            <v>7.9159935379644594E-2</v>
          </cell>
          <cell r="J14">
            <v>0.10833333333333334</v>
          </cell>
          <cell r="K14">
            <v>9.3746634356488973E-2</v>
          </cell>
          <cell r="L14">
            <v>0.13145269081955679</v>
          </cell>
          <cell r="M14">
            <v>0.12624584717607973</v>
          </cell>
          <cell r="N14">
            <v>0.12884926899781826</v>
          </cell>
          <cell r="O14">
            <v>0.11682242990654206</v>
          </cell>
          <cell r="P14">
            <v>0.27631578947368424</v>
          </cell>
          <cell r="Q14">
            <v>0.13793103448275862</v>
          </cell>
          <cell r="R14">
            <v>0.17702308462099495</v>
          </cell>
        </row>
        <row r="15">
          <cell r="A15">
            <v>1800</v>
          </cell>
          <cell r="B15" t="str">
            <v>BORDEAUX</v>
          </cell>
          <cell r="C15">
            <v>9.2009685230024216E-2</v>
          </cell>
          <cell r="D15">
            <v>0.16949152542372881</v>
          </cell>
          <cell r="E15">
            <v>0.13075060532687652</v>
          </cell>
          <cell r="F15">
            <v>0.14830584707646177</v>
          </cell>
          <cell r="G15">
            <v>7.9454253611556988E-2</v>
          </cell>
          <cell r="H15">
            <v>0.11388005034400939</v>
          </cell>
          <cell r="I15">
            <v>7.763401109057301E-2</v>
          </cell>
          <cell r="J15">
            <v>0.11574074074074074</v>
          </cell>
          <cell r="K15">
            <v>9.6687375915656876E-2</v>
          </cell>
          <cell r="L15">
            <v>0.13625202246121632</v>
          </cell>
          <cell r="M15">
            <v>0.14285714285714285</v>
          </cell>
          <cell r="N15">
            <v>0.13955458265917958</v>
          </cell>
          <cell r="O15">
            <v>0.11176470588235295</v>
          </cell>
          <cell r="P15">
            <v>0.30337078651685395</v>
          </cell>
          <cell r="Q15">
            <v>0.18181818181818182</v>
          </cell>
          <cell r="R15">
            <v>0.19898455807246287</v>
          </cell>
        </row>
        <row r="16">
          <cell r="A16">
            <v>1866</v>
          </cell>
          <cell r="B16" t="str">
            <v>BORDEAUX - PALAIS</v>
          </cell>
          <cell r="C16">
            <v>7.3170731707317069E-2</v>
          </cell>
          <cell r="D16">
            <v>0.13333333333333333</v>
          </cell>
          <cell r="E16">
            <v>0.10325203252032519</v>
          </cell>
          <cell r="F16">
            <v>0.44</v>
          </cell>
          <cell r="G16">
            <v>8.2278481012658222E-2</v>
          </cell>
          <cell r="H16">
            <v>0.26113924050632908</v>
          </cell>
          <cell r="I16">
            <v>8.9743589743589744E-2</v>
          </cell>
          <cell r="J16">
            <v>4.1666666666666664E-2</v>
          </cell>
          <cell r="K16">
            <v>6.5705128205128208E-2</v>
          </cell>
          <cell r="L16">
            <v>7.3156069364161858E-2</v>
          </cell>
          <cell r="M16">
            <v>0</v>
          </cell>
          <cell r="N16">
            <v>3.6578034682080929E-2</v>
          </cell>
          <cell r="O16">
            <v>0.13636363636363635</v>
          </cell>
          <cell r="P16">
            <v>0.18</v>
          </cell>
          <cell r="Q16">
            <v>0</v>
          </cell>
          <cell r="R16">
            <v>0.10545454545454545</v>
          </cell>
        </row>
        <row r="17">
          <cell r="A17">
            <v>1802</v>
          </cell>
          <cell r="B17" t="str">
            <v>BORDEAUX MARITIME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2.2727272727272728E-2</v>
          </cell>
          <cell r="H17">
            <v>1.1363636363636364E-2</v>
          </cell>
          <cell r="I17">
            <v>5.2631578947368418E-2</v>
          </cell>
          <cell r="J17">
            <v>0</v>
          </cell>
          <cell r="K17">
            <v>2.6315789473684209E-2</v>
          </cell>
          <cell r="L17">
            <v>4.0000000000000002E-4</v>
          </cell>
          <cell r="M17">
            <v>0</v>
          </cell>
          <cell r="N17">
            <v>2.0000000000000001E-4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A18">
            <v>51832</v>
          </cell>
          <cell r="B18" t="str">
            <v>Multisite BORDEAUX CHARTRONS</v>
          </cell>
          <cell r="C18">
            <v>0.11481481481481481</v>
          </cell>
          <cell r="D18">
            <v>0.17391304347826086</v>
          </cell>
          <cell r="E18">
            <v>0.14436392914653784</v>
          </cell>
          <cell r="F18">
            <v>0.12930381435049346</v>
          </cell>
          <cell r="G18">
            <v>9.8522167487684734E-2</v>
          </cell>
          <cell r="H18">
            <v>0.1139129909190891</v>
          </cell>
          <cell r="I18">
            <v>9.5394736842105268E-2</v>
          </cell>
          <cell r="J18">
            <v>9.2307692307692313E-2</v>
          </cell>
          <cell r="K18">
            <v>9.3851214574898784E-2</v>
          </cell>
          <cell r="L18">
            <v>0.13907465825446899</v>
          </cell>
          <cell r="M18">
            <v>0.13013698630136986</v>
          </cell>
          <cell r="N18">
            <v>0.13460582227791942</v>
          </cell>
          <cell r="O18">
            <v>0.16279069767441862</v>
          </cell>
          <cell r="P18">
            <v>0.11363636363636363</v>
          </cell>
          <cell r="Q18">
            <v>7.6923076923076927E-2</v>
          </cell>
          <cell r="R18">
            <v>0.1177833794112864</v>
          </cell>
        </row>
        <row r="19">
          <cell r="A19">
            <v>1830</v>
          </cell>
          <cell r="B19" t="str">
            <v>LE BOUSCAT RAVEZIES</v>
          </cell>
          <cell r="C19">
            <v>0.1875</v>
          </cell>
          <cell r="D19">
            <v>9.0909090909090912E-2</v>
          </cell>
          <cell r="E19">
            <v>0.13920454545454547</v>
          </cell>
          <cell r="F19">
            <v>8.596103896103896E-2</v>
          </cell>
          <cell r="G19">
            <v>9.375E-2</v>
          </cell>
          <cell r="H19">
            <v>8.985551948051948E-2</v>
          </cell>
          <cell r="I19">
            <v>0.10909090909090909</v>
          </cell>
          <cell r="J19">
            <v>0</v>
          </cell>
          <cell r="K19">
            <v>5.4545454545454543E-2</v>
          </cell>
          <cell r="L19">
            <v>0.29189849624060149</v>
          </cell>
          <cell r="M19">
            <v>0.1111111111111111</v>
          </cell>
          <cell r="N19">
            <v>0.2015048036758563</v>
          </cell>
          <cell r="O19">
            <v>0.16666666666666666</v>
          </cell>
          <cell r="P19">
            <v>0.16666666666666666</v>
          </cell>
          <cell r="Q19">
            <v>0</v>
          </cell>
          <cell r="R19">
            <v>0.1111111111111111</v>
          </cell>
        </row>
        <row r="20">
          <cell r="A20">
            <v>1832</v>
          </cell>
          <cell r="B20" t="str">
            <v>BORDEAUX CHARTRONS</v>
          </cell>
          <cell r="C20">
            <v>0.11450381679389313</v>
          </cell>
          <cell r="D20">
            <v>0.19672131147540983</v>
          </cell>
          <cell r="E20">
            <v>0.15561256413465147</v>
          </cell>
          <cell r="F20">
            <v>0.13590717299578059</v>
          </cell>
          <cell r="G20">
            <v>9.0425531914893623E-2</v>
          </cell>
          <cell r="H20">
            <v>0.1131663524553371</v>
          </cell>
          <cell r="I20">
            <v>0.10563380281690141</v>
          </cell>
          <cell r="J20">
            <v>0.13793103448275862</v>
          </cell>
          <cell r="K20">
            <v>0.12178241864983001</v>
          </cell>
          <cell r="L20">
            <v>8.7659010600706716E-2</v>
          </cell>
          <cell r="M20">
            <v>0.15151515151515152</v>
          </cell>
          <cell r="N20">
            <v>0.11958708105792912</v>
          </cell>
          <cell r="O20">
            <v>0.18181818181818182</v>
          </cell>
          <cell r="P20">
            <v>0.16</v>
          </cell>
          <cell r="Q20">
            <v>0</v>
          </cell>
          <cell r="R20">
            <v>0.11393939393939394</v>
          </cell>
        </row>
        <row r="21">
          <cell r="A21">
            <v>1844</v>
          </cell>
          <cell r="B21" t="str">
            <v>BORDEAUX CITE GRAND PARC</v>
          </cell>
          <cell r="C21">
            <v>7.6923076923076927E-2</v>
          </cell>
          <cell r="D21">
            <v>0.20454545454545456</v>
          </cell>
          <cell r="E21">
            <v>0.14073426573426573</v>
          </cell>
          <cell r="F21">
            <v>0.1485595567867036</v>
          </cell>
          <cell r="G21">
            <v>0.11231884057971014</v>
          </cell>
          <cell r="H21">
            <v>0.13043919868320686</v>
          </cell>
          <cell r="I21">
            <v>7.476635514018691E-2</v>
          </cell>
          <cell r="J21">
            <v>8.3333333333333329E-2</v>
          </cell>
          <cell r="K21">
            <v>7.904984423676012E-2</v>
          </cell>
          <cell r="L21">
            <v>0.17390873015873018</v>
          </cell>
          <cell r="M21">
            <v>0.11320754716981132</v>
          </cell>
          <cell r="N21">
            <v>0.14355813866427075</v>
          </cell>
          <cell r="O21">
            <v>0.13333333333333333</v>
          </cell>
          <cell r="P21">
            <v>0</v>
          </cell>
          <cell r="Q21">
            <v>0.25</v>
          </cell>
          <cell r="R21">
            <v>0.12777777777777777</v>
          </cell>
        </row>
        <row r="22">
          <cell r="A22">
            <v>1833</v>
          </cell>
          <cell r="B22" t="str">
            <v>BORDEAUX VICTOR HUGO</v>
          </cell>
          <cell r="C22">
            <v>0.125</v>
          </cell>
          <cell r="D22">
            <v>5.9701492537313432E-2</v>
          </cell>
          <cell r="E22">
            <v>9.2350746268656719E-2</v>
          </cell>
          <cell r="F22">
            <v>0.1525751325869181</v>
          </cell>
          <cell r="G22">
            <v>9.2753623188405798E-2</v>
          </cell>
          <cell r="H22">
            <v>0.12266437788766195</v>
          </cell>
          <cell r="I22">
            <v>8.1081081081081086E-2</v>
          </cell>
          <cell r="J22">
            <v>2.9411764705882353E-2</v>
          </cell>
          <cell r="K22">
            <v>5.5246422893481723E-2</v>
          </cell>
          <cell r="L22">
            <v>3.8267026298044501E-2</v>
          </cell>
          <cell r="M22">
            <v>8.3333333333333329E-2</v>
          </cell>
          <cell r="N22">
            <v>6.0800179815688915E-2</v>
          </cell>
          <cell r="O22">
            <v>0.2</v>
          </cell>
          <cell r="P22">
            <v>4.3478260869565216E-2</v>
          </cell>
          <cell r="Q22">
            <v>0</v>
          </cell>
          <cell r="R22">
            <v>8.115942028985508E-2</v>
          </cell>
        </row>
        <row r="23">
          <cell r="A23">
            <v>1841</v>
          </cell>
          <cell r="B23" t="str">
            <v>LE BOUSCAT BARRIERE DU MEDOC</v>
          </cell>
          <cell r="C23">
            <v>0.10714285714285714</v>
          </cell>
          <cell r="D23">
            <v>0.16129032258064516</v>
          </cell>
          <cell r="E23">
            <v>0.13421658986175114</v>
          </cell>
          <cell r="F23">
            <v>8.584164222873901E-2</v>
          </cell>
          <cell r="G23">
            <v>0.10759493670886076</v>
          </cell>
          <cell r="H23">
            <v>9.6718289468799887E-2</v>
          </cell>
          <cell r="I23">
            <v>3.8167938931297711E-2</v>
          </cell>
          <cell r="J23">
            <v>9.2592592592592587E-2</v>
          </cell>
          <cell r="K23">
            <v>6.5380265761945153E-2</v>
          </cell>
          <cell r="L23">
            <v>7.9368252698920436E-2</v>
          </cell>
          <cell r="M23">
            <v>0.17910447761194029</v>
          </cell>
          <cell r="N23">
            <v>0.12923636515543035</v>
          </cell>
          <cell r="O23">
            <v>7.1428571428571425E-2</v>
          </cell>
          <cell r="P23">
            <v>0.36666666666666664</v>
          </cell>
          <cell r="Q23">
            <v>0.14285714285714285</v>
          </cell>
          <cell r="R23">
            <v>0.19365079365079363</v>
          </cell>
        </row>
        <row r="24">
          <cell r="A24">
            <v>51847</v>
          </cell>
          <cell r="B24" t="str">
            <v>Multisite BORDEAUX VICTOIRE</v>
          </cell>
          <cell r="C24">
            <v>0.10222222222222223</v>
          </cell>
          <cell r="D24">
            <v>4.0983606557377046E-2</v>
          </cell>
          <cell r="E24">
            <v>7.1602914389799641E-2</v>
          </cell>
          <cell r="F24">
            <v>0.15022895385699189</v>
          </cell>
          <cell r="G24">
            <v>0.11702127659574468</v>
          </cell>
          <cell r="H24">
            <v>0.13362511522636827</v>
          </cell>
          <cell r="I24">
            <v>6.9343065693430656E-2</v>
          </cell>
          <cell r="J24">
            <v>8.771929824561403E-2</v>
          </cell>
          <cell r="K24">
            <v>7.8531181969522343E-2</v>
          </cell>
          <cell r="L24">
            <v>6.7073082489146174E-2</v>
          </cell>
          <cell r="M24">
            <v>0.11510791366906475</v>
          </cell>
          <cell r="N24">
            <v>9.1090498079105464E-2</v>
          </cell>
          <cell r="O24">
            <v>0.2857142857142857</v>
          </cell>
          <cell r="P24">
            <v>0.16129032258064516</v>
          </cell>
          <cell r="Q24">
            <v>0</v>
          </cell>
          <cell r="R24">
            <v>0.14900153609831027</v>
          </cell>
        </row>
        <row r="25">
          <cell r="A25">
            <v>1847</v>
          </cell>
          <cell r="B25" t="str">
            <v>BORDEAUX VICTOIRE</v>
          </cell>
          <cell r="C25">
            <v>0.10457516339869281</v>
          </cell>
          <cell r="D25">
            <v>2.3809523809523808E-2</v>
          </cell>
          <cell r="E25">
            <v>6.4192343604108304E-2</v>
          </cell>
          <cell r="F25">
            <v>0.16033057851239671</v>
          </cell>
          <cell r="G25">
            <v>0.10043668122270742</v>
          </cell>
          <cell r="H25">
            <v>0.13038362986755206</v>
          </cell>
          <cell r="I25">
            <v>8.4656084656084651E-2</v>
          </cell>
          <cell r="J25">
            <v>9.45945945945946E-2</v>
          </cell>
          <cell r="K25">
            <v>8.9625339625339626E-2</v>
          </cell>
          <cell r="L25">
            <v>5.7038753159224936E-2</v>
          </cell>
          <cell r="M25">
            <v>0.10309278350515463</v>
          </cell>
          <cell r="N25">
            <v>8.0065768332189785E-2</v>
          </cell>
          <cell r="O25">
            <v>0.31818181818181818</v>
          </cell>
          <cell r="P25">
            <v>0.20833333333333334</v>
          </cell>
          <cell r="Q25">
            <v>0</v>
          </cell>
          <cell r="R25">
            <v>0.1755050505050505</v>
          </cell>
        </row>
        <row r="26">
          <cell r="A26">
            <v>1854</v>
          </cell>
          <cell r="B26" t="str">
            <v>BORDEAUX SAINT-JEAN</v>
          </cell>
          <cell r="C26">
            <v>9.7222222222222224E-2</v>
          </cell>
          <cell r="D26">
            <v>7.8947368421052627E-2</v>
          </cell>
          <cell r="E26">
            <v>8.8084795321637432E-2</v>
          </cell>
          <cell r="F26">
            <v>0.12365728900255755</v>
          </cell>
          <cell r="G26">
            <v>0.155</v>
          </cell>
          <cell r="H26">
            <v>0.13932864450127877</v>
          </cell>
          <cell r="I26">
            <v>3.5294117647058823E-2</v>
          </cell>
          <cell r="J26">
            <v>7.4999999999999997E-2</v>
          </cell>
          <cell r="K26">
            <v>5.514705882352941E-2</v>
          </cell>
          <cell r="L26">
            <v>0.12817948717948718</v>
          </cell>
          <cell r="M26">
            <v>0.14285714285714285</v>
          </cell>
          <cell r="N26">
            <v>0.13551831501831502</v>
          </cell>
          <cell r="O26">
            <v>0.16666666666666666</v>
          </cell>
          <cell r="P26">
            <v>0</v>
          </cell>
          <cell r="Q26">
            <v>0</v>
          </cell>
          <cell r="R26">
            <v>5.5555555555555552E-2</v>
          </cell>
        </row>
        <row r="27">
          <cell r="A27">
            <v>43711</v>
          </cell>
          <cell r="B27" t="str">
            <v>DGA MERIGNAC - MEDOC</v>
          </cell>
          <cell r="C27">
            <v>9.2356687898089165E-2</v>
          </cell>
          <cell r="D27">
            <v>0.11576011157601115</v>
          </cell>
          <cell r="E27">
            <v>0.10405839973705017</v>
          </cell>
          <cell r="F27">
            <v>0.10107182320441989</v>
          </cell>
          <cell r="G27">
            <v>8.8618850029638416E-2</v>
          </cell>
          <cell r="H27">
            <v>9.4845336617029152E-2</v>
          </cell>
          <cell r="I27">
            <v>9.4839609483960946E-2</v>
          </cell>
          <cell r="J27">
            <v>0.1040268456375839</v>
          </cell>
          <cell r="K27">
            <v>9.9433227560772414E-2</v>
          </cell>
          <cell r="L27">
            <v>0.13108034356267334</v>
          </cell>
          <cell r="M27">
            <v>0.10891089108910891</v>
          </cell>
          <cell r="N27">
            <v>0.11999561732589112</v>
          </cell>
          <cell r="O27">
            <v>9.1269841269841265E-2</v>
          </cell>
          <cell r="P27">
            <v>0.17582417582417584</v>
          </cell>
          <cell r="Q27">
            <v>5.5555555555555552E-2</v>
          </cell>
          <cell r="R27">
            <v>0.10754985754985753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A28">
            <v>1837</v>
          </cell>
          <cell r="B28" t="str">
            <v>PAUILLAC</v>
          </cell>
          <cell r="C28">
            <v>0.12643678160919541</v>
          </cell>
          <cell r="D28">
            <v>9.375E-2</v>
          </cell>
          <cell r="E28">
            <v>0.11009339080459771</v>
          </cell>
          <cell r="F28">
            <v>9.1518644067796612E-2</v>
          </cell>
          <cell r="G28">
            <v>9.8901098901098897E-2</v>
          </cell>
          <cell r="H28">
            <v>9.5209871484447761E-2</v>
          </cell>
          <cell r="I28">
            <v>0.13740458015267176</v>
          </cell>
          <cell r="J28">
            <v>0.12</v>
          </cell>
          <cell r="K28">
            <v>0.12870229007633588</v>
          </cell>
          <cell r="L28">
            <v>7.2736077481840203E-2</v>
          </cell>
          <cell r="M28">
            <v>7.8125E-2</v>
          </cell>
          <cell r="N28">
            <v>7.5430538740920094E-2</v>
          </cell>
          <cell r="O28">
            <v>0</v>
          </cell>
          <cell r="P28">
            <v>0.3</v>
          </cell>
          <cell r="Q28">
            <v>0</v>
          </cell>
          <cell r="R28">
            <v>9.9999999999999992E-2</v>
          </cell>
        </row>
        <row r="29">
          <cell r="A29">
            <v>1840</v>
          </cell>
          <cell r="B29" t="str">
            <v>MERIGNAC</v>
          </cell>
          <cell r="C29">
            <v>5.4187192118226604E-2</v>
          </cell>
          <cell r="D29">
            <v>7.9470198675496692E-2</v>
          </cell>
          <cell r="E29">
            <v>6.6828695396861648E-2</v>
          </cell>
          <cell r="F29">
            <v>9.2153246753246765E-2</v>
          </cell>
          <cell r="G29">
            <v>9.0909090909090912E-2</v>
          </cell>
          <cell r="H29">
            <v>9.1531168831168838E-2</v>
          </cell>
          <cell r="I29">
            <v>7.1917808219178078E-2</v>
          </cell>
          <cell r="J29">
            <v>8.6614173228346455E-2</v>
          </cell>
          <cell r="K29">
            <v>7.9265990723762267E-2</v>
          </cell>
          <cell r="L29">
            <v>9.644147682639434E-2</v>
          </cell>
          <cell r="M29">
            <v>7.2368421052631582E-2</v>
          </cell>
          <cell r="N29">
            <v>8.4404948939512961E-2</v>
          </cell>
          <cell r="O29">
            <v>8.6206896551724144E-2</v>
          </cell>
          <cell r="P29">
            <v>0.27397260273972601</v>
          </cell>
          <cell r="Q29">
            <v>0.10526315789473684</v>
          </cell>
          <cell r="R29">
            <v>0.15514755239539565</v>
          </cell>
        </row>
        <row r="30">
          <cell r="A30">
            <v>1843</v>
          </cell>
          <cell r="B30" t="str">
            <v>SAINT MEDARD EN JALLES</v>
          </cell>
          <cell r="C30">
            <v>4.7945205479452052E-2</v>
          </cell>
          <cell r="D30">
            <v>6.8627450980392163E-2</v>
          </cell>
          <cell r="E30">
            <v>5.8286328229922107E-2</v>
          </cell>
          <cell r="F30">
            <v>7.8435582822085889E-2</v>
          </cell>
          <cell r="G30">
            <v>5.7620817843866169E-2</v>
          </cell>
          <cell r="H30">
            <v>6.8028200332976033E-2</v>
          </cell>
          <cell r="I30">
            <v>9.7345132743362831E-2</v>
          </cell>
          <cell r="J30">
            <v>5.434782608695652E-2</v>
          </cell>
          <cell r="K30">
            <v>7.5846479415159679E-2</v>
          </cell>
          <cell r="L30">
            <v>6.0353982300884949E-2</v>
          </cell>
          <cell r="M30">
            <v>7.476635514018691E-2</v>
          </cell>
          <cell r="N30">
            <v>6.7560168720535926E-2</v>
          </cell>
          <cell r="O30">
            <v>6.9767441860465115E-2</v>
          </cell>
          <cell r="P30">
            <v>0.25641025641025639</v>
          </cell>
          <cell r="Q30">
            <v>6.6666666666666666E-2</v>
          </cell>
          <cell r="R30">
            <v>0.13094812164579606</v>
          </cell>
        </row>
        <row r="31">
          <cell r="A31">
            <v>1850</v>
          </cell>
          <cell r="B31" t="str">
            <v>LESPARRE MEDOC</v>
          </cell>
          <cell r="C31">
            <v>0.125</v>
          </cell>
          <cell r="D31">
            <v>0.12048192771084337</v>
          </cell>
          <cell r="E31">
            <v>0.12274096385542169</v>
          </cell>
          <cell r="F31">
            <v>7.2214251554280254E-2</v>
          </cell>
          <cell r="G31">
            <v>8.2706766917293228E-2</v>
          </cell>
          <cell r="H31">
            <v>7.7460509235786734E-2</v>
          </cell>
          <cell r="I31">
            <v>8.3333333333333329E-2</v>
          </cell>
          <cell r="J31">
            <v>3.6585365853658534E-2</v>
          </cell>
          <cell r="K31">
            <v>5.9959349593495928E-2</v>
          </cell>
          <cell r="L31">
            <v>0.14797603195739015</v>
          </cell>
          <cell r="M31">
            <v>5.6818181818181816E-2</v>
          </cell>
          <cell r="N31">
            <v>0.10239710688778599</v>
          </cell>
          <cell r="O31">
            <v>7.407407407407407E-2</v>
          </cell>
          <cell r="P31">
            <v>0.41935483870967744</v>
          </cell>
          <cell r="Q31">
            <v>0</v>
          </cell>
          <cell r="R31">
            <v>0.16447630426125051</v>
          </cell>
        </row>
        <row r="32">
          <cell r="A32">
            <v>51851</v>
          </cell>
          <cell r="B32" t="str">
            <v>Multisite CAUDERAN</v>
          </cell>
          <cell r="C32">
            <v>8.0402010050251257E-2</v>
          </cell>
          <cell r="D32">
            <v>0.1079136690647482</v>
          </cell>
          <cell r="E32">
            <v>9.4157839557499734E-2</v>
          </cell>
          <cell r="F32">
            <v>0.13767615363360045</v>
          </cell>
          <cell r="G32">
            <v>7.5253256150506515E-2</v>
          </cell>
          <cell r="H32">
            <v>0.10646470489205348</v>
          </cell>
          <cell r="I32">
            <v>8.5526315789473686E-2</v>
          </cell>
          <cell r="J32">
            <v>9.9173553719008267E-2</v>
          </cell>
          <cell r="K32">
            <v>9.234993475424097E-2</v>
          </cell>
          <cell r="L32">
            <v>0.16884318269602164</v>
          </cell>
          <cell r="M32">
            <v>9.6551724137931033E-2</v>
          </cell>
          <cell r="N32">
            <v>0.13269745341697634</v>
          </cell>
          <cell r="O32">
            <v>0.1076923076923077</v>
          </cell>
          <cell r="P32">
            <v>0.30508474576271188</v>
          </cell>
          <cell r="Q32">
            <v>5.8823529411764705E-2</v>
          </cell>
          <cell r="R32">
            <v>0.15720019428892809</v>
          </cell>
        </row>
        <row r="33">
          <cell r="A33">
            <v>1851</v>
          </cell>
          <cell r="B33" t="str">
            <v>BORDEAUX CAUDERAN</v>
          </cell>
          <cell r="C33">
            <v>5.2173913043478258E-2</v>
          </cell>
          <cell r="D33">
            <v>9.5890410958904104E-2</v>
          </cell>
          <cell r="E33">
            <v>7.4032162001191185E-2</v>
          </cell>
          <cell r="F33">
            <v>0.16931512981199642</v>
          </cell>
          <cell r="G33">
            <v>8.1534772182254203E-2</v>
          </cell>
          <cell r="H33">
            <v>0.12542495099712531</v>
          </cell>
          <cell r="I33">
            <v>0.11956521739130435</v>
          </cell>
          <cell r="J33">
            <v>0.11267605633802817</v>
          </cell>
          <cell r="K33">
            <v>0.11612063686466625</v>
          </cell>
          <cell r="L33">
            <v>0.14046845383157325</v>
          </cell>
          <cell r="M33">
            <v>5.4945054945054944E-2</v>
          </cell>
          <cell r="N33">
            <v>9.7706754388314096E-2</v>
          </cell>
          <cell r="O33">
            <v>9.3023255813953487E-2</v>
          </cell>
          <cell r="P33">
            <v>0.17073170731707318</v>
          </cell>
          <cell r="Q33">
            <v>0</v>
          </cell>
          <cell r="R33">
            <v>8.7918321043675543E-2</v>
          </cell>
        </row>
        <row r="34">
          <cell r="A34">
            <v>1864</v>
          </cell>
          <cell r="B34" t="str">
            <v>MERIGNAC MONDESIR</v>
          </cell>
          <cell r="C34">
            <v>0.11904761904761904</v>
          </cell>
          <cell r="D34">
            <v>0.12121212121212122</v>
          </cell>
          <cell r="E34">
            <v>0.12012987012987013</v>
          </cell>
          <cell r="F34">
            <v>8.6642599277978335E-2</v>
          </cell>
          <cell r="G34">
            <v>6.569343065693431E-2</v>
          </cell>
          <cell r="H34">
            <v>7.6168014967456316E-2</v>
          </cell>
          <cell r="I34">
            <v>3.3333333333333333E-2</v>
          </cell>
          <cell r="J34">
            <v>0.08</v>
          </cell>
          <cell r="K34">
            <v>5.6666666666666671E-2</v>
          </cell>
          <cell r="L34">
            <v>0.2394074074074074</v>
          </cell>
          <cell r="M34">
            <v>0.16666666666666666</v>
          </cell>
          <cell r="N34">
            <v>0.20303703703703702</v>
          </cell>
          <cell r="O34">
            <v>0.13636363636363635</v>
          </cell>
          <cell r="P34">
            <v>0.44</v>
          </cell>
          <cell r="Q34">
            <v>0.33333333333333331</v>
          </cell>
          <cell r="R34">
            <v>0.30323232323232324</v>
          </cell>
        </row>
        <row r="35">
          <cell r="A35">
            <v>51859</v>
          </cell>
          <cell r="B35" t="str">
            <v>Multisite BRUGES</v>
          </cell>
          <cell r="C35">
            <v>0.14096916299559473</v>
          </cell>
          <cell r="D35">
            <v>0.1853932584269663</v>
          </cell>
          <cell r="E35">
            <v>0.1631812107112805</v>
          </cell>
          <cell r="F35">
            <v>0.11423915900131407</v>
          </cell>
          <cell r="G35">
            <v>0.12092391304347826</v>
          </cell>
          <cell r="H35">
            <v>0.11758153602239615</v>
          </cell>
          <cell r="I35">
            <v>0.10344827586206896</v>
          </cell>
          <cell r="J35">
            <v>0.20161290322580644</v>
          </cell>
          <cell r="K35">
            <v>0.15253058954393769</v>
          </cell>
          <cell r="L35">
            <v>0.21470443953887663</v>
          </cell>
          <cell r="M35">
            <v>0.2251655629139073</v>
          </cell>
          <cell r="N35">
            <v>0.21993500122639198</v>
          </cell>
          <cell r="O35">
            <v>0.15</v>
          </cell>
          <cell r="P35">
            <v>0.30952380952380953</v>
          </cell>
          <cell r="Q35">
            <v>0</v>
          </cell>
          <cell r="R35">
            <v>0.15317460317460319</v>
          </cell>
        </row>
        <row r="36">
          <cell r="A36">
            <v>1859</v>
          </cell>
          <cell r="B36" t="str">
            <v>BRUGES</v>
          </cell>
          <cell r="C36">
            <v>0.21487603305785125</v>
          </cell>
          <cell r="D36">
            <v>0.14606741573033707</v>
          </cell>
          <cell r="E36">
            <v>0.18047172439409415</v>
          </cell>
          <cell r="F36">
            <v>0.11989302088639836</v>
          </cell>
          <cell r="G36">
            <v>0.16042780748663102</v>
          </cell>
          <cell r="H36">
            <v>0.1401604141865147</v>
          </cell>
          <cell r="I36">
            <v>8.0246913580246909E-2</v>
          </cell>
          <cell r="J36">
            <v>0.13846153846153847</v>
          </cell>
          <cell r="K36">
            <v>0.10935422602089269</v>
          </cell>
          <cell r="L36">
            <v>0.35522603978300182</v>
          </cell>
          <cell r="M36">
            <v>0.37662337662337664</v>
          </cell>
          <cell r="N36">
            <v>0.36592470820318923</v>
          </cell>
          <cell r="O36">
            <v>0.25</v>
          </cell>
          <cell r="P36">
            <v>0.35714285714285715</v>
          </cell>
          <cell r="Q36">
            <v>0</v>
          </cell>
          <cell r="R36">
            <v>0.20238095238095241</v>
          </cell>
        </row>
        <row r="37">
          <cell r="A37">
            <v>1860</v>
          </cell>
          <cell r="B37" t="str">
            <v>BLANQUEFORT</v>
          </cell>
          <cell r="C37">
            <v>5.6603773584905662E-2</v>
          </cell>
          <cell r="D37">
            <v>0.2247191011235955</v>
          </cell>
          <cell r="E37">
            <v>0.14066143735425057</v>
          </cell>
          <cell r="F37">
            <v>0.10821389793702497</v>
          </cell>
          <cell r="G37">
            <v>8.0110497237569064E-2</v>
          </cell>
          <cell r="H37">
            <v>9.416219758729702E-2</v>
          </cell>
          <cell r="I37">
            <v>0.12738853503184713</v>
          </cell>
          <cell r="J37">
            <v>0.2711864406779661</v>
          </cell>
          <cell r="K37">
            <v>0.19928748785490663</v>
          </cell>
          <cell r="L37">
            <v>4.8037533512064343E-2</v>
          </cell>
          <cell r="M37">
            <v>6.7567567567567571E-2</v>
          </cell>
          <cell r="N37">
            <v>5.7802550539815957E-2</v>
          </cell>
          <cell r="O37">
            <v>0.05</v>
          </cell>
          <cell r="P37">
            <v>0.21428571428571427</v>
          </cell>
          <cell r="Q37">
            <v>0</v>
          </cell>
          <cell r="R37">
            <v>8.8095238095238101E-2</v>
          </cell>
        </row>
        <row r="38">
          <cell r="A38">
            <v>43717</v>
          </cell>
          <cell r="B38" t="str">
            <v>DGA SUD GIRONDE</v>
          </cell>
          <cell r="C38">
            <v>8.1250000000000003E-2</v>
          </cell>
          <cell r="D38">
            <v>8.2882882882882883E-2</v>
          </cell>
          <cell r="E38">
            <v>8.2066441441441443E-2</v>
          </cell>
          <cell r="F38">
            <v>0.1045992700729927</v>
          </cell>
          <cell r="G38">
            <v>8.557457212713937E-2</v>
          </cell>
          <cell r="H38">
            <v>9.508692110006603E-2</v>
          </cell>
          <cell r="I38">
            <v>8.1896551724137928E-2</v>
          </cell>
          <cell r="J38">
            <v>6.3394683026584867E-2</v>
          </cell>
          <cell r="K38">
            <v>7.2645617375361404E-2</v>
          </cell>
          <cell r="L38">
            <v>0.18704823912400118</v>
          </cell>
          <cell r="M38">
            <v>0.10526315789473684</v>
          </cell>
          <cell r="N38">
            <v>0.14615569850936899</v>
          </cell>
          <cell r="O38">
            <v>0.12258064516129032</v>
          </cell>
          <cell r="P38">
            <v>0.10465116279069768</v>
          </cell>
          <cell r="Q38">
            <v>0.18181818181818182</v>
          </cell>
          <cell r="R38">
            <v>0.13634999659005662</v>
          </cell>
          <cell r="S38">
            <v>0</v>
          </cell>
          <cell r="T38">
            <v>0</v>
          </cell>
          <cell r="U38">
            <v>0</v>
          </cell>
          <cell r="V38">
            <v>1</v>
          </cell>
          <cell r="W38">
            <v>1</v>
          </cell>
          <cell r="X38">
            <v>1000</v>
          </cell>
        </row>
        <row r="39">
          <cell r="A39">
            <v>1842</v>
          </cell>
          <cell r="B39" t="str">
            <v>BORDEAUX BARRIERE DE PESSAC</v>
          </cell>
          <cell r="C39">
            <v>2.4390243902439025E-2</v>
          </cell>
          <cell r="D39">
            <v>6.4516129032258063E-2</v>
          </cell>
          <cell r="E39">
            <v>4.4453186467348541E-2</v>
          </cell>
          <cell r="F39">
            <v>3.3461002785515316E-2</v>
          </cell>
          <cell r="G39">
            <v>5.9523809523809521E-2</v>
          </cell>
          <cell r="H39">
            <v>4.6492406154662422E-2</v>
          </cell>
          <cell r="I39">
            <v>8.4112149532710276E-2</v>
          </cell>
          <cell r="J39">
            <v>2.1276595744680851E-2</v>
          </cell>
          <cell r="K39">
            <v>5.2694372638695565E-2</v>
          </cell>
          <cell r="L39">
            <v>3.9600173837461977E-2</v>
          </cell>
          <cell r="M39">
            <v>3.125E-2</v>
          </cell>
          <cell r="N39">
            <v>3.5425086918730989E-2</v>
          </cell>
          <cell r="O39">
            <v>0.13333333333333333</v>
          </cell>
          <cell r="P39">
            <v>0.2</v>
          </cell>
          <cell r="Q39">
            <v>0</v>
          </cell>
          <cell r="R39">
            <v>0.11111111111111112</v>
          </cell>
        </row>
        <row r="40">
          <cell r="A40">
            <v>51845</v>
          </cell>
          <cell r="B40" t="str">
            <v>Multisite PESSAC</v>
          </cell>
          <cell r="C40">
            <v>8.2397003745318345E-2</v>
          </cell>
          <cell r="D40">
            <v>7.5471698113207544E-2</v>
          </cell>
          <cell r="E40">
            <v>7.8934350929262945E-2</v>
          </cell>
          <cell r="F40">
            <v>0.10897928246589186</v>
          </cell>
          <cell r="G40">
            <v>9.336941813261164E-2</v>
          </cell>
          <cell r="H40">
            <v>0.10117435029925176</v>
          </cell>
          <cell r="I40">
            <v>8.2018927444794956E-2</v>
          </cell>
          <cell r="J40">
            <v>4.1095890410958902E-2</v>
          </cell>
          <cell r="K40">
            <v>6.1557408927876929E-2</v>
          </cell>
          <cell r="L40">
            <v>0.40068505338078292</v>
          </cell>
          <cell r="M40">
            <v>0.1242603550295858</v>
          </cell>
          <cell r="N40">
            <v>0.26247270420518437</v>
          </cell>
          <cell r="O40">
            <v>0.125</v>
          </cell>
          <cell r="P40">
            <v>0.23529411764705882</v>
          </cell>
          <cell r="Q40">
            <v>0</v>
          </cell>
          <cell r="R40">
            <v>0.12009803921568628</v>
          </cell>
        </row>
        <row r="41">
          <cell r="A41">
            <v>1845</v>
          </cell>
          <cell r="B41" t="str">
            <v>PESSAC</v>
          </cell>
          <cell r="C41">
            <v>0.08</v>
          </cell>
          <cell r="D41">
            <v>0.10280373831775701</v>
          </cell>
          <cell r="E41">
            <v>9.1401869158878504E-2</v>
          </cell>
          <cell r="F41">
            <v>9.1312200516033906E-2</v>
          </cell>
          <cell r="G41">
            <v>9.7087378640776698E-2</v>
          </cell>
          <cell r="H41">
            <v>9.4199789578405302E-2</v>
          </cell>
          <cell r="I41">
            <v>8.5427135678391955E-2</v>
          </cell>
          <cell r="J41">
            <v>4.0404040404040407E-2</v>
          </cell>
          <cell r="K41">
            <v>6.2915588041216178E-2</v>
          </cell>
          <cell r="L41">
            <v>0.40530150753768845</v>
          </cell>
          <cell r="M41">
            <v>0.12931034482758622</v>
          </cell>
          <cell r="N41">
            <v>0.26730592618263732</v>
          </cell>
          <cell r="O41">
            <v>0.13333333333333333</v>
          </cell>
          <cell r="P41">
            <v>0.32</v>
          </cell>
          <cell r="Q41">
            <v>0</v>
          </cell>
          <cell r="R41">
            <v>0.15111111111111111</v>
          </cell>
        </row>
        <row r="42">
          <cell r="A42">
            <v>1865</v>
          </cell>
          <cell r="B42" t="str">
            <v>PESSAC ALOUETTE</v>
          </cell>
          <cell r="C42">
            <v>8.6956521739130432E-2</v>
          </cell>
          <cell r="D42">
            <v>1.9230769230769232E-2</v>
          </cell>
          <cell r="E42">
            <v>5.3093645484949832E-2</v>
          </cell>
          <cell r="F42">
            <v>0.14747791164658636</v>
          </cell>
          <cell r="G42">
            <v>8.4821428571428575E-2</v>
          </cell>
          <cell r="H42">
            <v>0.11614967010900747</v>
          </cell>
          <cell r="I42">
            <v>7.6271186440677971E-2</v>
          </cell>
          <cell r="J42">
            <v>4.2553191489361701E-2</v>
          </cell>
          <cell r="K42">
            <v>5.9412188965019833E-2</v>
          </cell>
          <cell r="L42">
            <v>0.38948170731707316</v>
          </cell>
          <cell r="M42">
            <v>0.11320754716981132</v>
          </cell>
          <cell r="N42">
            <v>0.25134462724344225</v>
          </cell>
          <cell r="O42">
            <v>0.1</v>
          </cell>
          <cell r="P42">
            <v>0</v>
          </cell>
          <cell r="Q42">
            <v>0</v>
          </cell>
          <cell r="R42">
            <v>3.3333333333333333E-2</v>
          </cell>
        </row>
        <row r="43">
          <cell r="A43">
            <v>1846</v>
          </cell>
          <cell r="B43" t="str">
            <v>BORDEAUX BARRIER DE TOULOUSE</v>
          </cell>
          <cell r="C43">
            <v>0.15294117647058825</v>
          </cell>
          <cell r="D43">
            <v>0</v>
          </cell>
          <cell r="E43">
            <v>7.6470588235294124E-2</v>
          </cell>
          <cell r="F43">
            <v>0.13745454545454547</v>
          </cell>
          <cell r="G43">
            <v>8.3941605839416053E-2</v>
          </cell>
          <cell r="H43">
            <v>0.11069807564698075</v>
          </cell>
          <cell r="I43">
            <v>7.6271186440677971E-2</v>
          </cell>
          <cell r="J43">
            <v>4.3478260869565216E-2</v>
          </cell>
          <cell r="K43">
            <v>5.9874723655121594E-2</v>
          </cell>
          <cell r="L43">
            <v>7.5127942681678619E-2</v>
          </cell>
          <cell r="M43">
            <v>3.1746031746031744E-2</v>
          </cell>
          <cell r="N43">
            <v>5.3436987213855182E-2</v>
          </cell>
          <cell r="O43">
            <v>0.15789473684210525</v>
          </cell>
          <cell r="P43">
            <v>0.2</v>
          </cell>
          <cell r="Q43">
            <v>0.44</v>
          </cell>
          <cell r="R43">
            <v>0.26596491228070174</v>
          </cell>
        </row>
        <row r="44">
          <cell r="A44">
            <v>51855</v>
          </cell>
          <cell r="B44" t="str">
            <v>Multisite TALENCE</v>
          </cell>
          <cell r="C44">
            <v>8.9385474860335198E-2</v>
          </cell>
          <cell r="D44">
            <v>9.3264248704663211E-2</v>
          </cell>
          <cell r="E44">
            <v>9.1324861782499211E-2</v>
          </cell>
          <cell r="F44">
            <v>0.11540764717782724</v>
          </cell>
          <cell r="G44">
            <v>8.493870402802102E-2</v>
          </cell>
          <cell r="H44">
            <v>0.10017317560292413</v>
          </cell>
          <cell r="I44">
            <v>7.7448747152619596E-2</v>
          </cell>
          <cell r="J44">
            <v>8.5714285714285715E-2</v>
          </cell>
          <cell r="K44">
            <v>8.1581516433452655E-2</v>
          </cell>
          <cell r="L44">
            <v>0.16217650451836185</v>
          </cell>
          <cell r="M44">
            <v>9.2682926829268292E-2</v>
          </cell>
          <cell r="N44">
            <v>0.12742971567381506</v>
          </cell>
          <cell r="O44">
            <v>0.15909090909090909</v>
          </cell>
          <cell r="P44">
            <v>0.1111111111111111</v>
          </cell>
          <cell r="Q44">
            <v>0.21428571428571427</v>
          </cell>
          <cell r="R44">
            <v>0.1614959114959115</v>
          </cell>
        </row>
        <row r="45">
          <cell r="A45">
            <v>1855</v>
          </cell>
          <cell r="B45" t="str">
            <v>TALENCE</v>
          </cell>
          <cell r="C45">
            <v>8.3135391923990498E-2</v>
          </cell>
          <cell r="D45">
            <v>5.5045871559633031E-2</v>
          </cell>
          <cell r="E45">
            <v>6.9090631741811764E-2</v>
          </cell>
          <cell r="F45">
            <v>7.6899328859060395E-2</v>
          </cell>
          <cell r="G45">
            <v>8.2352941176470587E-2</v>
          </cell>
          <cell r="H45">
            <v>7.9626135017765498E-2</v>
          </cell>
          <cell r="I45">
            <v>7.7235772357723581E-2</v>
          </cell>
          <cell r="J45">
            <v>9.90990990990991E-2</v>
          </cell>
          <cell r="K45">
            <v>8.8167435728411347E-2</v>
          </cell>
          <cell r="L45">
            <v>0.20956700091157704</v>
          </cell>
          <cell r="M45">
            <v>6.4220183486238536E-2</v>
          </cell>
          <cell r="N45">
            <v>0.13689359219890779</v>
          </cell>
          <cell r="O45">
            <v>8.8235294117647065E-2</v>
          </cell>
          <cell r="P45">
            <v>8.5714285714285715E-2</v>
          </cell>
          <cell r="Q45">
            <v>8.3333333333333329E-2</v>
          </cell>
          <cell r="R45">
            <v>8.5760971055088689E-2</v>
          </cell>
        </row>
        <row r="46">
          <cell r="A46">
            <v>1857</v>
          </cell>
          <cell r="B46" t="str">
            <v>VILLENAVE D'ORNON</v>
          </cell>
          <cell r="C46">
            <v>0.11206896551724138</v>
          </cell>
          <cell r="D46">
            <v>0.14285714285714285</v>
          </cell>
          <cell r="E46">
            <v>0.12746305418719212</v>
          </cell>
          <cell r="F46">
            <v>0.1738665308201732</v>
          </cell>
          <cell r="G46">
            <v>9.0185676392572939E-2</v>
          </cell>
          <cell r="H46">
            <v>0.13202610360637307</v>
          </cell>
          <cell r="I46">
            <v>7.7720207253886009E-2</v>
          </cell>
          <cell r="J46">
            <v>6.25E-2</v>
          </cell>
          <cell r="K46">
            <v>7.0110103626943004E-2</v>
          </cell>
          <cell r="L46">
            <v>0.12759893581642834</v>
          </cell>
          <cell r="M46">
            <v>0.125</v>
          </cell>
          <cell r="N46">
            <v>0.12629946790821417</v>
          </cell>
          <cell r="O46">
            <v>0.4</v>
          </cell>
          <cell r="P46">
            <v>0.2</v>
          </cell>
          <cell r="Q46">
            <v>0.44</v>
          </cell>
          <cell r="R46">
            <v>0.34666666666666668</v>
          </cell>
        </row>
        <row r="47">
          <cell r="A47">
            <v>1856</v>
          </cell>
          <cell r="B47" t="str">
            <v>GRADIGNAN</v>
          </cell>
          <cell r="C47">
            <v>4.6296296296296294E-2</v>
          </cell>
          <cell r="D47">
            <v>0.14285714285714285</v>
          </cell>
          <cell r="E47">
            <v>9.4576719576719565E-2</v>
          </cell>
          <cell r="F47">
            <v>9.7665995975855124E-2</v>
          </cell>
          <cell r="G47">
            <v>9.6774193548387094E-2</v>
          </cell>
          <cell r="H47">
            <v>9.7220094762121109E-2</v>
          </cell>
          <cell r="I47">
            <v>8.8541666666666671E-2</v>
          </cell>
          <cell r="J47">
            <v>9.3333333333333338E-2</v>
          </cell>
          <cell r="K47">
            <v>9.0937500000000004E-2</v>
          </cell>
          <cell r="L47">
            <v>9.6988457502623304E-2</v>
          </cell>
          <cell r="M47">
            <v>0.20454545454545456</v>
          </cell>
          <cell r="N47">
            <v>0.15076695602403895</v>
          </cell>
          <cell r="O47">
            <v>0</v>
          </cell>
          <cell r="P47">
            <v>0.3</v>
          </cell>
          <cell r="Q47">
            <v>0.2857142857142857</v>
          </cell>
          <cell r="R47">
            <v>0.19523809523809521</v>
          </cell>
        </row>
        <row r="48">
          <cell r="A48">
            <v>43739</v>
          </cell>
          <cell r="B48" t="str">
            <v>DGA BASSIN D'ARCACHON</v>
          </cell>
          <cell r="C48">
            <v>7.0564516129032265E-2</v>
          </cell>
          <cell r="D48">
            <v>0.14769230769230771</v>
          </cell>
          <cell r="E48">
            <v>0.10912841191066999</v>
          </cell>
          <cell r="F48">
            <v>0.12035108695652175</v>
          </cell>
          <cell r="G48">
            <v>7.0000000000000007E-2</v>
          </cell>
          <cell r="H48">
            <v>9.5175543478260877E-2</v>
          </cell>
          <cell r="I48">
            <v>8.6903304773561812E-2</v>
          </cell>
          <cell r="J48">
            <v>0.11239193083573487</v>
          </cell>
          <cell r="K48">
            <v>9.9647617804648342E-2</v>
          </cell>
          <cell r="L48">
            <v>0.20307147584381202</v>
          </cell>
          <cell r="M48">
            <v>0.44</v>
          </cell>
          <cell r="N48">
            <v>0.32153573792190604</v>
          </cell>
          <cell r="O48">
            <v>0.1</v>
          </cell>
          <cell r="P48">
            <v>9.8039215686274508E-2</v>
          </cell>
          <cell r="Q48">
            <v>0.17499999999999999</v>
          </cell>
          <cell r="R48">
            <v>0.12434640522875817</v>
          </cell>
          <cell r="S48">
            <v>0</v>
          </cell>
          <cell r="T48">
            <v>0</v>
          </cell>
          <cell r="U48">
            <v>0</v>
          </cell>
          <cell r="V48">
            <v>1</v>
          </cell>
          <cell r="W48">
            <v>0</v>
          </cell>
          <cell r="X48">
            <v>500</v>
          </cell>
        </row>
        <row r="49">
          <cell r="A49">
            <v>1831</v>
          </cell>
          <cell r="B49" t="str">
            <v>ARCACHON</v>
          </cell>
          <cell r="C49">
            <v>8.1081081081081086E-2</v>
          </cell>
          <cell r="D49">
            <v>0.12676056338028169</v>
          </cell>
          <cell r="E49">
            <v>0.10392082223068139</v>
          </cell>
          <cell r="F49">
            <v>0.1483432916892993</v>
          </cell>
          <cell r="G49">
            <v>8.4302325581395346E-2</v>
          </cell>
          <cell r="H49">
            <v>0.11632280863534733</v>
          </cell>
          <cell r="I49">
            <v>8.2352941176470587E-2</v>
          </cell>
          <cell r="J49">
            <v>0.10126582278481013</v>
          </cell>
          <cell r="K49">
            <v>9.1809381980640356E-2</v>
          </cell>
          <cell r="L49">
            <v>0.41805268935236006</v>
          </cell>
          <cell r="M49">
            <v>0.10714285714285714</v>
          </cell>
          <cell r="N49">
            <v>0.26259777324760858</v>
          </cell>
          <cell r="O49">
            <v>0.10344827586206896</v>
          </cell>
          <cell r="P49">
            <v>0.12121212121212122</v>
          </cell>
          <cell r="Q49">
            <v>0.18181818181818182</v>
          </cell>
          <cell r="R49">
            <v>0.13549285963079066</v>
          </cell>
        </row>
        <row r="50">
          <cell r="A50">
            <v>51848</v>
          </cell>
          <cell r="B50" t="str">
            <v>Multisite LA TESTE DE BUCH</v>
          </cell>
          <cell r="C50">
            <v>8.2125603864734303E-2</v>
          </cell>
          <cell r="D50">
            <v>0.11811023622047244</v>
          </cell>
          <cell r="E50">
            <v>0.10011792004260336</v>
          </cell>
          <cell r="F50">
            <v>0.12781347150259068</v>
          </cell>
          <cell r="G50">
            <v>7.378335949764521E-2</v>
          </cell>
          <cell r="H50">
            <v>0.10079841550011795</v>
          </cell>
          <cell r="I50">
            <v>8.2621082621082614E-2</v>
          </cell>
          <cell r="J50">
            <v>0.11486486486486487</v>
          </cell>
          <cell r="K50">
            <v>9.874297374297375E-2</v>
          </cell>
          <cell r="L50">
            <v>8.7996240012533297E-2</v>
          </cell>
          <cell r="M50">
            <v>0.44</v>
          </cell>
          <cell r="N50">
            <v>0.26399812000626666</v>
          </cell>
          <cell r="O50">
            <v>7.2463768115942032E-2</v>
          </cell>
          <cell r="P50">
            <v>0.2153846153846154</v>
          </cell>
          <cell r="Q50">
            <v>9.0909090909090912E-2</v>
          </cell>
          <cell r="R50">
            <v>0.12625249146988279</v>
          </cell>
        </row>
        <row r="51">
          <cell r="A51">
            <v>1848</v>
          </cell>
          <cell r="B51" t="str">
            <v>LA TESTE DE BUCH</v>
          </cell>
          <cell r="C51">
            <v>5.9701492537313432E-2</v>
          </cell>
          <cell r="D51">
            <v>0.13095238095238096</v>
          </cell>
          <cell r="E51">
            <v>9.5326936744847199E-2</v>
          </cell>
          <cell r="F51">
            <v>0.12437246963562752</v>
          </cell>
          <cell r="G51">
            <v>6.9212410501193311E-2</v>
          </cell>
          <cell r="H51">
            <v>9.6792440068410424E-2</v>
          </cell>
          <cell r="I51">
            <v>8.7155963302752298E-2</v>
          </cell>
          <cell r="J51">
            <v>0.125</v>
          </cell>
          <cell r="K51">
            <v>0.10607798165137615</v>
          </cell>
          <cell r="L51">
            <v>0.10461049658743234</v>
          </cell>
          <cell r="M51">
            <v>0.25490196078431371</v>
          </cell>
          <cell r="N51">
            <v>0.17975622868587302</v>
          </cell>
          <cell r="O51">
            <v>4.1666666666666664E-2</v>
          </cell>
          <cell r="P51">
            <v>0.21276595744680851</v>
          </cell>
          <cell r="Q51">
            <v>6.25E-2</v>
          </cell>
          <cell r="R51">
            <v>0.10564420803782505</v>
          </cell>
        </row>
        <row r="52">
          <cell r="A52">
            <v>1870</v>
          </cell>
          <cell r="B52" t="str">
            <v>GUJAN MESTRAS</v>
          </cell>
          <cell r="C52">
            <v>0.12328767123287671</v>
          </cell>
          <cell r="D52">
            <v>9.3023255813953487E-2</v>
          </cell>
          <cell r="E52">
            <v>0.1081554635234151</v>
          </cell>
          <cell r="F52">
            <v>0.13392805755395684</v>
          </cell>
          <cell r="G52">
            <v>8.2568807339449546E-2</v>
          </cell>
          <cell r="H52">
            <v>0.10824843244670319</v>
          </cell>
          <cell r="I52">
            <v>7.5187969924812026E-2</v>
          </cell>
          <cell r="J52">
            <v>9.6153846153846159E-2</v>
          </cell>
          <cell r="K52">
            <v>8.5670908039329086E-2</v>
          </cell>
          <cell r="L52">
            <v>5.4915651358950324E-2</v>
          </cell>
          <cell r="M52">
            <v>0.44</v>
          </cell>
          <cell r="N52">
            <v>0.24745782567947516</v>
          </cell>
          <cell r="O52">
            <v>0.14285714285714285</v>
          </cell>
          <cell r="P52">
            <v>0.22222222222222221</v>
          </cell>
          <cell r="Q52">
            <v>0.16666666666666666</v>
          </cell>
          <cell r="R52">
            <v>0.17724867724867724</v>
          </cell>
        </row>
        <row r="53">
          <cell r="A53">
            <v>51852</v>
          </cell>
          <cell r="B53" t="str">
            <v>Multisite ANDERNOS LES BAINS</v>
          </cell>
          <cell r="C53">
            <v>4.4776119402985072E-2</v>
          </cell>
          <cell r="D53">
            <v>0.1889763779527559</v>
          </cell>
          <cell r="E53">
            <v>0.11687624867787048</v>
          </cell>
          <cell r="F53">
            <v>9.7390683052300656E-2</v>
          </cell>
          <cell r="G53">
            <v>5.8064516129032261E-2</v>
          </cell>
          <cell r="H53">
            <v>7.7727599590666455E-2</v>
          </cell>
          <cell r="I53">
            <v>8.9456869009584661E-2</v>
          </cell>
          <cell r="J53">
            <v>0.10687022900763359</v>
          </cell>
          <cell r="K53">
            <v>9.816354900860913E-2</v>
          </cell>
          <cell r="L53">
            <v>0.11348653230363534</v>
          </cell>
          <cell r="M53">
            <v>0.22580645161290322</v>
          </cell>
          <cell r="N53">
            <v>0.16964649195826928</v>
          </cell>
          <cell r="O53">
            <v>0.12</v>
          </cell>
          <cell r="P53">
            <v>0.13461538461538461</v>
          </cell>
          <cell r="Q53">
            <v>0.16666666666666666</v>
          </cell>
          <cell r="R53">
            <v>0.14042735042735041</v>
          </cell>
        </row>
        <row r="54">
          <cell r="A54">
            <v>1852</v>
          </cell>
          <cell r="B54" t="str">
            <v>ANDERNOS LES BAINS</v>
          </cell>
          <cell r="C54">
            <v>5.2631578947368418E-2</v>
          </cell>
          <cell r="D54">
            <v>0.23943661971830985</v>
          </cell>
          <cell r="E54">
            <v>0.14603409933283912</v>
          </cell>
          <cell r="F54">
            <v>0.1098796992481203</v>
          </cell>
          <cell r="G54">
            <v>6.0273972602739728E-2</v>
          </cell>
          <cell r="H54">
            <v>8.5076835925430014E-2</v>
          </cell>
          <cell r="I54">
            <v>9.2391304347826081E-2</v>
          </cell>
          <cell r="J54">
            <v>0.16666666666666666</v>
          </cell>
          <cell r="K54">
            <v>0.12952898550724637</v>
          </cell>
          <cell r="L54">
            <v>9.511267988053218E-2</v>
          </cell>
          <cell r="M54">
            <v>0.34883720930232559</v>
          </cell>
          <cell r="N54">
            <v>0.22197494459142889</v>
          </cell>
          <cell r="O54">
            <v>0.10810810810810811</v>
          </cell>
          <cell r="P54">
            <v>0.18421052631578946</v>
          </cell>
          <cell r="Q54">
            <v>0.23076923076923078</v>
          </cell>
          <cell r="R54">
            <v>0.17436262173104278</v>
          </cell>
        </row>
        <row r="55">
          <cell r="A55">
            <v>1873</v>
          </cell>
          <cell r="B55" t="str">
            <v>BIGANOS</v>
          </cell>
          <cell r="C55">
            <v>3.4482758620689655E-2</v>
          </cell>
          <cell r="D55">
            <v>0.125</v>
          </cell>
          <cell r="E55">
            <v>7.9741379310344834E-2</v>
          </cell>
          <cell r="F55">
            <v>8.0824468085106391E-2</v>
          </cell>
          <cell r="G55">
            <v>5.4901960784313725E-2</v>
          </cell>
          <cell r="H55">
            <v>6.7863214434710051E-2</v>
          </cell>
          <cell r="I55">
            <v>8.5271317829457363E-2</v>
          </cell>
          <cell r="J55">
            <v>1.8867924528301886E-2</v>
          </cell>
          <cell r="K55">
            <v>5.2069621178879623E-2</v>
          </cell>
          <cell r="L55">
            <v>0.15511070110701106</v>
          </cell>
          <cell r="M55">
            <v>7.2463768115942032E-2</v>
          </cell>
          <cell r="N55">
            <v>0.11378723461147655</v>
          </cell>
          <cell r="O55">
            <v>0.15384615384615385</v>
          </cell>
          <cell r="P55">
            <v>0</v>
          </cell>
          <cell r="Q55">
            <v>0</v>
          </cell>
          <cell r="R55">
            <v>5.1282051282051287E-2</v>
          </cell>
        </row>
        <row r="56">
          <cell r="A56">
            <v>43741</v>
          </cell>
          <cell r="B56" t="str">
            <v>DGA BORDEAUX RIVE DROITE</v>
          </cell>
          <cell r="C56">
            <v>9.4629156010230184E-2</v>
          </cell>
          <cell r="D56">
            <v>0.10311284046692606</v>
          </cell>
          <cell r="E56">
            <v>9.8870998238578117E-2</v>
          </cell>
          <cell r="F56">
            <v>9.9023188405797102E-2</v>
          </cell>
          <cell r="G56">
            <v>9.0136682674547469E-2</v>
          </cell>
          <cell r="H56">
            <v>9.4579935540172286E-2</v>
          </cell>
          <cell r="I56">
            <v>9.329710144927536E-2</v>
          </cell>
          <cell r="J56">
            <v>9.7402597402597407E-2</v>
          </cell>
          <cell r="K56">
            <v>9.5349849425936384E-2</v>
          </cell>
          <cell r="L56">
            <v>0.14053447050461976</v>
          </cell>
          <cell r="M56">
            <v>8.455882352941177E-2</v>
          </cell>
          <cell r="N56">
            <v>0.11254664701701576</v>
          </cell>
          <cell r="O56">
            <v>0.12021857923497267</v>
          </cell>
          <cell r="P56">
            <v>0.19653179190751446</v>
          </cell>
          <cell r="Q56">
            <v>0.19607843137254902</v>
          </cell>
          <cell r="R56">
            <v>0.17094293417167872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1</v>
          </cell>
          <cell r="X56">
            <v>500</v>
          </cell>
        </row>
        <row r="57">
          <cell r="A57">
            <v>1834</v>
          </cell>
          <cell r="B57" t="str">
            <v>LANGON</v>
          </cell>
          <cell r="C57">
            <v>6.0150375939849621E-2</v>
          </cell>
          <cell r="D57">
            <v>6.741573033707865E-2</v>
          </cell>
          <cell r="E57">
            <v>6.3783053138464135E-2</v>
          </cell>
          <cell r="F57">
            <v>5.447858070099524E-2</v>
          </cell>
          <cell r="G57">
            <v>8.590308370044053E-2</v>
          </cell>
          <cell r="H57">
            <v>7.0190832200717881E-2</v>
          </cell>
          <cell r="I57">
            <v>4.712041884816754E-2</v>
          </cell>
          <cell r="J57">
            <v>5.2631578947368418E-2</v>
          </cell>
          <cell r="K57">
            <v>4.9875998897767976E-2</v>
          </cell>
          <cell r="L57">
            <v>0.1577244181751016</v>
          </cell>
          <cell r="M57">
            <v>8.6021505376344093E-2</v>
          </cell>
          <cell r="N57">
            <v>0.12187296177572285</v>
          </cell>
          <cell r="O57">
            <v>0.17857142857142858</v>
          </cell>
          <cell r="P57">
            <v>0.2</v>
          </cell>
          <cell r="Q57">
            <v>0</v>
          </cell>
          <cell r="R57">
            <v>0.12619047619047619</v>
          </cell>
        </row>
        <row r="58">
          <cell r="A58">
            <v>51835</v>
          </cell>
          <cell r="B58" t="str">
            <v>Multisite LIBOURNE</v>
          </cell>
          <cell r="C58">
            <v>6.4748201438848921E-2</v>
          </cell>
          <cell r="D58">
            <v>0.1</v>
          </cell>
          <cell r="E58">
            <v>8.237410071942447E-2</v>
          </cell>
          <cell r="F58">
            <v>0.12517733306914999</v>
          </cell>
          <cell r="G58">
            <v>6.7287784679089024E-2</v>
          </cell>
          <cell r="H58">
            <v>9.6232558874119509E-2</v>
          </cell>
          <cell r="I58">
            <v>0.13366336633663367</v>
          </cell>
          <cell r="J58">
            <v>0.14792899408284024</v>
          </cell>
          <cell r="K58">
            <v>0.14079618020973694</v>
          </cell>
          <cell r="L58">
            <v>0.12641081871345028</v>
          </cell>
          <cell r="M58">
            <v>5.6122448979591837E-2</v>
          </cell>
          <cell r="N58">
            <v>9.1266633846521061E-2</v>
          </cell>
          <cell r="O58">
            <v>6.5789473684210523E-2</v>
          </cell>
          <cell r="P58">
            <v>0.31914893617021278</v>
          </cell>
          <cell r="Q58">
            <v>0.08</v>
          </cell>
          <cell r="R58">
            <v>0.15497946995147444</v>
          </cell>
        </row>
        <row r="59">
          <cell r="A59">
            <v>1825</v>
          </cell>
          <cell r="B59" t="str">
            <v>SAINT ANDRE DE CUBZAC</v>
          </cell>
          <cell r="C59">
            <v>0.10309278350515463</v>
          </cell>
          <cell r="D59">
            <v>0.12698412698412698</v>
          </cell>
          <cell r="E59">
            <v>0.11503845524464081</v>
          </cell>
          <cell r="F59">
            <v>0.10234055002925688</v>
          </cell>
          <cell r="G59">
            <v>8.0357142857142863E-2</v>
          </cell>
          <cell r="H59">
            <v>9.1348846443199877E-2</v>
          </cell>
          <cell r="I59">
            <v>0.11188811188811189</v>
          </cell>
          <cell r="J59">
            <v>0.1864406779661017</v>
          </cell>
          <cell r="K59">
            <v>0.14916439492710679</v>
          </cell>
          <cell r="L59">
            <v>0.20576642335766421</v>
          </cell>
          <cell r="M59">
            <v>4.1666666666666664E-2</v>
          </cell>
          <cell r="N59">
            <v>0.12371654501216543</v>
          </cell>
          <cell r="O59">
            <v>0.2</v>
          </cell>
          <cell r="P59">
            <v>0.44</v>
          </cell>
          <cell r="Q59">
            <v>0</v>
          </cell>
          <cell r="R59">
            <v>0.21333333333333335</v>
          </cell>
        </row>
        <row r="60">
          <cell r="A60">
            <v>1835</v>
          </cell>
          <cell r="B60" t="str">
            <v>LIBOURNE</v>
          </cell>
          <cell r="C60">
            <v>4.2424242424242427E-2</v>
          </cell>
          <cell r="D60">
            <v>8.4112149532710276E-2</v>
          </cell>
          <cell r="E60">
            <v>6.3268195978476355E-2</v>
          </cell>
          <cell r="F60">
            <v>0.1271560236998025</v>
          </cell>
          <cell r="G60">
            <v>5.4101221640488653E-2</v>
          </cell>
          <cell r="H60">
            <v>9.062862267014557E-2</v>
          </cell>
          <cell r="I60">
            <v>0.14893617021276595</v>
          </cell>
          <cell r="J60">
            <v>0.11764705882352941</v>
          </cell>
          <cell r="K60">
            <v>0.13329161451814769</v>
          </cell>
          <cell r="L60">
            <v>7.8254486133768356E-2</v>
          </cell>
          <cell r="M60">
            <v>6.25E-2</v>
          </cell>
          <cell r="N60">
            <v>7.0377243066884171E-2</v>
          </cell>
          <cell r="O60">
            <v>4.6511627906976744E-2</v>
          </cell>
          <cell r="P60">
            <v>0.18604651162790697</v>
          </cell>
          <cell r="Q60">
            <v>0.16666666666666666</v>
          </cell>
          <cell r="R60">
            <v>0.13307493540051679</v>
          </cell>
        </row>
        <row r="61">
          <cell r="A61">
            <v>1878</v>
          </cell>
          <cell r="B61" t="str">
            <v>SAINT EMILION</v>
          </cell>
          <cell r="C61">
            <v>6.25E-2</v>
          </cell>
          <cell r="D61">
            <v>0.1</v>
          </cell>
          <cell r="E61">
            <v>8.1250000000000003E-2</v>
          </cell>
          <cell r="F61">
            <v>0.23523333333333332</v>
          </cell>
          <cell r="G61">
            <v>0.12280701754385964</v>
          </cell>
          <cell r="H61">
            <v>0.1790201754385965</v>
          </cell>
          <cell r="I61">
            <v>0.11538461538461539</v>
          </cell>
          <cell r="J61">
            <v>0.25</v>
          </cell>
          <cell r="K61">
            <v>0.18269230769230771</v>
          </cell>
          <cell r="L61">
            <v>0.15957446808510639</v>
          </cell>
          <cell r="M61">
            <v>8.3333333333333329E-2</v>
          </cell>
          <cell r="N61">
            <v>0.12145390070921985</v>
          </cell>
          <cell r="O61">
            <v>4.3478260869565216E-2</v>
          </cell>
          <cell r="P61">
            <v>0.30952380952380953</v>
          </cell>
          <cell r="Q61">
            <v>0</v>
          </cell>
          <cell r="R61">
            <v>0.11766735679779157</v>
          </cell>
        </row>
        <row r="62">
          <cell r="A62">
            <v>1836</v>
          </cell>
          <cell r="B62" t="str">
            <v>BORDEAUX LA BASTIDE</v>
          </cell>
          <cell r="C62">
            <v>9.9290780141843976E-2</v>
          </cell>
          <cell r="D62">
            <v>0.17391304347826086</v>
          </cell>
          <cell r="E62">
            <v>0.13660191181005243</v>
          </cell>
          <cell r="F62">
            <v>0.11630237580993522</v>
          </cell>
          <cell r="G62">
            <v>0.10062893081761007</v>
          </cell>
          <cell r="H62">
            <v>0.10846565331377264</v>
          </cell>
          <cell r="I62">
            <v>8.5858585858585856E-2</v>
          </cell>
          <cell r="J62">
            <v>0.1125</v>
          </cell>
          <cell r="K62">
            <v>9.9179292929292923E-2</v>
          </cell>
          <cell r="L62">
            <v>0.1694769342535416</v>
          </cell>
          <cell r="M62">
            <v>0.11235955056179775</v>
          </cell>
          <cell r="N62">
            <v>0.14091824240766967</v>
          </cell>
          <cell r="O62">
            <v>0.13636363636363635</v>
          </cell>
          <cell r="P62">
            <v>0.44</v>
          </cell>
          <cell r="Q62">
            <v>0.4</v>
          </cell>
          <cell r="R62">
            <v>0.3254545454545455</v>
          </cell>
        </row>
        <row r="63">
          <cell r="A63">
            <v>51853</v>
          </cell>
          <cell r="B63" t="str">
            <v>Multisite CENON</v>
          </cell>
          <cell r="C63">
            <v>0.14782608695652175</v>
          </cell>
          <cell r="D63">
            <v>8.4415584415584416E-2</v>
          </cell>
          <cell r="E63">
            <v>0.11612083568605308</v>
          </cell>
          <cell r="F63">
            <v>8.2289798885388912E-2</v>
          </cell>
          <cell r="G63">
            <v>0.11358024691358025</v>
          </cell>
          <cell r="H63">
            <v>9.7935022899484581E-2</v>
          </cell>
          <cell r="I63">
            <v>6.8862275449101798E-2</v>
          </cell>
          <cell r="J63">
            <v>5.1094890510948905E-2</v>
          </cell>
          <cell r="K63">
            <v>5.9978582980025355E-2</v>
          </cell>
          <cell r="L63">
            <v>0.12742219215155615</v>
          </cell>
          <cell r="M63">
            <v>0.10240963855421686</v>
          </cell>
          <cell r="N63">
            <v>0.11491591535288651</v>
          </cell>
          <cell r="O63">
            <v>0.17142857142857143</v>
          </cell>
          <cell r="P63">
            <v>0.27777777777777779</v>
          </cell>
          <cell r="Q63">
            <v>0.4</v>
          </cell>
          <cell r="R63">
            <v>0.28306878306878308</v>
          </cell>
        </row>
        <row r="64">
          <cell r="A64">
            <v>1824</v>
          </cell>
          <cell r="B64" t="str">
            <v>AMBARES ET LAGRAVE</v>
          </cell>
          <cell r="C64">
            <v>0.24074074074074073</v>
          </cell>
          <cell r="D64">
            <v>0.13157894736842105</v>
          </cell>
          <cell r="E64">
            <v>0.18615984405458089</v>
          </cell>
          <cell r="F64">
            <v>4.8455804046858363E-2</v>
          </cell>
          <cell r="G64">
            <v>0.13197969543147209</v>
          </cell>
          <cell r="H64">
            <v>9.0217749739165229E-2</v>
          </cell>
          <cell r="I64">
            <v>6.4102564102564097E-2</v>
          </cell>
          <cell r="J64">
            <v>9.0909090909090912E-2</v>
          </cell>
          <cell r="K64">
            <v>7.7505827505827504E-2</v>
          </cell>
          <cell r="L64">
            <v>4.9641657334826429E-2</v>
          </cell>
          <cell r="M64">
            <v>2.7027027027027029E-2</v>
          </cell>
          <cell r="N64">
            <v>3.8334342180926725E-2</v>
          </cell>
          <cell r="O64">
            <v>0.3</v>
          </cell>
          <cell r="P64">
            <v>0.25</v>
          </cell>
          <cell r="Q64">
            <v>0</v>
          </cell>
          <cell r="R64">
            <v>0.18333333333333335</v>
          </cell>
        </row>
        <row r="65">
          <cell r="A65">
            <v>1853</v>
          </cell>
          <cell r="B65" t="str">
            <v>CENON</v>
          </cell>
          <cell r="C65">
            <v>0.11931818181818182</v>
          </cell>
          <cell r="D65">
            <v>6.8965517241379309E-2</v>
          </cell>
          <cell r="E65">
            <v>9.4141849529780566E-2</v>
          </cell>
          <cell r="F65">
            <v>9.225533249686324E-2</v>
          </cell>
          <cell r="G65">
            <v>0.10766721044045677</v>
          </cell>
          <cell r="H65">
            <v>9.9961271468660004E-2</v>
          </cell>
          <cell r="I65">
            <v>7.03125E-2</v>
          </cell>
          <cell r="J65">
            <v>3.8461538461538464E-2</v>
          </cell>
          <cell r="K65">
            <v>5.4387019230769232E-2</v>
          </cell>
          <cell r="L65">
            <v>0.14703756001129625</v>
          </cell>
          <cell r="M65">
            <v>0.12403100775193798</v>
          </cell>
          <cell r="N65">
            <v>0.13553428388161712</v>
          </cell>
          <cell r="O65">
            <v>0.12</v>
          </cell>
          <cell r="P65">
            <v>0.2857142857142857</v>
          </cell>
          <cell r="Q65">
            <v>0.44</v>
          </cell>
          <cell r="R65">
            <v>0.28190476190476188</v>
          </cell>
        </row>
        <row r="66">
          <cell r="A66">
            <v>43733</v>
          </cell>
          <cell r="B66" t="str">
            <v>DGA LOT ET GARONNE</v>
          </cell>
          <cell r="C66">
            <v>0.11990950226244344</v>
          </cell>
          <cell r="D66">
            <v>0.12132352941176471</v>
          </cell>
          <cell r="E66">
            <v>0.12061651583710407</v>
          </cell>
          <cell r="F66">
            <v>8.9985294117647066E-2</v>
          </cell>
          <cell r="G66">
            <v>8.9613034623217916E-2</v>
          </cell>
          <cell r="H66">
            <v>8.9799164370432491E-2</v>
          </cell>
          <cell r="I66">
            <v>0.10099573257467995</v>
          </cell>
          <cell r="J66">
            <v>0.11728395061728394</v>
          </cell>
          <cell r="K66">
            <v>0.10913984159598195</v>
          </cell>
          <cell r="L66">
            <v>0.11825877869521821</v>
          </cell>
          <cell r="M66">
            <v>0.16097560975609757</v>
          </cell>
          <cell r="N66">
            <v>0.13961719422565788</v>
          </cell>
          <cell r="O66">
            <v>8.7499999999999994E-2</v>
          </cell>
          <cell r="P66">
            <v>0.16788321167883211</v>
          </cell>
          <cell r="Q66">
            <v>0.25925925925925924</v>
          </cell>
          <cell r="R66">
            <v>0.17154749031269712</v>
          </cell>
          <cell r="S66">
            <v>0</v>
          </cell>
          <cell r="T66">
            <v>0</v>
          </cell>
          <cell r="U66">
            <v>0</v>
          </cell>
          <cell r="V66">
            <v>1</v>
          </cell>
          <cell r="W66">
            <v>1</v>
          </cell>
          <cell r="X66">
            <v>1000</v>
          </cell>
        </row>
        <row r="67">
          <cell r="A67">
            <v>51200</v>
          </cell>
          <cell r="B67" t="str">
            <v>Multisite AGEN</v>
          </cell>
          <cell r="C67">
            <v>0.10833333333333334</v>
          </cell>
          <cell r="D67">
            <v>9.6153846153846159E-2</v>
          </cell>
          <cell r="E67">
            <v>0.10224358974358974</v>
          </cell>
          <cell r="F67">
            <v>9.6045924804441074E-2</v>
          </cell>
          <cell r="G67">
            <v>9.8236775818639793E-2</v>
          </cell>
          <cell r="H67">
            <v>9.7141350311540434E-2</v>
          </cell>
          <cell r="I67">
            <v>0.12401055408970976</v>
          </cell>
          <cell r="J67">
            <v>9.8901098901098897E-2</v>
          </cell>
          <cell r="K67">
            <v>0.11145582649540434</v>
          </cell>
          <cell r="L67">
            <v>0.13686356340288927</v>
          </cell>
          <cell r="M67">
            <v>0.19730941704035873</v>
          </cell>
          <cell r="N67">
            <v>0.167086490221624</v>
          </cell>
          <cell r="O67">
            <v>6.9767441860465115E-2</v>
          </cell>
          <cell r="P67">
            <v>0.27272727272727271</v>
          </cell>
          <cell r="Q67">
            <v>0.26666666666666666</v>
          </cell>
          <cell r="R67">
            <v>0.20305379375146818</v>
          </cell>
        </row>
        <row r="68">
          <cell r="A68">
            <v>1200</v>
          </cell>
          <cell r="B68" t="str">
            <v>AGEN</v>
          </cell>
          <cell r="C68">
            <v>0.11650485436893204</v>
          </cell>
          <cell r="D68">
            <v>0.10294117647058823</v>
          </cell>
          <cell r="E68">
            <v>0.10972301541976014</v>
          </cell>
          <cell r="F68">
            <v>6.815205327413984E-2</v>
          </cell>
          <cell r="G68">
            <v>9.686609686609686E-2</v>
          </cell>
          <cell r="H68">
            <v>8.2509075070118343E-2</v>
          </cell>
          <cell r="I68">
            <v>8.1081081081081086E-2</v>
          </cell>
          <cell r="J68">
            <v>8.8235294117647065E-2</v>
          </cell>
          <cell r="K68">
            <v>8.4658187599364082E-2</v>
          </cell>
          <cell r="L68">
            <v>0.1759851551956815</v>
          </cell>
          <cell r="M68">
            <v>0.19791666666666666</v>
          </cell>
          <cell r="N68">
            <v>0.18695091093117408</v>
          </cell>
          <cell r="O68">
            <v>0</v>
          </cell>
          <cell r="P68">
            <v>0.22222222222222221</v>
          </cell>
          <cell r="Q68">
            <v>0.33333333333333331</v>
          </cell>
          <cell r="R68">
            <v>0.1851851851851852</v>
          </cell>
        </row>
        <row r="69">
          <cell r="A69">
            <v>1236</v>
          </cell>
          <cell r="B69" t="str">
            <v>AGEN QUARTIER DE LA PORTE DU PIN</v>
          </cell>
          <cell r="C69">
            <v>9.8360655737704916E-2</v>
          </cell>
          <cell r="D69">
            <v>5.4054054054054057E-2</v>
          </cell>
          <cell r="E69">
            <v>7.6207354895879487E-2</v>
          </cell>
          <cell r="F69">
            <v>0.14773019271948606</v>
          </cell>
          <cell r="G69">
            <v>8.9473684210526316E-2</v>
          </cell>
          <cell r="H69">
            <v>0.11860193846500619</v>
          </cell>
          <cell r="I69">
            <v>0.1134020618556701</v>
          </cell>
          <cell r="J69">
            <v>6.5217391304347824E-2</v>
          </cell>
          <cell r="K69">
            <v>8.9309726580008963E-2</v>
          </cell>
          <cell r="L69">
            <v>0.13497838616714697</v>
          </cell>
          <cell r="M69">
            <v>0.12962962962962962</v>
          </cell>
          <cell r="N69">
            <v>0.13230400789838831</v>
          </cell>
          <cell r="O69">
            <v>0</v>
          </cell>
          <cell r="P69">
            <v>0.3</v>
          </cell>
          <cell r="Q69">
            <v>0</v>
          </cell>
          <cell r="R69">
            <v>9.9999999999999992E-2</v>
          </cell>
        </row>
        <row r="70">
          <cell r="A70">
            <v>1237</v>
          </cell>
          <cell r="B70" t="str">
            <v>NERAC</v>
          </cell>
          <cell r="C70">
            <v>0.10256410256410256</v>
          </cell>
          <cell r="D70">
            <v>4.1666666666666664E-2</v>
          </cell>
          <cell r="E70">
            <v>7.2115384615384609E-2</v>
          </cell>
          <cell r="F70">
            <v>8.2118491921005385E-2</v>
          </cell>
          <cell r="G70">
            <v>0.14285714285714285</v>
          </cell>
          <cell r="H70">
            <v>0.11248781738907412</v>
          </cell>
          <cell r="I70">
            <v>0.20634920634920634</v>
          </cell>
          <cell r="J70">
            <v>0.18181818181818182</v>
          </cell>
          <cell r="K70">
            <v>0.19408369408369408</v>
          </cell>
          <cell r="L70">
            <v>5.0172588832487312E-2</v>
          </cell>
          <cell r="M70">
            <v>0.11428571428571428</v>
          </cell>
          <cell r="N70">
            <v>8.2229151559100794E-2</v>
          </cell>
          <cell r="O70">
            <v>0.2857142857142857</v>
          </cell>
          <cell r="P70">
            <v>0.44</v>
          </cell>
          <cell r="Q70">
            <v>0.44</v>
          </cell>
          <cell r="R70">
            <v>0.38857142857142857</v>
          </cell>
        </row>
        <row r="71">
          <cell r="A71">
            <v>1240</v>
          </cell>
          <cell r="B71" t="str">
            <v>LE PASSAGE D'AGEN</v>
          </cell>
          <cell r="C71">
            <v>0.10810810810810811</v>
          </cell>
          <cell r="D71">
            <v>0.18518518518518517</v>
          </cell>
          <cell r="E71">
            <v>0.14664664664664664</v>
          </cell>
          <cell r="F71">
            <v>0.11059701492537313</v>
          </cell>
          <cell r="G71">
            <v>7.4626865671641784E-2</v>
          </cell>
          <cell r="H71">
            <v>9.2611940298507459E-2</v>
          </cell>
          <cell r="I71">
            <v>0.15492957746478872</v>
          </cell>
          <cell r="J71">
            <v>8.5714285714285715E-2</v>
          </cell>
          <cell r="K71">
            <v>0.12032193158953722</v>
          </cell>
          <cell r="L71">
            <v>0.10556550951847704</v>
          </cell>
          <cell r="M71">
            <v>0.36842105263157893</v>
          </cell>
          <cell r="N71">
            <v>0.23699328107502798</v>
          </cell>
          <cell r="O71">
            <v>0.14285714285714285</v>
          </cell>
          <cell r="P71">
            <v>0.22222222222222221</v>
          </cell>
          <cell r="Q71">
            <v>0.33333333333333331</v>
          </cell>
          <cell r="R71">
            <v>0.23280423280423279</v>
          </cell>
        </row>
        <row r="72">
          <cell r="A72">
            <v>51232</v>
          </cell>
          <cell r="B72" t="str">
            <v>Multisite MARMANDE</v>
          </cell>
          <cell r="C72">
            <v>0.15517241379310345</v>
          </cell>
          <cell r="D72">
            <v>0.17105263157894737</v>
          </cell>
          <cell r="E72">
            <v>0.16311252268602541</v>
          </cell>
          <cell r="F72">
            <v>9.1512519161982622E-2</v>
          </cell>
          <cell r="G72">
            <v>8.3544303797468356E-2</v>
          </cell>
          <cell r="H72">
            <v>8.7528411479725482E-2</v>
          </cell>
          <cell r="I72">
            <v>0.10837438423645321</v>
          </cell>
          <cell r="J72">
            <v>0.16483516483516483</v>
          </cell>
          <cell r="K72">
            <v>0.13660477453580902</v>
          </cell>
          <cell r="L72">
            <v>0.1215479298769116</v>
          </cell>
          <cell r="M72">
            <v>0.13392857142857142</v>
          </cell>
          <cell r="N72">
            <v>0.12773825065274153</v>
          </cell>
          <cell r="O72">
            <v>0.125</v>
          </cell>
          <cell r="P72">
            <v>0.17857142857142858</v>
          </cell>
          <cell r="Q72">
            <v>0.375</v>
          </cell>
          <cell r="R72">
            <v>0.22619047619047619</v>
          </cell>
        </row>
        <row r="73">
          <cell r="A73">
            <v>1232</v>
          </cell>
          <cell r="B73" t="str">
            <v>MARMANDE</v>
          </cell>
          <cell r="C73">
            <v>0.15294117647058825</v>
          </cell>
          <cell r="D73">
            <v>0.18518518518518517</v>
          </cell>
          <cell r="E73">
            <v>0.16906318082788671</v>
          </cell>
          <cell r="F73">
            <v>7.7452093683463452E-2</v>
          </cell>
          <cell r="G73">
            <v>7.8014184397163122E-2</v>
          </cell>
          <cell r="H73">
            <v>7.7733139040313287E-2</v>
          </cell>
          <cell r="I73">
            <v>0.11267605633802817</v>
          </cell>
          <cell r="J73">
            <v>0.16129032258064516</v>
          </cell>
          <cell r="K73">
            <v>0.13698318945933666</v>
          </cell>
          <cell r="L73">
            <v>0.10591614906832297</v>
          </cell>
          <cell r="M73">
            <v>0.15</v>
          </cell>
          <cell r="N73">
            <v>0.12795807453416147</v>
          </cell>
          <cell r="O73">
            <v>0.15</v>
          </cell>
          <cell r="P73">
            <v>0.20833333333333334</v>
          </cell>
          <cell r="Q73">
            <v>0.33333333333333331</v>
          </cell>
          <cell r="R73">
            <v>0.23055555555555554</v>
          </cell>
        </row>
        <row r="74">
          <cell r="A74">
            <v>1239</v>
          </cell>
          <cell r="B74" t="str">
            <v>TONNEINS</v>
          </cell>
          <cell r="C74">
            <v>0.16129032258064516</v>
          </cell>
          <cell r="D74">
            <v>0.13636363636363635</v>
          </cell>
          <cell r="E74">
            <v>0.14882697947214074</v>
          </cell>
          <cell r="F74">
            <v>0.12766423357664233</v>
          </cell>
          <cell r="G74">
            <v>9.7345132743362831E-2</v>
          </cell>
          <cell r="H74">
            <v>0.11250468316000259</v>
          </cell>
          <cell r="I74">
            <v>9.8360655737704916E-2</v>
          </cell>
          <cell r="J74">
            <v>0.17241379310344829</v>
          </cell>
          <cell r="K74">
            <v>0.1353872244205766</v>
          </cell>
          <cell r="L74">
            <v>0.16188251001335113</v>
          </cell>
          <cell r="M74">
            <v>9.375E-2</v>
          </cell>
          <cell r="N74">
            <v>0.12781625500667557</v>
          </cell>
          <cell r="O74">
            <v>0</v>
          </cell>
          <cell r="P74">
            <v>0</v>
          </cell>
          <cell r="Q74">
            <v>0.44</v>
          </cell>
          <cell r="R74">
            <v>0.14666666666666667</v>
          </cell>
        </row>
        <row r="75">
          <cell r="A75">
            <v>1235</v>
          </cell>
          <cell r="B75" t="str">
            <v>VILLENEUVE SUR LOT</v>
          </cell>
          <cell r="C75">
            <v>0.10465116279069768</v>
          </cell>
          <cell r="D75">
            <v>0.125</v>
          </cell>
          <cell r="E75">
            <v>0.11482558139534885</v>
          </cell>
          <cell r="F75">
            <v>7.2673076923076924E-2</v>
          </cell>
          <cell r="G75">
            <v>7.3943661971830985E-2</v>
          </cell>
          <cell r="H75">
            <v>7.3308369447453947E-2</v>
          </cell>
          <cell r="I75">
            <v>1.4814814814814815E-2</v>
          </cell>
          <cell r="J75">
            <v>9.8039215686274508E-2</v>
          </cell>
          <cell r="K75">
            <v>5.6427015250544665E-2</v>
          </cell>
          <cell r="L75">
            <v>6.0670879922216828E-2</v>
          </cell>
          <cell r="M75">
            <v>9.3333333333333338E-2</v>
          </cell>
          <cell r="N75">
            <v>7.7002106627775083E-2</v>
          </cell>
          <cell r="O75">
            <v>7.6923076923076927E-2</v>
          </cell>
          <cell r="P75">
            <v>0.17647058823529413</v>
          </cell>
          <cell r="Q75">
            <v>0</v>
          </cell>
          <cell r="R75">
            <v>8.4464555052790338E-2</v>
          </cell>
        </row>
        <row r="76">
          <cell r="A76">
            <v>43763</v>
          </cell>
          <cell r="B76" t="str">
            <v>DGA LANDES NORD</v>
          </cell>
          <cell r="C76">
            <v>9.8850574712643677E-2</v>
          </cell>
          <cell r="D76">
            <v>0.10033444816053512</v>
          </cell>
          <cell r="E76">
            <v>9.9592511436589398E-2</v>
          </cell>
          <cell r="F76">
            <v>0.10298463227222833</v>
          </cell>
          <cell r="G76">
            <v>9.7677188802858847E-2</v>
          </cell>
          <cell r="H76">
            <v>0.10033091053754359</v>
          </cell>
          <cell r="I76">
            <v>0.11955168119551682</v>
          </cell>
          <cell r="J76">
            <v>6.2827225130890049E-2</v>
          </cell>
          <cell r="K76">
            <v>9.1189453163203427E-2</v>
          </cell>
          <cell r="L76">
            <v>0.1536706114398422</v>
          </cell>
          <cell r="M76">
            <v>0.11087866108786611</v>
          </cell>
          <cell r="N76">
            <v>0.13227463626385416</v>
          </cell>
          <cell r="O76">
            <v>0.19101123595505617</v>
          </cell>
          <cell r="P76">
            <v>0.13095238095238096</v>
          </cell>
          <cell r="Q76">
            <v>0.18181818181818182</v>
          </cell>
          <cell r="R76">
            <v>0.16792726624187301</v>
          </cell>
          <cell r="S76">
            <v>0</v>
          </cell>
          <cell r="T76">
            <v>0</v>
          </cell>
          <cell r="U76">
            <v>0</v>
          </cell>
          <cell r="V76">
            <v>1</v>
          </cell>
          <cell r="W76">
            <v>1</v>
          </cell>
          <cell r="X76">
            <v>1000</v>
          </cell>
        </row>
        <row r="77">
          <cell r="A77">
            <v>51734</v>
          </cell>
          <cell r="B77" t="str">
            <v>Multisite MONT DE MARSAN</v>
          </cell>
          <cell r="C77">
            <v>6.5040650406504072E-2</v>
          </cell>
          <cell r="D77">
            <v>9.036144578313253E-2</v>
          </cell>
          <cell r="E77">
            <v>7.7701048094818301E-2</v>
          </cell>
          <cell r="F77">
            <v>0.1176233635448137</v>
          </cell>
          <cell r="G77">
            <v>8.5405405405405407E-2</v>
          </cell>
          <cell r="H77">
            <v>0.10151438447510955</v>
          </cell>
          <cell r="I77">
            <v>0.12723214285714285</v>
          </cell>
          <cell r="J77">
            <v>7.0422535211267609E-2</v>
          </cell>
          <cell r="K77">
            <v>9.8827339034205236E-2</v>
          </cell>
          <cell r="L77">
            <v>0.20017799928800287</v>
          </cell>
          <cell r="M77">
            <v>0.125</v>
          </cell>
          <cell r="N77">
            <v>0.16258899964400142</v>
          </cell>
          <cell r="O77">
            <v>0.15217391304347827</v>
          </cell>
          <cell r="P77">
            <v>0.14925373134328357</v>
          </cell>
          <cell r="Q77">
            <v>0.22222222222222221</v>
          </cell>
          <cell r="R77">
            <v>0.17454995553632802</v>
          </cell>
        </row>
        <row r="78">
          <cell r="A78">
            <v>1734</v>
          </cell>
          <cell r="B78" t="str">
            <v>MONT DE MARSAN</v>
          </cell>
          <cell r="C78">
            <v>5.4545454545454543E-2</v>
          </cell>
          <cell r="D78">
            <v>8.9285714285714288E-2</v>
          </cell>
          <cell r="E78">
            <v>7.1915584415584419E-2</v>
          </cell>
          <cell r="F78">
            <v>0.11146535867565911</v>
          </cell>
          <cell r="G78">
            <v>7.5684380032206122E-2</v>
          </cell>
          <cell r="H78">
            <v>9.357486935393261E-2</v>
          </cell>
          <cell r="I78">
            <v>0.11724137931034483</v>
          </cell>
          <cell r="J78">
            <v>7.8014184397163122E-2</v>
          </cell>
          <cell r="K78">
            <v>9.7627781853753981E-2</v>
          </cell>
          <cell r="L78">
            <v>0.1973648816936488</v>
          </cell>
          <cell r="M78">
            <v>0.11956521739130435</v>
          </cell>
          <cell r="N78">
            <v>0.15846504954247659</v>
          </cell>
          <cell r="O78">
            <v>0.1875</v>
          </cell>
          <cell r="P78">
            <v>0.10869565217391304</v>
          </cell>
          <cell r="Q78">
            <v>0.15789473684210525</v>
          </cell>
          <cell r="R78">
            <v>0.15136346300533943</v>
          </cell>
        </row>
        <row r="79">
          <cell r="A79">
            <v>1739</v>
          </cell>
          <cell r="B79" t="str">
            <v>HAGETMAU</v>
          </cell>
          <cell r="C79">
            <v>0.11627906976744186</v>
          </cell>
          <cell r="D79">
            <v>0.1</v>
          </cell>
          <cell r="E79">
            <v>0.10813953488372094</v>
          </cell>
          <cell r="F79">
            <v>9.4877267876200641E-2</v>
          </cell>
          <cell r="G79">
            <v>6.9620253164556958E-2</v>
          </cell>
          <cell r="H79">
            <v>8.22487605203788E-2</v>
          </cell>
          <cell r="I79">
            <v>0.1744186046511628</v>
          </cell>
          <cell r="J79">
            <v>2.6315789473684209E-2</v>
          </cell>
          <cell r="K79">
            <v>0.1003671970624235</v>
          </cell>
          <cell r="L79">
            <v>0.36362440191387563</v>
          </cell>
          <cell r="M79">
            <v>0.10526315789473684</v>
          </cell>
          <cell r="N79">
            <v>0.23444377990430623</v>
          </cell>
          <cell r="O79">
            <v>0.14285714285714285</v>
          </cell>
          <cell r="P79">
            <v>0.1</v>
          </cell>
          <cell r="Q79">
            <v>0.25</v>
          </cell>
          <cell r="R79">
            <v>0.16428571428571428</v>
          </cell>
        </row>
        <row r="80">
          <cell r="A80">
            <v>1748</v>
          </cell>
          <cell r="B80" t="str">
            <v>AIRE SUR L'ADOUR</v>
          </cell>
          <cell r="C80">
            <v>5.2631578947368418E-2</v>
          </cell>
          <cell r="D80">
            <v>8.3333333333333329E-2</v>
          </cell>
          <cell r="E80">
            <v>6.7982456140350866E-2</v>
          </cell>
          <cell r="F80">
            <v>0.1716710182767624</v>
          </cell>
          <cell r="G80">
            <v>0.14383561643835616</v>
          </cell>
          <cell r="H80">
            <v>0.15775331735755926</v>
          </cell>
          <cell r="I80">
            <v>0.1111111111111111</v>
          </cell>
          <cell r="J80">
            <v>8.8235294117647065E-2</v>
          </cell>
          <cell r="K80">
            <v>9.9673202614379092E-2</v>
          </cell>
          <cell r="L80">
            <v>3.6753585397653193E-2</v>
          </cell>
          <cell r="M80">
            <v>0.16666666666666666</v>
          </cell>
          <cell r="N80">
            <v>0.10171012603215993</v>
          </cell>
          <cell r="O80">
            <v>0</v>
          </cell>
          <cell r="P80">
            <v>0.36363636363636365</v>
          </cell>
          <cell r="Q80">
            <v>0.44</v>
          </cell>
          <cell r="R80">
            <v>0.26787878787878788</v>
          </cell>
        </row>
        <row r="81">
          <cell r="A81">
            <v>51736</v>
          </cell>
          <cell r="B81" t="str">
            <v>Multisite MIMIZAN</v>
          </cell>
          <cell r="C81">
            <v>0.18965517241379309</v>
          </cell>
          <cell r="D81">
            <v>7.3170731707317069E-2</v>
          </cell>
          <cell r="E81">
            <v>0.13141295206055509</v>
          </cell>
          <cell r="F81">
            <v>7.9052589321557606E-2</v>
          </cell>
          <cell r="G81">
            <v>0.13157894736842105</v>
          </cell>
          <cell r="H81">
            <v>0.10531576834498932</v>
          </cell>
          <cell r="I81">
            <v>0.11790393013100436</v>
          </cell>
          <cell r="J81">
            <v>7.6190476190476197E-2</v>
          </cell>
          <cell r="K81">
            <v>9.7047203160740281E-2</v>
          </cell>
          <cell r="L81">
            <v>0.1062290299051787</v>
          </cell>
          <cell r="M81">
            <v>0.12121212121212122</v>
          </cell>
          <cell r="N81">
            <v>0.11372057555864995</v>
          </cell>
          <cell r="O81">
            <v>0.36363636363636365</v>
          </cell>
          <cell r="P81">
            <v>0.21212121212121213</v>
          </cell>
          <cell r="Q81">
            <v>0</v>
          </cell>
          <cell r="R81">
            <v>0.19191919191919193</v>
          </cell>
        </row>
        <row r="82">
          <cell r="A82">
            <v>1736</v>
          </cell>
          <cell r="B82" t="str">
            <v>MIMIZAN</v>
          </cell>
          <cell r="C82">
            <v>0.25</v>
          </cell>
          <cell r="D82">
            <v>9.8039215686274508E-2</v>
          </cell>
          <cell r="E82">
            <v>0.17401960784313725</v>
          </cell>
          <cell r="F82">
            <v>7.2483940042826558E-2</v>
          </cell>
          <cell r="G82">
            <v>0.15076923076923077</v>
          </cell>
          <cell r="H82">
            <v>0.11162658540602866</v>
          </cell>
          <cell r="I82">
            <v>0.13664596273291926</v>
          </cell>
          <cell r="J82">
            <v>9.7222222222222224E-2</v>
          </cell>
          <cell r="K82">
            <v>0.11693409247757075</v>
          </cell>
          <cell r="L82">
            <v>7.8325266214908026E-2</v>
          </cell>
          <cell r="M82">
            <v>0.15957446808510639</v>
          </cell>
          <cell r="N82">
            <v>0.11894986715000722</v>
          </cell>
          <cell r="O82">
            <v>0.35</v>
          </cell>
          <cell r="P82">
            <v>0.25</v>
          </cell>
          <cell r="Q82">
            <v>0</v>
          </cell>
          <cell r="R82">
            <v>0.19999999999999998</v>
          </cell>
        </row>
        <row r="83">
          <cell r="A83">
            <v>1744</v>
          </cell>
          <cell r="B83" t="str">
            <v>MORCENX</v>
          </cell>
          <cell r="C83">
            <v>5.5555555555555552E-2</v>
          </cell>
          <cell r="D83">
            <v>3.2258064516129031E-2</v>
          </cell>
          <cell r="E83">
            <v>4.3906810035842292E-2</v>
          </cell>
          <cell r="F83">
            <v>9.8747993579454255E-2</v>
          </cell>
          <cell r="G83">
            <v>8.3969465648854963E-2</v>
          </cell>
          <cell r="H83">
            <v>9.1358729614154616E-2</v>
          </cell>
          <cell r="I83">
            <v>7.3529411764705885E-2</v>
          </cell>
          <cell r="J83">
            <v>3.0303030303030304E-2</v>
          </cell>
          <cell r="K83">
            <v>5.1916221033868094E-2</v>
          </cell>
          <cell r="L83">
            <v>0.19150887573964498</v>
          </cell>
          <cell r="M83">
            <v>2.6315789473684209E-2</v>
          </cell>
          <cell r="N83">
            <v>0.10891233260666459</v>
          </cell>
          <cell r="O83">
            <v>0.44</v>
          </cell>
          <cell r="P83">
            <v>0</v>
          </cell>
          <cell r="Q83">
            <v>0</v>
          </cell>
          <cell r="R83">
            <v>0.14666666666666667</v>
          </cell>
        </row>
        <row r="84">
          <cell r="A84">
            <v>1741</v>
          </cell>
          <cell r="B84" t="str">
            <v>BISCARROSSE</v>
          </cell>
          <cell r="C84">
            <v>6.8493150684931503E-2</v>
          </cell>
          <cell r="D84">
            <v>0.17647058823529413</v>
          </cell>
          <cell r="E84">
            <v>0.12248186946011282</v>
          </cell>
          <cell r="F84">
            <v>9.5084643288996379E-2</v>
          </cell>
          <cell r="G84">
            <v>8.3892617449664433E-2</v>
          </cell>
          <cell r="H84">
            <v>8.9488630369330413E-2</v>
          </cell>
          <cell r="I84">
            <v>8.4507042253521125E-2</v>
          </cell>
          <cell r="J84">
            <v>1.5625E-2</v>
          </cell>
          <cell r="K84">
            <v>5.0066021126760563E-2</v>
          </cell>
          <cell r="L84">
            <v>8.2182448036951489E-2</v>
          </cell>
          <cell r="M84">
            <v>4.878048780487805E-2</v>
          </cell>
          <cell r="N84">
            <v>6.5481467920914777E-2</v>
          </cell>
          <cell r="O84">
            <v>9.0909090909090912E-2</v>
          </cell>
          <cell r="P84">
            <v>0.15151515151515152</v>
          </cell>
          <cell r="Q84">
            <v>0.2</v>
          </cell>
          <cell r="R84">
            <v>0.14747474747474748</v>
          </cell>
        </row>
        <row r="85">
          <cell r="A85">
            <v>43765</v>
          </cell>
          <cell r="B85" t="str">
            <v>DGA PAU PYRENEES</v>
          </cell>
          <cell r="C85">
            <v>8.1081081081081086E-2</v>
          </cell>
          <cell r="D85">
            <v>7.5892857142857137E-2</v>
          </cell>
          <cell r="E85">
            <v>7.8486969111969118E-2</v>
          </cell>
          <cell r="F85">
            <v>0.12181550969355846</v>
          </cell>
          <cell r="G85">
            <v>7.9597438243366875E-2</v>
          </cell>
          <cell r="H85">
            <v>0.10070647396846266</v>
          </cell>
          <cell r="I85">
            <v>0.10985352862849534</v>
          </cell>
          <cell r="J85">
            <v>7.1729957805907171E-2</v>
          </cell>
          <cell r="K85">
            <v>9.0791743217201265E-2</v>
          </cell>
          <cell r="L85">
            <v>0.18013401575863697</v>
          </cell>
          <cell r="M85">
            <v>0.12745098039215685</v>
          </cell>
          <cell r="N85">
            <v>0.15379249807539691</v>
          </cell>
          <cell r="O85">
            <v>0.1693121693121693</v>
          </cell>
          <cell r="P85">
            <v>0.11510791366906475</v>
          </cell>
          <cell r="Q85">
            <v>0.11666666666666667</v>
          </cell>
          <cell r="R85">
            <v>0.13369558321596689</v>
          </cell>
          <cell r="S85">
            <v>0</v>
          </cell>
          <cell r="T85">
            <v>0</v>
          </cell>
          <cell r="U85">
            <v>0</v>
          </cell>
          <cell r="V85">
            <v>1</v>
          </cell>
          <cell r="W85">
            <v>1</v>
          </cell>
          <cell r="X85">
            <v>1000</v>
          </cell>
        </row>
        <row r="86">
          <cell r="A86">
            <v>53500</v>
          </cell>
          <cell r="B86" t="str">
            <v>Multisite PAU</v>
          </cell>
          <cell r="C86">
            <v>8.294930875576037E-2</v>
          </cell>
          <cell r="D86">
            <v>4.2857142857142858E-2</v>
          </cell>
          <cell r="E86">
            <v>6.2903225806451607E-2</v>
          </cell>
          <cell r="F86">
            <v>0.17561867935752526</v>
          </cell>
          <cell r="G86">
            <v>7.4561403508771926E-2</v>
          </cell>
          <cell r="H86">
            <v>0.12509004143314859</v>
          </cell>
          <cell r="I86">
            <v>0.12264150943396226</v>
          </cell>
          <cell r="J86">
            <v>0.12213740458015267</v>
          </cell>
          <cell r="K86">
            <v>0.12238945700705747</v>
          </cell>
          <cell r="L86">
            <v>0.19235337459475391</v>
          </cell>
          <cell r="M86">
            <v>0.19680851063829788</v>
          </cell>
          <cell r="N86">
            <v>0.19458094261652589</v>
          </cell>
          <cell r="O86">
            <v>0.15384615384615385</v>
          </cell>
          <cell r="P86">
            <v>0.15254237288135594</v>
          </cell>
          <cell r="Q86">
            <v>6.6666666666666666E-2</v>
          </cell>
          <cell r="R86">
            <v>0.12435173113139215</v>
          </cell>
        </row>
        <row r="87">
          <cell r="A87">
            <v>3500</v>
          </cell>
          <cell r="B87" t="str">
            <v>PAU</v>
          </cell>
          <cell r="C87">
            <v>8.0246913580246909E-2</v>
          </cell>
          <cell r="D87">
            <v>2.8571428571428571E-2</v>
          </cell>
          <cell r="E87">
            <v>5.4409171075837738E-2</v>
          </cell>
          <cell r="F87">
            <v>0.19440185830429732</v>
          </cell>
          <cell r="G87">
            <v>7.3643410852713184E-2</v>
          </cell>
          <cell r="H87">
            <v>0.13402263457850525</v>
          </cell>
          <cell r="I87">
            <v>8.2987551867219914E-2</v>
          </cell>
          <cell r="J87">
            <v>0.14141414141414141</v>
          </cell>
          <cell r="K87">
            <v>0.11220084664068067</v>
          </cell>
          <cell r="L87">
            <v>0.21610966542750931</v>
          </cell>
          <cell r="M87">
            <v>0.20689655172413793</v>
          </cell>
          <cell r="N87">
            <v>0.21150310857582361</v>
          </cell>
          <cell r="O87">
            <v>0.16666666666666666</v>
          </cell>
          <cell r="P87">
            <v>0.12280701754385964</v>
          </cell>
          <cell r="Q87">
            <v>8.3333333333333329E-2</v>
          </cell>
          <cell r="R87">
            <v>0.12426900584795321</v>
          </cell>
        </row>
        <row r="88">
          <cell r="A88">
            <v>3536</v>
          </cell>
          <cell r="B88" t="str">
            <v>PAU CROIX DU PRINCE</v>
          </cell>
          <cell r="C88">
            <v>9.0909090909090912E-2</v>
          </cell>
          <cell r="D88">
            <v>8.5714285714285715E-2</v>
          </cell>
          <cell r="E88">
            <v>8.8311688311688313E-2</v>
          </cell>
          <cell r="F88">
            <v>0.11333761232349167</v>
          </cell>
          <cell r="G88">
            <v>7.7380952380952384E-2</v>
          </cell>
          <cell r="H88">
            <v>9.5359282352222019E-2</v>
          </cell>
          <cell r="I88">
            <v>0.24675324675324675</v>
          </cell>
          <cell r="J88">
            <v>6.25E-2</v>
          </cell>
          <cell r="K88">
            <v>0.15462662337662336</v>
          </cell>
          <cell r="L88">
            <v>0.10144381223328591</v>
          </cell>
          <cell r="M88">
            <v>0.16279069767441862</v>
          </cell>
          <cell r="N88">
            <v>0.13211725495385226</v>
          </cell>
          <cell r="O88">
            <v>0.1</v>
          </cell>
          <cell r="P88">
            <v>0.44</v>
          </cell>
          <cell r="Q88">
            <v>0</v>
          </cell>
          <cell r="R88">
            <v>0.18000000000000002</v>
          </cell>
        </row>
        <row r="89">
          <cell r="A89">
            <v>3532</v>
          </cell>
          <cell r="B89" t="str">
            <v>OLORON SAINTE MARIE</v>
          </cell>
          <cell r="C89">
            <v>9.5238095238095233E-2</v>
          </cell>
          <cell r="D89">
            <v>0.12244897959183673</v>
          </cell>
          <cell r="E89">
            <v>0.10884353741496598</v>
          </cell>
          <cell r="F89">
            <v>0.14226384364820846</v>
          </cell>
          <cell r="G89">
            <v>9.056603773584905E-2</v>
          </cell>
          <cell r="H89">
            <v>0.11641494069202876</v>
          </cell>
          <cell r="I89">
            <v>0.10084033613445378</v>
          </cell>
          <cell r="J89">
            <v>9.6774193548387094E-2</v>
          </cell>
          <cell r="K89">
            <v>9.8807264841420439E-2</v>
          </cell>
          <cell r="L89">
            <v>0.15956354300385109</v>
          </cell>
          <cell r="M89">
            <v>5.4054054054054057E-2</v>
          </cell>
          <cell r="N89">
            <v>0.10680879852895257</v>
          </cell>
          <cell r="O89">
            <v>6.6666666666666666E-2</v>
          </cell>
          <cell r="P89">
            <v>7.6923076923076927E-2</v>
          </cell>
          <cell r="Q89">
            <v>0</v>
          </cell>
          <cell r="R89">
            <v>4.786324786324786E-2</v>
          </cell>
        </row>
        <row r="90">
          <cell r="A90">
            <v>53533</v>
          </cell>
          <cell r="B90" t="str">
            <v>Multisite ORTHEZ</v>
          </cell>
          <cell r="C90">
            <v>9.7222222222222224E-2</v>
          </cell>
          <cell r="D90">
            <v>0.125</v>
          </cell>
          <cell r="E90">
            <v>0.1111111111111111</v>
          </cell>
          <cell r="F90">
            <v>0.11986402966625463</v>
          </cell>
          <cell r="G90">
            <v>0.10317460317460317</v>
          </cell>
          <cell r="H90">
            <v>0.11151931642042889</v>
          </cell>
          <cell r="I90">
            <v>0.14950166112956811</v>
          </cell>
          <cell r="J90">
            <v>7.0422535211267609E-2</v>
          </cell>
          <cell r="K90">
            <v>0.10996209817041785</v>
          </cell>
          <cell r="L90">
            <v>0.13653906659674883</v>
          </cell>
          <cell r="M90">
            <v>0.12154696132596685</v>
          </cell>
          <cell r="N90">
            <v>0.12904301396135784</v>
          </cell>
          <cell r="O90">
            <v>0.1</v>
          </cell>
          <cell r="P90">
            <v>0.12121212121212122</v>
          </cell>
          <cell r="Q90">
            <v>0</v>
          </cell>
          <cell r="R90">
            <v>7.373737373737374E-2</v>
          </cell>
        </row>
        <row r="91">
          <cell r="A91">
            <v>3533</v>
          </cell>
          <cell r="B91" t="str">
            <v>ORTHEZ</v>
          </cell>
          <cell r="C91">
            <v>9.7087378640776698E-2</v>
          </cell>
          <cell r="D91">
            <v>0.12307692307692308</v>
          </cell>
          <cell r="E91">
            <v>0.1100821508588499</v>
          </cell>
          <cell r="F91">
            <v>0.12429176755447943</v>
          </cell>
          <cell r="G91">
            <v>9.602649006622517E-2</v>
          </cell>
          <cell r="H91">
            <v>0.11015912881035231</v>
          </cell>
          <cell r="I91">
            <v>8.8435374149659865E-2</v>
          </cell>
          <cell r="J91">
            <v>5.3333333333333337E-2</v>
          </cell>
          <cell r="K91">
            <v>7.0884353741496597E-2</v>
          </cell>
          <cell r="L91">
            <v>0.15083068221986567</v>
          </cell>
          <cell r="M91">
            <v>0.12222222222222222</v>
          </cell>
          <cell r="N91">
            <v>0.13652645222104395</v>
          </cell>
          <cell r="O91">
            <v>0.05</v>
          </cell>
          <cell r="P91">
            <v>0.125</v>
          </cell>
          <cell r="Q91">
            <v>0</v>
          </cell>
          <cell r="R91">
            <v>5.8333333333333327E-2</v>
          </cell>
        </row>
        <row r="92">
          <cell r="A92">
            <v>3534</v>
          </cell>
          <cell r="B92" t="str">
            <v>SALIES DE BEARN</v>
          </cell>
          <cell r="C92">
            <v>6.1224489795918366E-2</v>
          </cell>
          <cell r="D92">
            <v>0.14705882352941177</v>
          </cell>
          <cell r="E92">
            <v>0.10414165666266506</v>
          </cell>
          <cell r="F92">
            <v>9.281524926686216E-2</v>
          </cell>
          <cell r="G92">
            <v>0.10884353741496598</v>
          </cell>
          <cell r="H92">
            <v>0.10082939334091406</v>
          </cell>
          <cell r="I92">
            <v>0.29577464788732394</v>
          </cell>
          <cell r="J92">
            <v>7.6923076923076927E-2</v>
          </cell>
          <cell r="K92">
            <v>0.18634886240520043</v>
          </cell>
          <cell r="L92">
            <v>0.14592015579357354</v>
          </cell>
          <cell r="M92">
            <v>0.17948717948717949</v>
          </cell>
          <cell r="N92">
            <v>0.16270366764037653</v>
          </cell>
          <cell r="O92">
            <v>0.2</v>
          </cell>
          <cell r="P92">
            <v>0.2</v>
          </cell>
          <cell r="Q92">
            <v>0</v>
          </cell>
          <cell r="R92">
            <v>0.13333333333333333</v>
          </cell>
        </row>
        <row r="93">
          <cell r="A93">
            <v>3537</v>
          </cell>
          <cell r="B93" t="str">
            <v>MOURENX</v>
          </cell>
          <cell r="C93">
            <v>0.125</v>
          </cell>
          <cell r="D93">
            <v>0.10810810810810811</v>
          </cell>
          <cell r="E93">
            <v>0.11655405405405406</v>
          </cell>
          <cell r="F93">
            <v>0.13220620842572062</v>
          </cell>
          <cell r="G93">
            <v>0.11049723756906077</v>
          </cell>
          <cell r="H93">
            <v>0.12135172299739069</v>
          </cell>
          <cell r="I93">
            <v>0.13253012048192772</v>
          </cell>
          <cell r="J93">
            <v>9.7560975609756101E-2</v>
          </cell>
          <cell r="K93">
            <v>0.11504554804584191</v>
          </cell>
          <cell r="L93">
            <v>0.10969436997319036</v>
          </cell>
          <cell r="M93">
            <v>7.6923076923076927E-2</v>
          </cell>
          <cell r="N93">
            <v>9.3308723448133651E-2</v>
          </cell>
          <cell r="O93">
            <v>0.2</v>
          </cell>
          <cell r="P93">
            <v>0</v>
          </cell>
          <cell r="Q93">
            <v>0</v>
          </cell>
          <cell r="R93">
            <v>6.6666666666666666E-2</v>
          </cell>
        </row>
        <row r="94">
          <cell r="A94">
            <v>3535</v>
          </cell>
          <cell r="B94" t="str">
            <v>PAU MERMOZ</v>
          </cell>
          <cell r="C94">
            <v>0</v>
          </cell>
          <cell r="D94">
            <v>1.4925373134328358E-2</v>
          </cell>
          <cell r="E94">
            <v>7.462686567164179E-3</v>
          </cell>
          <cell r="F94">
            <v>7.0748596381784157E-2</v>
          </cell>
          <cell r="G94">
            <v>6.1728395061728392E-2</v>
          </cell>
          <cell r="H94">
            <v>6.6238495721756274E-2</v>
          </cell>
          <cell r="I94">
            <v>0.1038961038961039</v>
          </cell>
          <cell r="J94">
            <v>5.8823529411764705E-2</v>
          </cell>
          <cell r="K94">
            <v>8.1359816653934297E-2</v>
          </cell>
          <cell r="L94">
            <v>0.11966666666666666</v>
          </cell>
          <cell r="M94">
            <v>0.13978494623655913</v>
          </cell>
          <cell r="N94">
            <v>0.12972580645161289</v>
          </cell>
          <cell r="O94">
            <v>0.2</v>
          </cell>
          <cell r="P94">
            <v>4.7619047619047616E-2</v>
          </cell>
          <cell r="Q94">
            <v>0.16666666666666666</v>
          </cell>
          <cell r="R94">
            <v>0.13809523809523808</v>
          </cell>
        </row>
        <row r="95">
          <cell r="A95">
            <v>53542</v>
          </cell>
          <cell r="B95" t="str">
            <v>Multisite LONS</v>
          </cell>
          <cell r="C95">
            <v>7.8048780487804878E-2</v>
          </cell>
          <cell r="D95">
            <v>6.5040650406504072E-2</v>
          </cell>
          <cell r="E95">
            <v>7.1544715447154475E-2</v>
          </cell>
          <cell r="F95">
            <v>7.6707983959168793E-2</v>
          </cell>
          <cell r="G95">
            <v>6.25E-2</v>
          </cell>
          <cell r="H95">
            <v>6.960399197958439E-2</v>
          </cell>
          <cell r="I95">
            <v>7.6086956521739135E-2</v>
          </cell>
          <cell r="J95">
            <v>4.9645390070921988E-2</v>
          </cell>
          <cell r="K95">
            <v>6.2866173296330569E-2</v>
          </cell>
          <cell r="L95">
            <v>0.34891113281250002</v>
          </cell>
          <cell r="M95">
            <v>0.1402439024390244</v>
          </cell>
          <cell r="N95">
            <v>0.24457751762576221</v>
          </cell>
          <cell r="O95">
            <v>0.30769230769230771</v>
          </cell>
          <cell r="P95">
            <v>0.33333333333333331</v>
          </cell>
          <cell r="Q95">
            <v>0.33333333333333331</v>
          </cell>
          <cell r="R95">
            <v>0.32478632478632474</v>
          </cell>
        </row>
        <row r="96">
          <cell r="A96">
            <v>3539</v>
          </cell>
          <cell r="B96" t="str">
            <v>BILLERE</v>
          </cell>
          <cell r="C96">
            <v>8.6419753086419748E-2</v>
          </cell>
          <cell r="D96">
            <v>8.1632653061224483E-2</v>
          </cell>
          <cell r="E96">
            <v>8.4026203073822109E-2</v>
          </cell>
          <cell r="F96">
            <v>7.8154425612052728E-2</v>
          </cell>
          <cell r="G96">
            <v>0.04</v>
          </cell>
          <cell r="H96">
            <v>5.9077212806026361E-2</v>
          </cell>
          <cell r="I96">
            <v>6.1946902654867256E-2</v>
          </cell>
          <cell r="J96">
            <v>9.375E-2</v>
          </cell>
          <cell r="K96">
            <v>7.7848451327433621E-2</v>
          </cell>
          <cell r="L96">
            <v>0.44</v>
          </cell>
          <cell r="M96">
            <v>0.1111111111111111</v>
          </cell>
          <cell r="N96">
            <v>0.27555555555555555</v>
          </cell>
          <cell r="O96">
            <v>0.44</v>
          </cell>
          <cell r="P96">
            <v>9.0909090909090912E-2</v>
          </cell>
          <cell r="Q96">
            <v>0.25</v>
          </cell>
          <cell r="R96">
            <v>0.26030303030303031</v>
          </cell>
        </row>
        <row r="97">
          <cell r="A97">
            <v>3542</v>
          </cell>
          <cell r="B97" t="str">
            <v>LONS COMEDIE</v>
          </cell>
          <cell r="C97">
            <v>7.2580645161290328E-2</v>
          </cell>
          <cell r="D97">
            <v>5.4054054054054057E-2</v>
          </cell>
          <cell r="E97">
            <v>6.3317349607672185E-2</v>
          </cell>
          <cell r="F97">
            <v>7.5794170136823311E-2</v>
          </cell>
          <cell r="G97">
            <v>7.6923076923076927E-2</v>
          </cell>
          <cell r="H97">
            <v>7.6358623529950126E-2</v>
          </cell>
          <cell r="I97">
            <v>8.5889570552147243E-2</v>
          </cell>
          <cell r="J97">
            <v>1.2987012987012988E-2</v>
          </cell>
          <cell r="K97">
            <v>4.9438291769580117E-2</v>
          </cell>
          <cell r="L97">
            <v>0.10102068345323741</v>
          </cell>
          <cell r="M97">
            <v>0.15841584158415842</v>
          </cell>
          <cell r="N97">
            <v>0.12971826251869792</v>
          </cell>
          <cell r="O97">
            <v>0.17647058823529413</v>
          </cell>
          <cell r="P97">
            <v>0.44</v>
          </cell>
          <cell r="Q97">
            <v>0.375</v>
          </cell>
          <cell r="R97">
            <v>0.33049019607843139</v>
          </cell>
        </row>
        <row r="98">
          <cell r="A98">
            <v>53538</v>
          </cell>
          <cell r="B98" t="str">
            <v>Multisite PAU THIERS</v>
          </cell>
          <cell r="C98">
            <v>9.375E-2</v>
          </cell>
          <cell r="D98">
            <v>8.2278481012658222E-2</v>
          </cell>
          <cell r="E98">
            <v>8.8014240506329111E-2</v>
          </cell>
          <cell r="F98">
            <v>0.12333071484681854</v>
          </cell>
          <cell r="G98">
            <v>8.1148564294631714E-2</v>
          </cell>
          <cell r="H98">
            <v>0.10223963957072513</v>
          </cell>
          <cell r="I98">
            <v>8.8397790055248615E-2</v>
          </cell>
          <cell r="J98">
            <v>4.790419161676647E-2</v>
          </cell>
          <cell r="K98">
            <v>6.8150990836007536E-2</v>
          </cell>
          <cell r="L98">
            <v>0.14406025641025641</v>
          </cell>
          <cell r="M98">
            <v>8.2191780821917804E-2</v>
          </cell>
          <cell r="N98">
            <v>0.11312601861608711</v>
          </cell>
          <cell r="O98">
            <v>0.17073170731707318</v>
          </cell>
          <cell r="P98">
            <v>0.16</v>
          </cell>
          <cell r="Q98">
            <v>6.6666666666666666E-2</v>
          </cell>
          <cell r="R98">
            <v>0.1324661246612466</v>
          </cell>
        </row>
        <row r="99">
          <cell r="A99">
            <v>3538</v>
          </cell>
          <cell r="B99" t="str">
            <v>PAU THIERS</v>
          </cell>
          <cell r="C99">
            <v>0.10377358490566038</v>
          </cell>
          <cell r="D99">
            <v>0.13043478260869565</v>
          </cell>
          <cell r="E99">
            <v>0.11710418375717802</v>
          </cell>
          <cell r="F99">
            <v>0.1232603406326034</v>
          </cell>
          <cell r="G99">
            <v>5.8823529411764705E-2</v>
          </cell>
          <cell r="H99">
            <v>9.1041935022184051E-2</v>
          </cell>
          <cell r="I99">
            <v>0.11409395973154363</v>
          </cell>
          <cell r="J99">
            <v>6.25E-2</v>
          </cell>
          <cell r="K99">
            <v>8.8296979865771813E-2</v>
          </cell>
          <cell r="L99">
            <v>0.20505494505494504</v>
          </cell>
          <cell r="M99">
            <v>6.4516129032258063E-2</v>
          </cell>
          <cell r="N99">
            <v>0.13478553704360155</v>
          </cell>
          <cell r="O99">
            <v>0.15</v>
          </cell>
          <cell r="P99">
            <v>0.14814814814814814</v>
          </cell>
          <cell r="Q99">
            <v>0.2</v>
          </cell>
          <cell r="R99">
            <v>0.16604938271604938</v>
          </cell>
        </row>
        <row r="100">
          <cell r="A100">
            <v>3540</v>
          </cell>
          <cell r="B100" t="str">
            <v>NAY</v>
          </cell>
          <cell r="C100">
            <v>0.11538461538461539</v>
          </cell>
          <cell r="D100">
            <v>8.5714285714285715E-2</v>
          </cell>
          <cell r="E100">
            <v>0.10054945054945055</v>
          </cell>
          <cell r="F100">
            <v>0.21861751152073733</v>
          </cell>
          <cell r="G100">
            <v>0.116751269035533</v>
          </cell>
          <cell r="H100">
            <v>0.16768439027813517</v>
          </cell>
          <cell r="I100">
            <v>6.9767441860465115E-2</v>
          </cell>
          <cell r="J100">
            <v>9.7560975609756101E-2</v>
          </cell>
          <cell r="K100">
            <v>8.3664208735110601E-2</v>
          </cell>
          <cell r="L100">
            <v>8.4421768707482997E-2</v>
          </cell>
          <cell r="M100">
            <v>0.1111111111111111</v>
          </cell>
          <cell r="N100">
            <v>9.7766439909297051E-2</v>
          </cell>
          <cell r="O100">
            <v>0.2</v>
          </cell>
          <cell r="P100">
            <v>0.25</v>
          </cell>
          <cell r="Q100">
            <v>0</v>
          </cell>
          <cell r="R100">
            <v>0.15</v>
          </cell>
        </row>
        <row r="101">
          <cell r="A101">
            <v>3541</v>
          </cell>
          <cell r="B101" t="str">
            <v>PAU HERMES</v>
          </cell>
          <cell r="C101">
            <v>7.1428571428571425E-2</v>
          </cell>
          <cell r="D101">
            <v>1.8518518518518517E-2</v>
          </cell>
          <cell r="E101">
            <v>4.4973544973544971E-2</v>
          </cell>
          <cell r="F101">
            <v>6.0137719969395556E-2</v>
          </cell>
          <cell r="G101">
            <v>8.3333333333333329E-2</v>
          </cell>
          <cell r="H101">
            <v>7.1735526651364442E-2</v>
          </cell>
          <cell r="I101">
            <v>7.0866141732283464E-2</v>
          </cell>
          <cell r="J101">
            <v>0</v>
          </cell>
          <cell r="K101">
            <v>3.5433070866141732E-2</v>
          </cell>
          <cell r="L101">
            <v>6.7053688345700566E-2</v>
          </cell>
          <cell r="M101">
            <v>8.3333333333333329E-2</v>
          </cell>
          <cell r="N101">
            <v>7.5193510839516947E-2</v>
          </cell>
          <cell r="O101">
            <v>0.16666666666666666</v>
          </cell>
          <cell r="P101">
            <v>9.0909090909090912E-2</v>
          </cell>
          <cell r="Q101">
            <v>0</v>
          </cell>
          <cell r="R101">
            <v>8.5858585858585856E-2</v>
          </cell>
        </row>
        <row r="102">
          <cell r="A102">
            <v>43783</v>
          </cell>
          <cell r="B102" t="str">
            <v>DGA COTE BASQUE</v>
          </cell>
          <cell r="C102">
            <v>9.8717948717948714E-2</v>
          </cell>
          <cell r="D102">
            <v>0.12526997840172785</v>
          </cell>
          <cell r="E102">
            <v>0.11199396355983829</v>
          </cell>
          <cell r="F102">
            <v>0.11545462878093492</v>
          </cell>
          <cell r="G102">
            <v>9.4740912606341834E-2</v>
          </cell>
          <cell r="H102">
            <v>0.10509777069363838</v>
          </cell>
          <cell r="I102">
            <v>0.12266666666666666</v>
          </cell>
          <cell r="J102">
            <v>0.11853088480801335</v>
          </cell>
          <cell r="K102">
            <v>0.12059877573734001</v>
          </cell>
          <cell r="L102">
            <v>0.21663720757519495</v>
          </cell>
          <cell r="M102">
            <v>0.1125</v>
          </cell>
          <cell r="N102">
            <v>0.16456860378759747</v>
          </cell>
          <cell r="O102">
            <v>0.16080402010050251</v>
          </cell>
          <cell r="P102">
            <v>0.14802631578947367</v>
          </cell>
          <cell r="Q102">
            <v>8.4745762711864403E-2</v>
          </cell>
          <cell r="R102">
            <v>0.13119203286728021</v>
          </cell>
          <cell r="S102">
            <v>0</v>
          </cell>
          <cell r="T102">
            <v>0</v>
          </cell>
          <cell r="U102">
            <v>0</v>
          </cell>
          <cell r="V102">
            <v>1</v>
          </cell>
          <cell r="W102">
            <v>1</v>
          </cell>
          <cell r="X102">
            <v>1000</v>
          </cell>
        </row>
        <row r="103">
          <cell r="A103">
            <v>51700</v>
          </cell>
          <cell r="B103" t="str">
            <v>Multisite BAYONNE</v>
          </cell>
          <cell r="C103">
            <v>6.4257028112449793E-2</v>
          </cell>
          <cell r="D103">
            <v>0.12413793103448276</v>
          </cell>
          <cell r="E103">
            <v>9.4197479573466275E-2</v>
          </cell>
          <cell r="F103">
            <v>7.7863453815261038E-2</v>
          </cell>
          <cell r="G103">
            <v>7.9254079254079249E-2</v>
          </cell>
          <cell r="H103">
            <v>7.8558766534670144E-2</v>
          </cell>
          <cell r="I103">
            <v>0.11979166666666667</v>
          </cell>
          <cell r="J103">
            <v>0.14136125654450263</v>
          </cell>
          <cell r="K103">
            <v>0.13057646160558464</v>
          </cell>
          <cell r="L103">
            <v>0.11818471337579618</v>
          </cell>
          <cell r="M103">
            <v>0.12295081967213115</v>
          </cell>
          <cell r="N103">
            <v>0.12056776652396367</v>
          </cell>
          <cell r="O103">
            <v>0.14084507042253522</v>
          </cell>
          <cell r="P103">
            <v>0.35897435897435898</v>
          </cell>
          <cell r="Q103">
            <v>0.16</v>
          </cell>
          <cell r="R103">
            <v>0.21993980979896474</v>
          </cell>
        </row>
        <row r="104">
          <cell r="A104">
            <v>1700</v>
          </cell>
          <cell r="B104" t="str">
            <v>BAYONNE</v>
          </cell>
          <cell r="C104">
            <v>4.0816326530612242E-2</v>
          </cell>
          <cell r="D104">
            <v>7.5949367088607597E-2</v>
          </cell>
          <cell r="E104">
            <v>5.8382846809609923E-2</v>
          </cell>
          <cell r="F104">
            <v>8.6694915254237281E-2</v>
          </cell>
          <cell r="G104">
            <v>7.4688796680497924E-2</v>
          </cell>
          <cell r="H104">
            <v>8.0691855967367609E-2</v>
          </cell>
          <cell r="I104">
            <v>7.0093457943925228E-2</v>
          </cell>
          <cell r="J104">
            <v>8.7378640776699032E-2</v>
          </cell>
          <cell r="K104">
            <v>7.873604936031213E-2</v>
          </cell>
          <cell r="L104">
            <v>8.6342288557213931E-2</v>
          </cell>
          <cell r="M104">
            <v>9.7902097902097904E-2</v>
          </cell>
          <cell r="N104">
            <v>9.2122193229655924E-2</v>
          </cell>
          <cell r="O104">
            <v>7.1428571428571425E-2</v>
          </cell>
          <cell r="P104">
            <v>0.43478260869565216</v>
          </cell>
          <cell r="Q104">
            <v>6.25E-2</v>
          </cell>
          <cell r="R104">
            <v>0.18957039337474121</v>
          </cell>
        </row>
        <row r="105">
          <cell r="A105">
            <v>1737</v>
          </cell>
          <cell r="B105" t="str">
            <v>BAYONNE SAINT ESPRIT</v>
          </cell>
          <cell r="C105">
            <v>0.17499999999999999</v>
          </cell>
          <cell r="D105">
            <v>0.15384615384615385</v>
          </cell>
          <cell r="E105">
            <v>0.16442307692307692</v>
          </cell>
          <cell r="F105">
            <v>5.0060514372163391E-2</v>
          </cell>
          <cell r="G105">
            <v>0.1144578313253012</v>
          </cell>
          <cell r="H105">
            <v>8.2259172848732298E-2</v>
          </cell>
          <cell r="I105">
            <v>0.11428571428571428</v>
          </cell>
          <cell r="J105">
            <v>0.17647058823529413</v>
          </cell>
          <cell r="K105">
            <v>0.14537815126050421</v>
          </cell>
          <cell r="L105">
            <v>0.28697552447552449</v>
          </cell>
          <cell r="M105">
            <v>0.17499999999999999</v>
          </cell>
          <cell r="N105">
            <v>0.23098776223776224</v>
          </cell>
          <cell r="O105">
            <v>0</v>
          </cell>
          <cell r="P105">
            <v>0.44</v>
          </cell>
          <cell r="Q105">
            <v>0.44</v>
          </cell>
          <cell r="R105">
            <v>0.29333333333333333</v>
          </cell>
        </row>
        <row r="106">
          <cell r="A106">
            <v>1747</v>
          </cell>
          <cell r="B106" t="str">
            <v>BAYONNE CITE DU PALAIS</v>
          </cell>
          <cell r="C106">
            <v>4.8387096774193547E-2</v>
          </cell>
          <cell r="D106">
            <v>0.2</v>
          </cell>
          <cell r="E106">
            <v>0.12419354838709679</v>
          </cell>
          <cell r="F106">
            <v>7.7463157894736845E-2</v>
          </cell>
          <cell r="G106">
            <v>6.1904761904761907E-2</v>
          </cell>
          <cell r="H106">
            <v>6.9683959899749376E-2</v>
          </cell>
          <cell r="I106">
            <v>0.23</v>
          </cell>
          <cell r="J106">
            <v>0.22222222222222221</v>
          </cell>
          <cell r="K106">
            <v>0.2261111111111111</v>
          </cell>
          <cell r="L106">
            <v>0.10158897243107769</v>
          </cell>
          <cell r="M106">
            <v>0.14754098360655737</v>
          </cell>
          <cell r="N106">
            <v>0.12456497801881752</v>
          </cell>
          <cell r="O106">
            <v>0.30434782608695654</v>
          </cell>
          <cell r="P106">
            <v>0.19230769230769232</v>
          </cell>
          <cell r="Q106">
            <v>0.25</v>
          </cell>
          <cell r="R106">
            <v>0.24888517279821629</v>
          </cell>
        </row>
        <row r="107">
          <cell r="A107">
            <v>51731</v>
          </cell>
          <cell r="B107" t="str">
            <v>Multisite BIARRITZ</v>
          </cell>
          <cell r="C107">
            <v>8.7248322147651006E-2</v>
          </cell>
          <cell r="D107">
            <v>8.1395348837209308E-2</v>
          </cell>
          <cell r="E107">
            <v>8.4321835492430164E-2</v>
          </cell>
          <cell r="F107">
            <v>9.8815467449828678E-2</v>
          </cell>
          <cell r="G107">
            <v>9.5948827292110878E-2</v>
          </cell>
          <cell r="H107">
            <v>9.7382147370969785E-2</v>
          </cell>
          <cell r="I107">
            <v>0.11267605633802817</v>
          </cell>
          <cell r="J107">
            <v>8.6206896551724144E-2</v>
          </cell>
          <cell r="K107">
            <v>9.9441476444876165E-2</v>
          </cell>
          <cell r="L107">
            <v>0.22092904169714703</v>
          </cell>
          <cell r="M107">
            <v>6.5217391304347824E-2</v>
          </cell>
          <cell r="N107">
            <v>0.14307321650074742</v>
          </cell>
          <cell r="O107">
            <v>0.14893617021276595</v>
          </cell>
          <cell r="P107">
            <v>5.7692307692307696E-2</v>
          </cell>
          <cell r="Q107">
            <v>0</v>
          </cell>
          <cell r="R107">
            <v>6.887615930169122E-2</v>
          </cell>
        </row>
        <row r="108">
          <cell r="A108">
            <v>1731</v>
          </cell>
          <cell r="B108" t="str">
            <v>BIARRITZ</v>
          </cell>
          <cell r="C108">
            <v>7.1428571428571425E-2</v>
          </cell>
          <cell r="D108">
            <v>5.0847457627118647E-2</v>
          </cell>
          <cell r="E108">
            <v>6.1138014527845036E-2</v>
          </cell>
          <cell r="F108">
            <v>0.113008356545961</v>
          </cell>
          <cell r="G108">
            <v>9.580838323353294E-2</v>
          </cell>
          <cell r="H108">
            <v>0.10440836988974697</v>
          </cell>
          <cell r="I108">
            <v>0.13157894736842105</v>
          </cell>
          <cell r="J108">
            <v>8.4337349397590355E-2</v>
          </cell>
          <cell r="K108">
            <v>0.1079581483830057</v>
          </cell>
          <cell r="L108">
            <v>0.20929423459244534</v>
          </cell>
          <cell r="M108">
            <v>3.0927835051546393E-2</v>
          </cell>
          <cell r="N108">
            <v>0.12011103482199587</v>
          </cell>
          <cell r="O108">
            <v>0.13513513513513514</v>
          </cell>
          <cell r="P108">
            <v>4.7619047619047616E-2</v>
          </cell>
          <cell r="Q108">
            <v>0</v>
          </cell>
          <cell r="R108">
            <v>6.0918060918060922E-2</v>
          </cell>
        </row>
        <row r="109">
          <cell r="A109">
            <v>1749</v>
          </cell>
          <cell r="B109" t="str">
            <v>BIARRITZ SAINT CHARLES</v>
          </cell>
          <cell r="C109">
            <v>0.13513513513513514</v>
          </cell>
          <cell r="D109">
            <v>0.14814814814814814</v>
          </cell>
          <cell r="E109">
            <v>0.14164164164164164</v>
          </cell>
          <cell r="F109">
            <v>6.5238879736408573E-2</v>
          </cell>
          <cell r="G109">
            <v>9.6296296296296297E-2</v>
          </cell>
          <cell r="H109">
            <v>8.0767588016352435E-2</v>
          </cell>
          <cell r="I109">
            <v>6.5573770491803282E-2</v>
          </cell>
          <cell r="J109">
            <v>9.0909090909090912E-2</v>
          </cell>
          <cell r="K109">
            <v>7.824143070044709E-2</v>
          </cell>
          <cell r="L109">
            <v>0.25335180055401663</v>
          </cell>
          <cell r="M109">
            <v>0.14634146341463414</v>
          </cell>
          <cell r="N109">
            <v>0.1998466319843254</v>
          </cell>
          <cell r="O109">
            <v>0.2</v>
          </cell>
          <cell r="P109">
            <v>0.1</v>
          </cell>
          <cell r="Q109">
            <v>0</v>
          </cell>
          <cell r="R109">
            <v>0.10000000000000002</v>
          </cell>
        </row>
        <row r="110">
          <cell r="A110">
            <v>51735</v>
          </cell>
          <cell r="B110" t="str">
            <v>Multisite ST JEAN DE LUZ</v>
          </cell>
          <cell r="C110">
            <v>0.12121212121212122</v>
          </cell>
          <cell r="D110">
            <v>0.12621359223300971</v>
          </cell>
          <cell r="E110">
            <v>0.12371285672256546</v>
          </cell>
          <cell r="F110">
            <v>0.17232452142206015</v>
          </cell>
          <cell r="G110">
            <v>0.10234899328859061</v>
          </cell>
          <cell r="H110">
            <v>0.13733675735532538</v>
          </cell>
          <cell r="I110">
            <v>0.16877637130801687</v>
          </cell>
          <cell r="J110">
            <v>0.15573770491803279</v>
          </cell>
          <cell r="K110">
            <v>0.16225703811302483</v>
          </cell>
          <cell r="L110">
            <v>0.33859321335348269</v>
          </cell>
          <cell r="M110">
            <v>0.14482758620689656</v>
          </cell>
          <cell r="N110">
            <v>0.24171039978018963</v>
          </cell>
          <cell r="O110">
            <v>0.1951219512195122</v>
          </cell>
          <cell r="P110">
            <v>0.13636363636363635</v>
          </cell>
          <cell r="Q110">
            <v>9.0909090909090912E-2</v>
          </cell>
          <cell r="R110">
            <v>0.1407982261640798</v>
          </cell>
        </row>
        <row r="111">
          <cell r="A111">
            <v>1733</v>
          </cell>
          <cell r="B111" t="str">
            <v>HENDAYE</v>
          </cell>
          <cell r="C111">
            <v>0.34210526315789475</v>
          </cell>
          <cell r="D111">
            <v>0.14705882352941177</v>
          </cell>
          <cell r="E111">
            <v>0.24458204334365324</v>
          </cell>
          <cell r="F111">
            <v>0.10575342465753425</v>
          </cell>
          <cell r="G111">
            <v>0.10344827586206896</v>
          </cell>
          <cell r="H111">
            <v>0.10460085025980161</v>
          </cell>
          <cell r="I111">
            <v>7.8947368421052627E-2</v>
          </cell>
          <cell r="J111">
            <v>2.6315789473684209E-2</v>
          </cell>
          <cell r="K111">
            <v>5.2631578947368418E-2</v>
          </cell>
          <cell r="L111">
            <v>0.25033023735810112</v>
          </cell>
          <cell r="M111">
            <v>9.7560975609756101E-2</v>
          </cell>
          <cell r="N111">
            <v>0.17394560648392859</v>
          </cell>
          <cell r="O111">
            <v>0.27272727272727271</v>
          </cell>
          <cell r="P111">
            <v>7.6923076923076927E-2</v>
          </cell>
          <cell r="Q111">
            <v>0</v>
          </cell>
          <cell r="R111">
            <v>0.11655011655011654</v>
          </cell>
        </row>
        <row r="112">
          <cell r="A112">
            <v>1735</v>
          </cell>
          <cell r="B112" t="str">
            <v>ST JEAN DE LUZ</v>
          </cell>
          <cell r="C112">
            <v>5.5118110236220472E-2</v>
          </cell>
          <cell r="D112">
            <v>0.11594202898550725</v>
          </cell>
          <cell r="E112">
            <v>8.553006961086386E-2</v>
          </cell>
          <cell r="F112">
            <v>0.20551912568306011</v>
          </cell>
          <cell r="G112">
            <v>0.10178117048346055</v>
          </cell>
          <cell r="H112">
            <v>0.15365014808326033</v>
          </cell>
          <cell r="I112">
            <v>0.21118012422360249</v>
          </cell>
          <cell r="J112">
            <v>0.21428571428571427</v>
          </cell>
          <cell r="K112">
            <v>0.21273291925465837</v>
          </cell>
          <cell r="L112">
            <v>0.37061973413218496</v>
          </cell>
          <cell r="M112">
            <v>0.16346153846153846</v>
          </cell>
          <cell r="N112">
            <v>0.2670406362968617</v>
          </cell>
          <cell r="O112">
            <v>0.16666666666666666</v>
          </cell>
          <cell r="P112">
            <v>0.16129032258064516</v>
          </cell>
          <cell r="Q112">
            <v>0.125</v>
          </cell>
          <cell r="R112">
            <v>0.15098566308243727</v>
          </cell>
        </row>
        <row r="113">
          <cell r="A113">
            <v>51738</v>
          </cell>
          <cell r="B113" t="str">
            <v>Multisite ANGLET</v>
          </cell>
          <cell r="C113">
            <v>0.13690476190476192</v>
          </cell>
          <cell r="D113">
            <v>0.16326530612244897</v>
          </cell>
          <cell r="E113">
            <v>0.15008503401360546</v>
          </cell>
          <cell r="F113">
            <v>0.10144128113879003</v>
          </cell>
          <cell r="G113">
            <v>0.10826771653543307</v>
          </cell>
          <cell r="H113">
            <v>0.10485449883711155</v>
          </cell>
          <cell r="I113">
            <v>0.100418410041841</v>
          </cell>
          <cell r="J113">
            <v>9.8484848484848481E-2</v>
          </cell>
          <cell r="K113">
            <v>9.9451629263344749E-2</v>
          </cell>
          <cell r="L113">
            <v>0.1968654738237243</v>
          </cell>
          <cell r="M113">
            <v>9.3959731543624164E-2</v>
          </cell>
          <cell r="N113">
            <v>0.14541260268367423</v>
          </cell>
          <cell r="O113">
            <v>0.17647058823529413</v>
          </cell>
          <cell r="P113">
            <v>0.21621621621621623</v>
          </cell>
          <cell r="Q113">
            <v>0</v>
          </cell>
          <cell r="R113">
            <v>0.1308956014838368</v>
          </cell>
        </row>
        <row r="114">
          <cell r="A114">
            <v>1738</v>
          </cell>
          <cell r="B114" t="str">
            <v>ANGLET</v>
          </cell>
          <cell r="C114">
            <v>0.18279569892473119</v>
          </cell>
          <cell r="D114">
            <v>0.16666666666666666</v>
          </cell>
          <cell r="E114">
            <v>0.17473118279569894</v>
          </cell>
          <cell r="F114">
            <v>8.7467057101024898E-2</v>
          </cell>
          <cell r="G114">
            <v>0.11858974358974358</v>
          </cell>
          <cell r="H114">
            <v>0.10302840034538424</v>
          </cell>
          <cell r="I114">
            <v>6.8965517241379309E-2</v>
          </cell>
          <cell r="J114">
            <v>7.792207792207792E-2</v>
          </cell>
          <cell r="K114">
            <v>7.3443797581728615E-2</v>
          </cell>
          <cell r="L114">
            <v>0.20317044793484584</v>
          </cell>
          <cell r="M114">
            <v>6.5934065934065936E-2</v>
          </cell>
          <cell r="N114">
            <v>0.13455225693445588</v>
          </cell>
          <cell r="O114">
            <v>0.21739130434782608</v>
          </cell>
          <cell r="P114">
            <v>0.24</v>
          </cell>
          <cell r="Q114">
            <v>0</v>
          </cell>
          <cell r="R114">
            <v>0.15246376811594201</v>
          </cell>
        </row>
        <row r="115">
          <cell r="A115">
            <v>1754</v>
          </cell>
          <cell r="B115" t="str">
            <v>ANGLET ERDIAN</v>
          </cell>
          <cell r="C115">
            <v>2.7777777777777776E-2</v>
          </cell>
          <cell r="D115">
            <v>0.10526315789473684</v>
          </cell>
          <cell r="E115">
            <v>6.6520467836257313E-2</v>
          </cell>
          <cell r="F115">
            <v>8.924485125858124E-2</v>
          </cell>
          <cell r="G115">
            <v>5.3191489361702128E-2</v>
          </cell>
          <cell r="H115">
            <v>7.1218170310141687E-2</v>
          </cell>
          <cell r="I115">
            <v>9.0909090909090912E-2</v>
          </cell>
          <cell r="J115">
            <v>3.7037037037037035E-2</v>
          </cell>
          <cell r="K115">
            <v>6.3973063973063973E-2</v>
          </cell>
          <cell r="L115">
            <v>0.18253424657534245</v>
          </cell>
          <cell r="M115">
            <v>3.4482758620689655E-2</v>
          </cell>
          <cell r="N115">
            <v>0.10850850259801606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</row>
        <row r="116">
          <cell r="A116">
            <v>1755</v>
          </cell>
          <cell r="B116" t="str">
            <v>USTARITZ</v>
          </cell>
          <cell r="C116">
            <v>0.12820512820512819</v>
          </cell>
          <cell r="D116">
            <v>0.21052631578947367</v>
          </cell>
          <cell r="E116">
            <v>0.16936572199730093</v>
          </cell>
          <cell r="F116">
            <v>0.15631460674157305</v>
          </cell>
          <cell r="G116">
            <v>0.12745098039215685</v>
          </cell>
          <cell r="H116">
            <v>0.14188279356686495</v>
          </cell>
          <cell r="I116">
            <v>0.2</v>
          </cell>
          <cell r="J116">
            <v>0.21428571428571427</v>
          </cell>
          <cell r="K116">
            <v>0.20714285714285713</v>
          </cell>
          <cell r="L116">
            <v>0.17049504950495048</v>
          </cell>
          <cell r="M116">
            <v>0.2413793103448276</v>
          </cell>
          <cell r="N116">
            <v>0.20593717992488902</v>
          </cell>
          <cell r="O116">
            <v>0.14285714285714285</v>
          </cell>
          <cell r="P116">
            <v>0.2857142857142857</v>
          </cell>
          <cell r="Q116">
            <v>0</v>
          </cell>
          <cell r="R116">
            <v>0.14285714285714285</v>
          </cell>
        </row>
        <row r="117">
          <cell r="A117">
            <v>1743</v>
          </cell>
          <cell r="B117" t="str">
            <v>CAMBO LES BAINS</v>
          </cell>
          <cell r="C117">
            <v>0.10204081632653061</v>
          </cell>
          <cell r="D117">
            <v>0.12903225806451613</v>
          </cell>
          <cell r="E117">
            <v>0.11553653719552337</v>
          </cell>
          <cell r="F117">
            <v>0.23302898550724638</v>
          </cell>
          <cell r="G117">
            <v>0.1032258064516129</v>
          </cell>
          <cell r="H117">
            <v>0.16812739597942963</v>
          </cell>
          <cell r="I117">
            <v>5.2631578947368418E-2</v>
          </cell>
          <cell r="J117">
            <v>5.2631578947368418E-2</v>
          </cell>
          <cell r="K117">
            <v>5.2631578947368418E-2</v>
          </cell>
          <cell r="L117">
            <v>0.2256541019955654</v>
          </cell>
          <cell r="M117">
            <v>0.15909090909090909</v>
          </cell>
          <cell r="N117">
            <v>0.19237250554323726</v>
          </cell>
          <cell r="O117">
            <v>0.16666666666666666</v>
          </cell>
          <cell r="P117">
            <v>0</v>
          </cell>
          <cell r="Q117">
            <v>0</v>
          </cell>
          <cell r="R117">
            <v>5.5555555555555552E-2</v>
          </cell>
        </row>
        <row r="118">
          <cell r="A118">
            <v>43787</v>
          </cell>
          <cell r="B118" t="str">
            <v>DGA LANDES SUD</v>
          </cell>
          <cell r="C118">
            <v>0.10869565217391304</v>
          </cell>
          <cell r="D118">
            <v>0.14469453376205788</v>
          </cell>
          <cell r="E118">
            <v>0.12669509296798545</v>
          </cell>
          <cell r="F118">
            <v>0.11552953813104189</v>
          </cell>
          <cell r="G118">
            <v>8.6217008797653955E-2</v>
          </cell>
          <cell r="H118">
            <v>0.10087327346434792</v>
          </cell>
          <cell r="I118">
            <v>0.14358974358974358</v>
          </cell>
          <cell r="J118">
            <v>8.7912087912087919E-2</v>
          </cell>
          <cell r="K118">
            <v>0.11575091575091576</v>
          </cell>
          <cell r="L118">
            <v>0.12093150880193856</v>
          </cell>
          <cell r="M118">
            <v>9.9547511312217188E-2</v>
          </cell>
          <cell r="N118">
            <v>0.11023951005707788</v>
          </cell>
          <cell r="O118">
            <v>0.14285714285714285</v>
          </cell>
          <cell r="P118">
            <v>0.21348314606741572</v>
          </cell>
          <cell r="Q118">
            <v>8.1081081081081086E-2</v>
          </cell>
          <cell r="R118">
            <v>0.14580712333521323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1</v>
          </cell>
          <cell r="X118">
            <v>500</v>
          </cell>
        </row>
        <row r="119">
          <cell r="A119">
            <v>51732</v>
          </cell>
          <cell r="B119" t="str">
            <v>Multisite DAX</v>
          </cell>
          <cell r="C119">
            <v>0.12121212121212122</v>
          </cell>
          <cell r="D119">
            <v>0.15384615384615385</v>
          </cell>
          <cell r="E119">
            <v>0.13752913752913754</v>
          </cell>
          <cell r="F119">
            <v>8.5209766925638183E-2</v>
          </cell>
          <cell r="G119">
            <v>8.5910652920962199E-2</v>
          </cell>
          <cell r="H119">
            <v>8.5560209923300184E-2</v>
          </cell>
          <cell r="I119">
            <v>0.12090680100755667</v>
          </cell>
          <cell r="J119">
            <v>6.5217391304347824E-2</v>
          </cell>
          <cell r="K119">
            <v>9.3062096155952248E-2</v>
          </cell>
          <cell r="L119">
            <v>0.10732265150536245</v>
          </cell>
          <cell r="M119">
            <v>6.8181818181818177E-2</v>
          </cell>
          <cell r="N119">
            <v>8.7752234843590321E-2</v>
          </cell>
          <cell r="O119">
            <v>0.11475409836065574</v>
          </cell>
          <cell r="P119">
            <v>0.28000000000000003</v>
          </cell>
          <cell r="Q119">
            <v>0</v>
          </cell>
          <cell r="R119">
            <v>0.13158469945355192</v>
          </cell>
        </row>
        <row r="120">
          <cell r="A120">
            <v>1732</v>
          </cell>
          <cell r="B120" t="str">
            <v>DAX</v>
          </cell>
          <cell r="C120">
            <v>0.14788732394366197</v>
          </cell>
          <cell r="D120">
            <v>0.18085106382978725</v>
          </cell>
          <cell r="E120">
            <v>0.16436919388672461</v>
          </cell>
          <cell r="F120">
            <v>6.8843866171003715E-2</v>
          </cell>
          <cell r="G120">
            <v>8.6538461538461536E-2</v>
          </cell>
          <cell r="H120">
            <v>7.7691163854732626E-2</v>
          </cell>
          <cell r="I120">
            <v>0.1228813559322034</v>
          </cell>
          <cell r="J120">
            <v>9.90990990990991E-2</v>
          </cell>
          <cell r="K120">
            <v>0.11099022751565124</v>
          </cell>
          <cell r="L120">
            <v>8.8157580580978917E-2</v>
          </cell>
          <cell r="M120">
            <v>9.8484848484848481E-2</v>
          </cell>
          <cell r="N120">
            <v>9.3321214532913699E-2</v>
          </cell>
          <cell r="O120">
            <v>7.6923076923076927E-2</v>
          </cell>
          <cell r="P120">
            <v>0.36</v>
          </cell>
          <cell r="Q120">
            <v>0</v>
          </cell>
          <cell r="R120">
            <v>0.14564102564102563</v>
          </cell>
        </row>
        <row r="121">
          <cell r="A121">
            <v>1742</v>
          </cell>
          <cell r="B121" t="str">
            <v>PEYREHORADE</v>
          </cell>
          <cell r="C121">
            <v>8.1081081081081086E-2</v>
          </cell>
          <cell r="D121">
            <v>0.14814814814814814</v>
          </cell>
          <cell r="E121">
            <v>0.11461461461461461</v>
          </cell>
          <cell r="F121">
            <v>5.5560000000000005E-2</v>
          </cell>
          <cell r="G121">
            <v>8.8050314465408799E-2</v>
          </cell>
          <cell r="H121">
            <v>7.1805157232704406E-2</v>
          </cell>
          <cell r="I121">
            <v>0.1</v>
          </cell>
          <cell r="J121">
            <v>0</v>
          </cell>
          <cell r="K121">
            <v>0.05</v>
          </cell>
          <cell r="L121">
            <v>0.23084065244667501</v>
          </cell>
          <cell r="M121">
            <v>0</v>
          </cell>
          <cell r="N121">
            <v>0.1154203262233375</v>
          </cell>
          <cell r="O121">
            <v>0.25</v>
          </cell>
          <cell r="P121">
            <v>8.3333333333333329E-2</v>
          </cell>
          <cell r="Q121">
            <v>0</v>
          </cell>
          <cell r="R121">
            <v>0.1111111111111111</v>
          </cell>
        </row>
        <row r="122">
          <cell r="A122">
            <v>1745</v>
          </cell>
          <cell r="B122" t="str">
            <v>SAINT PAUL LES DAX</v>
          </cell>
          <cell r="C122">
            <v>7.6923076923076927E-2</v>
          </cell>
          <cell r="D122">
            <v>8.5714285714285715E-2</v>
          </cell>
          <cell r="E122">
            <v>8.1318681318681321E-2</v>
          </cell>
          <cell r="F122">
            <v>0.14742723004694835</v>
          </cell>
          <cell r="G122">
            <v>8.247422680412371E-2</v>
          </cell>
          <cell r="H122">
            <v>0.11495072842553603</v>
          </cell>
          <cell r="I122">
            <v>0.13186813186813187</v>
          </cell>
          <cell r="J122">
            <v>2.3809523809523808E-2</v>
          </cell>
          <cell r="K122">
            <v>7.783882783882784E-2</v>
          </cell>
          <cell r="L122">
            <v>0.10621607515657619</v>
          </cell>
          <cell r="M122">
            <v>3.9215686274509803E-2</v>
          </cell>
          <cell r="N122">
            <v>7.2715880715542996E-2</v>
          </cell>
          <cell r="O122">
            <v>0.14285714285714285</v>
          </cell>
          <cell r="P122">
            <v>0.15384615384615385</v>
          </cell>
          <cell r="Q122">
            <v>0</v>
          </cell>
          <cell r="R122">
            <v>9.8901098901098897E-2</v>
          </cell>
        </row>
        <row r="123">
          <cell r="A123">
            <v>51746</v>
          </cell>
          <cell r="B123" t="str">
            <v>Multisite CAPBRETON</v>
          </cell>
          <cell r="C123">
            <v>9.606986899563319E-2</v>
          </cell>
          <cell r="D123">
            <v>0.13461538461538461</v>
          </cell>
          <cell r="E123">
            <v>0.1153426268055089</v>
          </cell>
          <cell r="F123">
            <v>0.14395629552549427</v>
          </cell>
          <cell r="G123">
            <v>8.6538461538461536E-2</v>
          </cell>
          <cell r="H123">
            <v>0.1152473785319779</v>
          </cell>
          <cell r="I123">
            <v>0.16</v>
          </cell>
          <cell r="J123">
            <v>0.1111111111111111</v>
          </cell>
          <cell r="K123">
            <v>0.13555555555555554</v>
          </cell>
          <cell r="L123">
            <v>0.13912945711532285</v>
          </cell>
          <cell r="M123">
            <v>0.13063063063063063</v>
          </cell>
          <cell r="N123">
            <v>0.13488004387297675</v>
          </cell>
          <cell r="O123">
            <v>0.17647058823529413</v>
          </cell>
          <cell r="P123">
            <v>0.30909090909090908</v>
          </cell>
          <cell r="Q123">
            <v>0.1875</v>
          </cell>
          <cell r="R123">
            <v>0.22435383244206775</v>
          </cell>
        </row>
        <row r="124">
          <cell r="A124">
            <v>1740</v>
          </cell>
          <cell r="B124" t="str">
            <v>TARNOS</v>
          </cell>
          <cell r="C124">
            <v>5.6338028169014086E-2</v>
          </cell>
          <cell r="D124">
            <v>0.13207547169811321</v>
          </cell>
          <cell r="E124">
            <v>9.4206749933563649E-2</v>
          </cell>
          <cell r="F124">
            <v>0.13604620462046205</v>
          </cell>
          <cell r="G124">
            <v>7.2202166064981949E-2</v>
          </cell>
          <cell r="H124">
            <v>0.104124185342722</v>
          </cell>
          <cell r="I124">
            <v>0.17557251908396945</v>
          </cell>
          <cell r="J124">
            <v>0.14516129032258066</v>
          </cell>
          <cell r="K124">
            <v>0.16036690470327505</v>
          </cell>
          <cell r="L124">
            <v>9.2032293986636968E-2</v>
          </cell>
          <cell r="M124">
            <v>0.19178082191780821</v>
          </cell>
          <cell r="N124">
            <v>0.1419065579522226</v>
          </cell>
          <cell r="O124">
            <v>8.3333333333333329E-2</v>
          </cell>
          <cell r="P124">
            <v>0.44</v>
          </cell>
          <cell r="Q124">
            <v>0.44</v>
          </cell>
          <cell r="R124">
            <v>0.32111111111111112</v>
          </cell>
        </row>
        <row r="125">
          <cell r="A125">
            <v>1746</v>
          </cell>
          <cell r="B125" t="str">
            <v>CAPBRETON</v>
          </cell>
          <cell r="C125">
            <v>1.1363636363636364E-2</v>
          </cell>
          <cell r="D125">
            <v>0.22413793103448276</v>
          </cell>
          <cell r="E125">
            <v>0.11775078369905956</v>
          </cell>
          <cell r="F125">
            <v>0.16856423173803528</v>
          </cell>
          <cell r="G125">
            <v>9.657320872274143E-2</v>
          </cell>
          <cell r="H125">
            <v>0.13256872023038835</v>
          </cell>
          <cell r="I125">
            <v>0.14838709677419354</v>
          </cell>
          <cell r="J125">
            <v>6.0606060606060608E-2</v>
          </cell>
          <cell r="K125">
            <v>0.10449657869012707</v>
          </cell>
          <cell r="L125">
            <v>0.1332550631053713</v>
          </cell>
          <cell r="M125">
            <v>0.10588235294117647</v>
          </cell>
          <cell r="N125">
            <v>0.11956870802327388</v>
          </cell>
          <cell r="O125">
            <v>0.16666666666666666</v>
          </cell>
          <cell r="P125">
            <v>0.43333333333333335</v>
          </cell>
          <cell r="Q125">
            <v>0.125</v>
          </cell>
          <cell r="R125">
            <v>0.24166666666666667</v>
          </cell>
        </row>
        <row r="126">
          <cell r="A126">
            <v>1753</v>
          </cell>
          <cell r="B126" t="str">
            <v>SAINT VINCENT DE TYROSSE</v>
          </cell>
          <cell r="C126">
            <v>0.24285714285714285</v>
          </cell>
          <cell r="D126">
            <v>2.2222222222222223E-2</v>
          </cell>
          <cell r="E126">
            <v>0.13253968253968254</v>
          </cell>
          <cell r="F126">
            <v>0.11570881226053639</v>
          </cell>
          <cell r="G126">
            <v>8.9743589743589744E-2</v>
          </cell>
          <cell r="H126">
            <v>0.10272620100206306</v>
          </cell>
          <cell r="I126">
            <v>0.15789473684210525</v>
          </cell>
          <cell r="J126">
            <v>0.13461538461538461</v>
          </cell>
          <cell r="K126">
            <v>0.14625506072874495</v>
          </cell>
          <cell r="L126">
            <v>0.24137829912023462</v>
          </cell>
          <cell r="M126">
            <v>9.375E-2</v>
          </cell>
          <cell r="N126">
            <v>0.16756414956011731</v>
          </cell>
          <cell r="O126">
            <v>0.26666666666666666</v>
          </cell>
          <cell r="P126">
            <v>0</v>
          </cell>
          <cell r="Q126">
            <v>0</v>
          </cell>
          <cell r="R126">
            <v>8.8888888888888892E-2</v>
          </cell>
        </row>
        <row r="127">
          <cell r="A127">
            <v>43804</v>
          </cell>
          <cell r="B127" t="str">
            <v>DGA VIENNE</v>
          </cell>
          <cell r="C127">
            <v>0.10571428571428572</v>
          </cell>
          <cell r="D127">
            <v>0.11455847255369929</v>
          </cell>
          <cell r="E127">
            <v>0.1101363791339925</v>
          </cell>
          <cell r="F127">
            <v>9.4733059548254631E-2</v>
          </cell>
          <cell r="G127">
            <v>9.9422991566799818E-2</v>
          </cell>
          <cell r="H127">
            <v>9.7078025557527231E-2</v>
          </cell>
          <cell r="I127">
            <v>0.10232558139534884</v>
          </cell>
          <cell r="J127">
            <v>0.12035398230088495</v>
          </cell>
          <cell r="K127">
            <v>0.11133978184811689</v>
          </cell>
          <cell r="L127">
            <v>0.16747696879643387</v>
          </cell>
          <cell r="M127">
            <v>0.2556237218813906</v>
          </cell>
          <cell r="N127">
            <v>0.21155034533891223</v>
          </cell>
          <cell r="O127">
            <v>0.11403508771929824</v>
          </cell>
          <cell r="P127">
            <v>0.13186813186813187</v>
          </cell>
          <cell r="Q127">
            <v>0.14705882352941177</v>
          </cell>
          <cell r="R127">
            <v>0.13098734770561396</v>
          </cell>
          <cell r="S127">
            <v>0</v>
          </cell>
          <cell r="T127">
            <v>0</v>
          </cell>
          <cell r="U127">
            <v>0</v>
          </cell>
          <cell r="V127">
            <v>1</v>
          </cell>
          <cell r="W127">
            <v>1</v>
          </cell>
          <cell r="X127">
            <v>1000</v>
          </cell>
        </row>
        <row r="128">
          <cell r="A128">
            <v>57800</v>
          </cell>
          <cell r="B128" t="str">
            <v>Multisite POITIERS</v>
          </cell>
          <cell r="C128">
            <v>0.11254019292604502</v>
          </cell>
          <cell r="D128">
            <v>0.11377245508982035</v>
          </cell>
          <cell r="E128">
            <v>0.11315632400793268</v>
          </cell>
          <cell r="F128">
            <v>8.5850632911392402E-2</v>
          </cell>
          <cell r="G128">
            <v>8.8648648648648645E-2</v>
          </cell>
          <cell r="H128">
            <v>8.7249640780020524E-2</v>
          </cell>
          <cell r="I128">
            <v>0.10238095238095238</v>
          </cell>
          <cell r="J128">
            <v>0.10666666666666667</v>
          </cell>
          <cell r="K128">
            <v>0.10452380952380952</v>
          </cell>
          <cell r="L128">
            <v>0.20844969199178645</v>
          </cell>
          <cell r="M128">
            <v>0.2233502538071066</v>
          </cell>
          <cell r="N128">
            <v>0.21589997289944651</v>
          </cell>
          <cell r="O128">
            <v>0.13333333333333333</v>
          </cell>
          <cell r="P128">
            <v>0.35135135135135137</v>
          </cell>
          <cell r="Q128">
            <v>7.1428571428571425E-2</v>
          </cell>
          <cell r="R128">
            <v>0.18537108537108538</v>
          </cell>
        </row>
        <row r="129">
          <cell r="A129">
            <v>7800</v>
          </cell>
          <cell r="B129" t="str">
            <v>POITIERS</v>
          </cell>
          <cell r="C129">
            <v>0.10843373493975904</v>
          </cell>
          <cell r="D129">
            <v>8.1967213114754092E-2</v>
          </cell>
          <cell r="E129">
            <v>9.5200474027256565E-2</v>
          </cell>
          <cell r="F129">
            <v>8.2521428571428579E-2</v>
          </cell>
          <cell r="G129">
            <v>0.10101010101010101</v>
          </cell>
          <cell r="H129">
            <v>9.1765764790764787E-2</v>
          </cell>
          <cell r="I129">
            <v>6.0200668896321072E-2</v>
          </cell>
          <cell r="J129">
            <v>0.12121212121212122</v>
          </cell>
          <cell r="K129">
            <v>9.0706395054221151E-2</v>
          </cell>
          <cell r="L129">
            <v>0.26429778072209342</v>
          </cell>
          <cell r="M129">
            <v>0.26174496644295303</v>
          </cell>
          <cell r="N129">
            <v>0.2630213735825232</v>
          </cell>
          <cell r="O129">
            <v>0.14285714285714285</v>
          </cell>
          <cell r="P129">
            <v>0.38461538461538464</v>
          </cell>
          <cell r="Q129">
            <v>8.3333333333333329E-2</v>
          </cell>
          <cell r="R129">
            <v>0.20360195360195363</v>
          </cell>
        </row>
        <row r="130">
          <cell r="A130">
            <v>7839</v>
          </cell>
          <cell r="B130" t="str">
            <v>POITIERS LIBERATION</v>
          </cell>
          <cell r="C130">
            <v>0.12903225806451613</v>
          </cell>
          <cell r="D130">
            <v>0.2</v>
          </cell>
          <cell r="E130">
            <v>0.16451612903225807</v>
          </cell>
          <cell r="F130">
            <v>9.3965217391304354E-2</v>
          </cell>
          <cell r="G130">
            <v>5.1724137931034482E-2</v>
          </cell>
          <cell r="H130">
            <v>7.2844677661169421E-2</v>
          </cell>
          <cell r="I130">
            <v>0.20661157024793389</v>
          </cell>
          <cell r="J130">
            <v>6.6666666666666666E-2</v>
          </cell>
          <cell r="K130">
            <v>0.13663911845730028</v>
          </cell>
          <cell r="L130">
            <v>1.6191562143671605E-2</v>
          </cell>
          <cell r="M130">
            <v>0.10416666666666667</v>
          </cell>
          <cell r="N130">
            <v>6.017911440516914E-2</v>
          </cell>
          <cell r="O130">
            <v>0.1</v>
          </cell>
          <cell r="P130">
            <v>0.27272727272727271</v>
          </cell>
          <cell r="Q130">
            <v>0</v>
          </cell>
          <cell r="R130">
            <v>0.12424242424242422</v>
          </cell>
        </row>
        <row r="131">
          <cell r="A131">
            <v>7831</v>
          </cell>
          <cell r="B131" t="str">
            <v>CHATELLERAULT</v>
          </cell>
          <cell r="C131">
            <v>0.11029411764705882</v>
          </cell>
          <cell r="D131">
            <v>9.0909090909090912E-2</v>
          </cell>
          <cell r="E131">
            <v>0.10060160427807487</v>
          </cell>
          <cell r="F131">
            <v>0.13591355599214144</v>
          </cell>
          <cell r="G131">
            <v>0.11272727272727273</v>
          </cell>
          <cell r="H131">
            <v>0.12432041435970709</v>
          </cell>
          <cell r="I131">
            <v>0.1</v>
          </cell>
          <cell r="J131">
            <v>0.15107913669064749</v>
          </cell>
          <cell r="K131">
            <v>0.12553956834532376</v>
          </cell>
          <cell r="L131">
            <v>9.7790583619421292E-2</v>
          </cell>
          <cell r="M131">
            <v>0.4</v>
          </cell>
          <cell r="N131">
            <v>0.24889529180971065</v>
          </cell>
          <cell r="O131">
            <v>0.15217391304347827</v>
          </cell>
          <cell r="P131">
            <v>0.18421052631578946</v>
          </cell>
          <cell r="Q131">
            <v>6.6666666666666666E-2</v>
          </cell>
          <cell r="R131">
            <v>0.13435036867531147</v>
          </cell>
        </row>
        <row r="132">
          <cell r="A132">
            <v>57836</v>
          </cell>
          <cell r="B132" t="str">
            <v>Multisite POITIERS PROVENCE</v>
          </cell>
          <cell r="C132">
            <v>9.4861660079051377E-2</v>
          </cell>
          <cell r="D132">
            <v>0.13286713286713286</v>
          </cell>
          <cell r="E132">
            <v>0.11386439647309213</v>
          </cell>
          <cell r="F132">
            <v>7.3251155624036973E-2</v>
          </cell>
          <cell r="G132">
            <v>0.10282776349614396</v>
          </cell>
          <cell r="H132">
            <v>8.8039459560090461E-2</v>
          </cell>
          <cell r="I132">
            <v>9.9737532808398949E-2</v>
          </cell>
          <cell r="J132">
            <v>0.11442786069651742</v>
          </cell>
          <cell r="K132">
            <v>0.10708269675245818</v>
          </cell>
          <cell r="L132">
            <v>0.16329771933429216</v>
          </cell>
          <cell r="M132">
            <v>0.18562874251497005</v>
          </cell>
          <cell r="N132">
            <v>0.17446323092463112</v>
          </cell>
          <cell r="O132">
            <v>0</v>
          </cell>
          <cell r="P132">
            <v>0.18181818181818182</v>
          </cell>
          <cell r="Q132">
            <v>0.42857142857142855</v>
          </cell>
          <cell r="R132">
            <v>0.20346320346320346</v>
          </cell>
        </row>
        <row r="133">
          <cell r="A133">
            <v>7802</v>
          </cell>
          <cell r="B133" t="str">
            <v>NEUVILLE DE POITOU</v>
          </cell>
          <cell r="C133">
            <v>4.4444444444444446E-2</v>
          </cell>
          <cell r="D133">
            <v>0.12903225806451613</v>
          </cell>
          <cell r="E133">
            <v>8.6738351254480289E-2</v>
          </cell>
          <cell r="F133">
            <v>0.10224181360201512</v>
          </cell>
          <cell r="G133">
            <v>7.0512820512820512E-2</v>
          </cell>
          <cell r="H133">
            <v>8.6377317057417816E-2</v>
          </cell>
          <cell r="I133">
            <v>0.1744186046511628</v>
          </cell>
          <cell r="J133">
            <v>0.2558139534883721</v>
          </cell>
          <cell r="K133">
            <v>0.21511627906976744</v>
          </cell>
          <cell r="L133">
            <v>0.17513227513227514</v>
          </cell>
          <cell r="M133">
            <v>0.14705882352941177</v>
          </cell>
          <cell r="N133">
            <v>0.16109554933084347</v>
          </cell>
          <cell r="O133">
            <v>0</v>
          </cell>
          <cell r="P133">
            <v>0.25</v>
          </cell>
          <cell r="Q133">
            <v>0</v>
          </cell>
          <cell r="R133">
            <v>8.3333333333333329E-2</v>
          </cell>
        </row>
        <row r="134">
          <cell r="A134">
            <v>7832</v>
          </cell>
          <cell r="B134" t="str">
            <v>POITIERS BEAULIEU</v>
          </cell>
          <cell r="C134">
            <v>0.1076923076923077</v>
          </cell>
          <cell r="D134">
            <v>0.12698412698412698</v>
          </cell>
          <cell r="E134">
            <v>0.11733821733821734</v>
          </cell>
          <cell r="F134">
            <v>6.1051073279052556E-2</v>
          </cell>
          <cell r="G134">
            <v>0.11178247734138973</v>
          </cell>
          <cell r="H134">
            <v>8.6416775310221142E-2</v>
          </cell>
          <cell r="I134">
            <v>9.7560975609756101E-2</v>
          </cell>
          <cell r="J134">
            <v>8.2352941176470587E-2</v>
          </cell>
          <cell r="K134">
            <v>8.9956958393113351E-2</v>
          </cell>
          <cell r="L134">
            <v>0.1571731585036637</v>
          </cell>
          <cell r="M134">
            <v>0.22388059701492538</v>
          </cell>
          <cell r="N134">
            <v>0.19052687775929456</v>
          </cell>
          <cell r="O134">
            <v>0</v>
          </cell>
          <cell r="P134">
            <v>0.16666666666666666</v>
          </cell>
          <cell r="Q134">
            <v>0.44</v>
          </cell>
          <cell r="R134">
            <v>0.20222222222222222</v>
          </cell>
        </row>
        <row r="135">
          <cell r="A135">
            <v>7836</v>
          </cell>
          <cell r="B135" t="str">
            <v>POITIERS PROVENCE</v>
          </cell>
          <cell r="C135">
            <v>0.10256410256410256</v>
          </cell>
          <cell r="D135">
            <v>0.14285714285714285</v>
          </cell>
          <cell r="E135">
            <v>0.1227106227106227</v>
          </cell>
          <cell r="F135">
            <v>6.7309090909090916E-2</v>
          </cell>
          <cell r="G135">
            <v>0.10996563573883161</v>
          </cell>
          <cell r="H135">
            <v>8.8637363323961271E-2</v>
          </cell>
          <cell r="I135">
            <v>5.3435114503816793E-2</v>
          </cell>
          <cell r="J135">
            <v>6.8493150684931503E-2</v>
          </cell>
          <cell r="K135">
            <v>6.0964132594374151E-2</v>
          </cell>
          <cell r="L135">
            <v>0.16683972911963882</v>
          </cell>
          <cell r="M135">
            <v>0.16666666666666666</v>
          </cell>
          <cell r="N135">
            <v>0.16675319789315274</v>
          </cell>
          <cell r="O135">
            <v>0</v>
          </cell>
          <cell r="P135">
            <v>0.16666666666666666</v>
          </cell>
          <cell r="Q135">
            <v>0.44</v>
          </cell>
          <cell r="R135">
            <v>0.20222222222222222</v>
          </cell>
        </row>
        <row r="136">
          <cell r="A136">
            <v>43812</v>
          </cell>
          <cell r="B136" t="str">
            <v>DGA PAYS ROCHELAIS DEUX SEVRES</v>
          </cell>
          <cell r="C136">
            <v>0.12023121387283237</v>
          </cell>
          <cell r="D136">
            <v>0.125</v>
          </cell>
          <cell r="E136">
            <v>0.12261560693641618</v>
          </cell>
          <cell r="F136">
            <v>0.10631753889674682</v>
          </cell>
          <cell r="G136">
            <v>0.1053152855727963</v>
          </cell>
          <cell r="H136">
            <v>0.10581641223477156</v>
          </cell>
          <cell r="I136">
            <v>0.10586648685097774</v>
          </cell>
          <cell r="J136">
            <v>6.363636363636363E-2</v>
          </cell>
          <cell r="K136">
            <v>8.4751425243670686E-2</v>
          </cell>
          <cell r="L136">
            <v>0.13696750225157611</v>
          </cell>
          <cell r="M136">
            <v>0.16565349544072949</v>
          </cell>
          <cell r="N136">
            <v>0.1513104988461528</v>
          </cell>
          <cell r="O136">
            <v>0.16993464052287582</v>
          </cell>
          <cell r="P136">
            <v>0.14391143911439114</v>
          </cell>
          <cell r="Q136">
            <v>0.25</v>
          </cell>
          <cell r="R136">
            <v>0.18794869321242233</v>
          </cell>
          <cell r="S136">
            <v>0</v>
          </cell>
          <cell r="T136">
            <v>0</v>
          </cell>
          <cell r="U136">
            <v>0</v>
          </cell>
          <cell r="V136">
            <v>1</v>
          </cell>
          <cell r="W136">
            <v>1</v>
          </cell>
          <cell r="X136">
            <v>1000</v>
          </cell>
        </row>
        <row r="137">
          <cell r="A137">
            <v>55131</v>
          </cell>
          <cell r="B137" t="str">
            <v>Multisite BRESSUIRE</v>
          </cell>
          <cell r="C137">
            <v>5.737704918032787E-2</v>
          </cell>
          <cell r="D137">
            <v>8.3333333333333329E-2</v>
          </cell>
          <cell r="E137">
            <v>7.0355191256830596E-2</v>
          </cell>
          <cell r="F137">
            <v>0.18242349048800663</v>
          </cell>
          <cell r="G137">
            <v>0.10874200426439233</v>
          </cell>
          <cell r="H137">
            <v>0.14558274737619947</v>
          </cell>
          <cell r="I137">
            <v>0.17479674796747968</v>
          </cell>
          <cell r="J137">
            <v>0.12</v>
          </cell>
          <cell r="K137">
            <v>0.14739837398373984</v>
          </cell>
          <cell r="L137">
            <v>0.10426588360918312</v>
          </cell>
          <cell r="M137">
            <v>0.15887850467289719</v>
          </cell>
          <cell r="N137">
            <v>0.13157219414104016</v>
          </cell>
          <cell r="O137">
            <v>6.25E-2</v>
          </cell>
          <cell r="P137">
            <v>0.35714285714285715</v>
          </cell>
          <cell r="Q137">
            <v>0.18181818181818182</v>
          </cell>
          <cell r="R137">
            <v>0.20048701298701299</v>
          </cell>
        </row>
        <row r="138">
          <cell r="A138">
            <v>5131</v>
          </cell>
          <cell r="B138" t="str">
            <v>BRESSUIRE</v>
          </cell>
          <cell r="C138">
            <v>8.5106382978723402E-2</v>
          </cell>
          <cell r="D138">
            <v>6.0606060606060608E-2</v>
          </cell>
          <cell r="E138">
            <v>7.2856221792392012E-2</v>
          </cell>
          <cell r="F138">
            <v>0.31624365482233502</v>
          </cell>
          <cell r="G138">
            <v>0.11666666666666667</v>
          </cell>
          <cell r="H138">
            <v>0.21645516074450083</v>
          </cell>
          <cell r="I138">
            <v>0.14893617021276595</v>
          </cell>
          <cell r="J138">
            <v>0.13461538461538461</v>
          </cell>
          <cell r="K138">
            <v>0.14177577741407527</v>
          </cell>
          <cell r="L138">
            <v>8.1493544600938966E-2</v>
          </cell>
          <cell r="M138">
            <v>0.21951219512195122</v>
          </cell>
          <cell r="N138">
            <v>0.15050286986144509</v>
          </cell>
          <cell r="O138">
            <v>0</v>
          </cell>
          <cell r="P138">
            <v>0.4</v>
          </cell>
          <cell r="Q138">
            <v>0.16666666666666666</v>
          </cell>
          <cell r="R138">
            <v>0.18888888888888888</v>
          </cell>
        </row>
        <row r="139">
          <cell r="A139">
            <v>5139</v>
          </cell>
          <cell r="B139" t="str">
            <v>THOUARS</v>
          </cell>
          <cell r="C139">
            <v>2.9411764705882353E-2</v>
          </cell>
          <cell r="D139">
            <v>0.12</v>
          </cell>
          <cell r="E139">
            <v>7.4705882352941178E-2</v>
          </cell>
          <cell r="F139">
            <v>0.10826277372262773</v>
          </cell>
          <cell r="G139">
            <v>0.10638297872340426</v>
          </cell>
          <cell r="H139">
            <v>0.10732287622301599</v>
          </cell>
          <cell r="I139">
            <v>0.16666666666666666</v>
          </cell>
          <cell r="J139">
            <v>0.11764705882352941</v>
          </cell>
          <cell r="K139">
            <v>0.14215686274509803</v>
          </cell>
          <cell r="L139">
            <v>0.12295119182746878</v>
          </cell>
          <cell r="M139">
            <v>9.375E-2</v>
          </cell>
          <cell r="N139">
            <v>0.10835059591373439</v>
          </cell>
          <cell r="O139">
            <v>0</v>
          </cell>
          <cell r="P139">
            <v>0.44</v>
          </cell>
          <cell r="Q139">
            <v>0.44</v>
          </cell>
          <cell r="R139">
            <v>0.29333333333333333</v>
          </cell>
        </row>
        <row r="140">
          <cell r="A140">
            <v>7834</v>
          </cell>
          <cell r="B140" t="str">
            <v>PARTHENAY</v>
          </cell>
          <cell r="C140">
            <v>4.878048780487805E-2</v>
          </cell>
          <cell r="D140">
            <v>7.6923076923076927E-2</v>
          </cell>
          <cell r="E140">
            <v>6.2851782363977482E-2</v>
          </cell>
          <cell r="F140">
            <v>7.4117647058823524E-2</v>
          </cell>
          <cell r="G140">
            <v>0.10135135135135136</v>
          </cell>
          <cell r="H140">
            <v>8.7734499205087441E-2</v>
          </cell>
          <cell r="I140">
            <v>0.21249999999999999</v>
          </cell>
          <cell r="J140">
            <v>0.10256410256410256</v>
          </cell>
          <cell r="K140">
            <v>0.15753205128205128</v>
          </cell>
          <cell r="L140">
            <v>0.15024812030075188</v>
          </cell>
          <cell r="M140">
            <v>0.14705882352941177</v>
          </cell>
          <cell r="N140">
            <v>0.14865347191508183</v>
          </cell>
          <cell r="O140">
            <v>0.18181818181818182</v>
          </cell>
          <cell r="P140">
            <v>0.14285714285714285</v>
          </cell>
          <cell r="Q140">
            <v>0</v>
          </cell>
          <cell r="R140">
            <v>0.10822510822510822</v>
          </cell>
        </row>
        <row r="141">
          <cell r="A141">
            <v>57833</v>
          </cell>
          <cell r="B141" t="str">
            <v>Multisite NIORT</v>
          </cell>
          <cell r="C141">
            <v>6.6298342541436461E-2</v>
          </cell>
          <cell r="D141">
            <v>0.11304347826086956</v>
          </cell>
          <cell r="E141">
            <v>8.967091040115302E-2</v>
          </cell>
          <cell r="F141">
            <v>7.2960912052117272E-2</v>
          </cell>
          <cell r="G141">
            <v>9.4017094017094016E-2</v>
          </cell>
          <cell r="H141">
            <v>8.3489003034605644E-2</v>
          </cell>
          <cell r="I141">
            <v>0.11549295774647887</v>
          </cell>
          <cell r="J141">
            <v>6.5934065934065936E-2</v>
          </cell>
          <cell r="K141">
            <v>9.0713511840272404E-2</v>
          </cell>
          <cell r="L141">
            <v>0.16903467666354266</v>
          </cell>
          <cell r="M141">
            <v>0.19745222929936307</v>
          </cell>
          <cell r="N141">
            <v>0.18324345298145286</v>
          </cell>
          <cell r="O141">
            <v>0.12121212121212122</v>
          </cell>
          <cell r="P141">
            <v>0.14814814814814814</v>
          </cell>
          <cell r="Q141">
            <v>0.3</v>
          </cell>
          <cell r="R141">
            <v>0.18978675645342311</v>
          </cell>
        </row>
        <row r="142">
          <cell r="A142">
            <v>7833</v>
          </cell>
          <cell r="B142" t="str">
            <v>NIORT</v>
          </cell>
          <cell r="C142">
            <v>7.9365079365079361E-2</v>
          </cell>
          <cell r="D142">
            <v>0.11842105263157894</v>
          </cell>
          <cell r="E142">
            <v>9.8893065998329144E-2</v>
          </cell>
          <cell r="F142">
            <v>7.0954337899543377E-2</v>
          </cell>
          <cell r="G142">
            <v>0.10472279260780287</v>
          </cell>
          <cell r="H142">
            <v>8.7838565253673118E-2</v>
          </cell>
          <cell r="I142">
            <v>0.14814814814814814</v>
          </cell>
          <cell r="J142">
            <v>5.46875E-2</v>
          </cell>
          <cell r="K142">
            <v>0.10141782407407407</v>
          </cell>
          <cell r="L142">
            <v>0.18012566267425878</v>
          </cell>
          <cell r="M142">
            <v>0.17757009345794392</v>
          </cell>
          <cell r="N142">
            <v>0.17884787806610136</v>
          </cell>
          <cell r="O142">
            <v>0.13793103448275862</v>
          </cell>
          <cell r="P142">
            <v>0.18181818181818182</v>
          </cell>
          <cell r="Q142">
            <v>0.33333333333333331</v>
          </cell>
          <cell r="R142">
            <v>0.21769418321142461</v>
          </cell>
        </row>
        <row r="143">
          <cell r="A143">
            <v>7835</v>
          </cell>
          <cell r="B143" t="str">
            <v>SAINT MAIXENT L'ECOLE</v>
          </cell>
          <cell r="C143">
            <v>5.128205128205128E-2</v>
          </cell>
          <cell r="D143">
            <v>0.11538461538461539</v>
          </cell>
          <cell r="E143">
            <v>8.3333333333333343E-2</v>
          </cell>
          <cell r="F143">
            <v>0.10393939393939393</v>
          </cell>
          <cell r="G143">
            <v>8.1081081081081086E-2</v>
          </cell>
          <cell r="H143">
            <v>9.2510237510237514E-2</v>
          </cell>
          <cell r="I143">
            <v>6.4935064935064929E-2</v>
          </cell>
          <cell r="J143">
            <v>9.7560975609756101E-2</v>
          </cell>
          <cell r="K143">
            <v>8.1248020272410515E-2</v>
          </cell>
          <cell r="L143">
            <v>0.18329254727474972</v>
          </cell>
          <cell r="M143">
            <v>0.35294117647058826</v>
          </cell>
          <cell r="N143">
            <v>0.26811686187266898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</row>
        <row r="144">
          <cell r="A144">
            <v>7837</v>
          </cell>
          <cell r="B144" t="str">
            <v>MELLE</v>
          </cell>
          <cell r="C144">
            <v>0</v>
          </cell>
          <cell r="D144">
            <v>7.6923076923076927E-2</v>
          </cell>
          <cell r="E144">
            <v>3.8461538461538464E-2</v>
          </cell>
          <cell r="F144">
            <v>0</v>
          </cell>
          <cell r="G144">
            <v>4.4776119402985072E-2</v>
          </cell>
          <cell r="H144">
            <v>2.2388059701492536E-2</v>
          </cell>
          <cell r="I144">
            <v>0</v>
          </cell>
          <cell r="J144">
            <v>7.6923076923076927E-2</v>
          </cell>
          <cell r="K144">
            <v>3.8461538461538464E-2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</row>
        <row r="145">
          <cell r="A145">
            <v>58100</v>
          </cell>
          <cell r="B145" t="str">
            <v>Multisite LA ROCHELLE</v>
          </cell>
          <cell r="C145">
            <v>0.16376306620209058</v>
          </cell>
          <cell r="D145">
            <v>0.1388888888888889</v>
          </cell>
          <cell r="E145">
            <v>0.15132597754548974</v>
          </cell>
          <cell r="F145">
            <v>0.10597210300429184</v>
          </cell>
          <cell r="G145">
            <v>0.10109018830525272</v>
          </cell>
          <cell r="H145">
            <v>0.10353114565477228</v>
          </cell>
          <cell r="I145">
            <v>6.1630218687872766E-2</v>
          </cell>
          <cell r="J145">
            <v>6.1068702290076333E-2</v>
          </cell>
          <cell r="K145">
            <v>6.134946048897455E-2</v>
          </cell>
          <cell r="L145">
            <v>0.14280536426241391</v>
          </cell>
          <cell r="M145">
            <v>0.14611872146118721</v>
          </cell>
          <cell r="N145">
            <v>0.14446204286180056</v>
          </cell>
          <cell r="O145">
            <v>0.16666666666666666</v>
          </cell>
          <cell r="P145">
            <v>0.26530612244897961</v>
          </cell>
          <cell r="Q145">
            <v>0.41176470588235292</v>
          </cell>
          <cell r="R145">
            <v>0.28124583166599976</v>
          </cell>
        </row>
        <row r="146">
          <cell r="A146">
            <v>8100</v>
          </cell>
          <cell r="B146" t="str">
            <v>LA ROCHELLE</v>
          </cell>
          <cell r="C146">
            <v>0.12280701754385964</v>
          </cell>
          <cell r="D146">
            <v>0.189873417721519</v>
          </cell>
          <cell r="E146">
            <v>0.15634021763268932</v>
          </cell>
          <cell r="F146">
            <v>7.5387681159420281E-2</v>
          </cell>
          <cell r="G146">
            <v>8.8333333333333333E-2</v>
          </cell>
          <cell r="H146">
            <v>8.1860507246376807E-2</v>
          </cell>
          <cell r="I146">
            <v>6.6889632107023408E-2</v>
          </cell>
          <cell r="J146">
            <v>4.5161290322580643E-2</v>
          </cell>
          <cell r="K146">
            <v>5.6025461214802022E-2</v>
          </cell>
          <cell r="L146">
            <v>0.15685197817189631</v>
          </cell>
          <cell r="M146">
            <v>0.13178294573643412</v>
          </cell>
          <cell r="N146">
            <v>0.14431746195416523</v>
          </cell>
          <cell r="O146">
            <v>0.17241379310344829</v>
          </cell>
          <cell r="P146">
            <v>0.39393939393939392</v>
          </cell>
          <cell r="Q146">
            <v>0.44</v>
          </cell>
          <cell r="R146">
            <v>0.33545106234761407</v>
          </cell>
        </row>
        <row r="147">
          <cell r="A147">
            <v>8146</v>
          </cell>
          <cell r="B147" t="str">
            <v>LA ROCHELLE BEL AIR</v>
          </cell>
          <cell r="C147">
            <v>0.22950819672131148</v>
          </cell>
          <cell r="D147">
            <v>7.6923076923076927E-2</v>
          </cell>
          <cell r="E147">
            <v>0.15321563682219419</v>
          </cell>
          <cell r="F147">
            <v>6.3971698113207548E-2</v>
          </cell>
          <cell r="G147">
            <v>0.11864406779661017</v>
          </cell>
          <cell r="H147">
            <v>9.1307882954908853E-2</v>
          </cell>
          <cell r="I147">
            <v>0.05</v>
          </cell>
          <cell r="J147">
            <v>3.2258064516129031E-2</v>
          </cell>
          <cell r="K147">
            <v>4.1129032258064517E-2</v>
          </cell>
          <cell r="L147">
            <v>8.6526772793053541E-2</v>
          </cell>
          <cell r="M147">
            <v>0.22641509433962265</v>
          </cell>
          <cell r="N147">
            <v>0.15647093356633809</v>
          </cell>
          <cell r="O147">
            <v>0.44</v>
          </cell>
          <cell r="P147">
            <v>0</v>
          </cell>
          <cell r="Q147">
            <v>0.44</v>
          </cell>
          <cell r="R147">
            <v>0.29333333333333333</v>
          </cell>
        </row>
        <row r="148">
          <cell r="A148">
            <v>8150</v>
          </cell>
          <cell r="B148" t="str">
            <v>LA ROCHELLE MARCHE</v>
          </cell>
          <cell r="C148">
            <v>0.21818181818181817</v>
          </cell>
          <cell r="D148">
            <v>7.6923076923076927E-2</v>
          </cell>
          <cell r="E148">
            <v>0.14755244755244756</v>
          </cell>
          <cell r="F148">
            <v>0.2594642857142857</v>
          </cell>
          <cell r="G148">
            <v>0.12138728323699421</v>
          </cell>
          <cell r="H148">
            <v>0.19042578447563996</v>
          </cell>
          <cell r="I148">
            <v>5.9523809523809521E-2</v>
          </cell>
          <cell r="J148">
            <v>0.15555555555555556</v>
          </cell>
          <cell r="K148">
            <v>0.10753968253968255</v>
          </cell>
          <cell r="L148">
            <v>0.13835111542192044</v>
          </cell>
          <cell r="M148">
            <v>8.1081081081081086E-2</v>
          </cell>
          <cell r="N148">
            <v>0.10971609825150076</v>
          </cell>
          <cell r="O148">
            <v>0.11764705882352941</v>
          </cell>
          <cell r="P148">
            <v>0</v>
          </cell>
          <cell r="Q148">
            <v>0.33333333333333331</v>
          </cell>
          <cell r="R148">
            <v>0.15032679738562091</v>
          </cell>
        </row>
        <row r="149">
          <cell r="A149">
            <v>58143</v>
          </cell>
          <cell r="B149" t="str">
            <v>Multisite AYTRE</v>
          </cell>
          <cell r="C149">
            <v>0.14830508474576271</v>
          </cell>
          <cell r="D149">
            <v>0.14285714285714285</v>
          </cell>
          <cell r="E149">
            <v>0.14558111380145278</v>
          </cell>
          <cell r="F149">
            <v>8.8108522378908649E-2</v>
          </cell>
          <cell r="G149">
            <v>0.12116788321167883</v>
          </cell>
          <cell r="H149">
            <v>0.10463820279529373</v>
          </cell>
          <cell r="I149">
            <v>0.1125</v>
          </cell>
          <cell r="J149">
            <v>3.125E-2</v>
          </cell>
          <cell r="K149">
            <v>7.1874999999999994E-2</v>
          </cell>
          <cell r="L149">
            <v>0.11145262628801207</v>
          </cell>
          <cell r="M149">
            <v>0.18115942028985507</v>
          </cell>
          <cell r="N149">
            <v>0.14630602328893358</v>
          </cell>
          <cell r="O149">
            <v>0.2857142857142857</v>
          </cell>
          <cell r="P149">
            <v>0.30434782608695654</v>
          </cell>
          <cell r="Q149">
            <v>0.1</v>
          </cell>
          <cell r="R149">
            <v>0.23002070393374741</v>
          </cell>
        </row>
        <row r="150">
          <cell r="A150">
            <v>8143</v>
          </cell>
          <cell r="B150" t="str">
            <v>AYTRE</v>
          </cell>
          <cell r="C150">
            <v>0.14285714285714285</v>
          </cell>
          <cell r="D150">
            <v>0.10869565217391304</v>
          </cell>
          <cell r="E150">
            <v>0.12577639751552794</v>
          </cell>
          <cell r="F150">
            <v>6.3582621082621082E-2</v>
          </cell>
          <cell r="G150">
            <v>8.3032490974729242E-2</v>
          </cell>
          <cell r="H150">
            <v>7.3307556028675169E-2</v>
          </cell>
          <cell r="I150">
            <v>0.12408759124087591</v>
          </cell>
          <cell r="J150">
            <v>4.6875E-2</v>
          </cell>
          <cell r="K150">
            <v>8.5481295620437964E-2</v>
          </cell>
          <cell r="L150">
            <v>9.2545739675901725E-2</v>
          </cell>
          <cell r="M150">
            <v>0.16666666666666666</v>
          </cell>
          <cell r="N150">
            <v>0.12960620317128418</v>
          </cell>
          <cell r="O150">
            <v>0.26666666666666666</v>
          </cell>
          <cell r="P150">
            <v>7.6923076923076927E-2</v>
          </cell>
          <cell r="Q150">
            <v>0</v>
          </cell>
          <cell r="R150">
            <v>0.11452991452991453</v>
          </cell>
        </row>
        <row r="151">
          <cell r="A151">
            <v>8145</v>
          </cell>
          <cell r="B151" t="str">
            <v>MARANS</v>
          </cell>
          <cell r="C151">
            <v>6.4516129032258063E-2</v>
          </cell>
          <cell r="D151">
            <v>0.38095238095238093</v>
          </cell>
          <cell r="E151">
            <v>0.2227342549923195</v>
          </cell>
          <cell r="F151">
            <v>0.14587426326129665</v>
          </cell>
          <cell r="G151">
            <v>0.10714285714285714</v>
          </cell>
          <cell r="H151">
            <v>0.1265085602020769</v>
          </cell>
          <cell r="I151">
            <v>0.13793103448275862</v>
          </cell>
          <cell r="J151">
            <v>3.3333333333333333E-2</v>
          </cell>
          <cell r="K151">
            <v>8.5632183908045972E-2</v>
          </cell>
          <cell r="L151">
            <v>5.3776683087027911E-2</v>
          </cell>
          <cell r="M151">
            <v>0.12</v>
          </cell>
          <cell r="N151">
            <v>8.688834154351395E-2</v>
          </cell>
          <cell r="O151">
            <v>0</v>
          </cell>
          <cell r="P151">
            <v>0.44</v>
          </cell>
          <cell r="Q151">
            <v>0</v>
          </cell>
          <cell r="R151">
            <v>0.14666666666666667</v>
          </cell>
        </row>
        <row r="152">
          <cell r="A152">
            <v>8152</v>
          </cell>
          <cell r="B152" t="str">
            <v>PERIGNY</v>
          </cell>
          <cell r="C152">
            <v>0.11290322580645161</v>
          </cell>
          <cell r="D152">
            <v>0.11538461538461539</v>
          </cell>
          <cell r="E152">
            <v>0.11414392059553349</v>
          </cell>
          <cell r="F152">
            <v>3.4821029082774048E-2</v>
          </cell>
          <cell r="G152">
            <v>0.12138728323699421</v>
          </cell>
          <cell r="H152">
            <v>7.8104156159884128E-2</v>
          </cell>
          <cell r="I152">
            <v>0.12162162162162163</v>
          </cell>
          <cell r="J152">
            <v>0</v>
          </cell>
          <cell r="K152">
            <v>6.0810810810810814E-2</v>
          </cell>
          <cell r="L152">
            <v>0.17663959390862946</v>
          </cell>
          <cell r="M152">
            <v>0.25714285714285712</v>
          </cell>
          <cell r="N152">
            <v>0.2168912255257433</v>
          </cell>
          <cell r="O152">
            <v>0.44</v>
          </cell>
          <cell r="P152">
            <v>0.44</v>
          </cell>
          <cell r="Q152">
            <v>0.33333333333333331</v>
          </cell>
          <cell r="R152">
            <v>0.40444444444444444</v>
          </cell>
        </row>
        <row r="153">
          <cell r="A153">
            <v>8153</v>
          </cell>
          <cell r="B153" t="str">
            <v>LA ROCHELLE LES MINIMES</v>
          </cell>
          <cell r="C153">
            <v>0.21917808219178081</v>
          </cell>
          <cell r="D153">
            <v>0</v>
          </cell>
          <cell r="E153">
            <v>0.1095890410958904</v>
          </cell>
          <cell r="F153">
            <v>0.20389010989010989</v>
          </cell>
          <cell r="G153">
            <v>0.21951219512195122</v>
          </cell>
          <cell r="H153">
            <v>0.21170115250603055</v>
          </cell>
          <cell r="I153">
            <v>3.9215686274509803E-2</v>
          </cell>
          <cell r="J153">
            <v>3.5714285714285712E-2</v>
          </cell>
          <cell r="K153">
            <v>3.7464985994397758E-2</v>
          </cell>
          <cell r="L153">
            <v>0.12648305084745765</v>
          </cell>
          <cell r="M153">
            <v>0.16666666666666666</v>
          </cell>
          <cell r="N153">
            <v>0.14657485875706217</v>
          </cell>
          <cell r="O153">
            <v>0.44</v>
          </cell>
          <cell r="P153">
            <v>0</v>
          </cell>
          <cell r="Q153">
            <v>0</v>
          </cell>
          <cell r="R153">
            <v>0.14666666666666667</v>
          </cell>
        </row>
        <row r="154">
          <cell r="A154">
            <v>8148</v>
          </cell>
          <cell r="B154" t="str">
            <v>SAINT MARTIN DE RE</v>
          </cell>
          <cell r="C154">
            <v>7.6923076923076927E-2</v>
          </cell>
          <cell r="D154">
            <v>0.16</v>
          </cell>
          <cell r="E154">
            <v>0.11846153846153847</v>
          </cell>
          <cell r="F154">
            <v>7.8082191780821916E-2</v>
          </cell>
          <cell r="G154">
            <v>0.10365853658536585</v>
          </cell>
          <cell r="H154">
            <v>9.0870364183093882E-2</v>
          </cell>
          <cell r="I154">
            <v>6.9767441860465115E-2</v>
          </cell>
          <cell r="J154">
            <v>2.4390243902439025E-2</v>
          </cell>
          <cell r="K154">
            <v>4.7078842881452074E-2</v>
          </cell>
          <cell r="L154">
            <v>0.15882798573975046</v>
          </cell>
          <cell r="M154">
            <v>0.10810810810810811</v>
          </cell>
          <cell r="N154">
            <v>0.13346804692392927</v>
          </cell>
          <cell r="O154">
            <v>0.33333333333333331</v>
          </cell>
          <cell r="P154">
            <v>0.38461538461538464</v>
          </cell>
          <cell r="Q154">
            <v>0</v>
          </cell>
          <cell r="R154">
            <v>0.23931623931623933</v>
          </cell>
        </row>
        <row r="155">
          <cell r="A155">
            <v>43816</v>
          </cell>
          <cell r="B155" t="str">
            <v>DGA CHARENTE MARITIME SUD</v>
          </cell>
          <cell r="C155">
            <v>0.11428571428571428</v>
          </cell>
          <cell r="D155">
            <v>0.1437125748502994</v>
          </cell>
          <cell r="E155">
            <v>0.12899914456800685</v>
          </cell>
          <cell r="F155">
            <v>0.10397898230088495</v>
          </cell>
          <cell r="G155">
            <v>8.8705768298594279E-2</v>
          </cell>
          <cell r="H155">
            <v>9.6342375299739616E-2</v>
          </cell>
          <cell r="I155">
            <v>8.9537223340040245E-2</v>
          </cell>
          <cell r="J155">
            <v>9.1111111111111115E-2</v>
          </cell>
          <cell r="K155">
            <v>9.032416722557568E-2</v>
          </cell>
          <cell r="L155">
            <v>0.18377656551880894</v>
          </cell>
          <cell r="M155">
            <v>0.10239651416122005</v>
          </cell>
          <cell r="N155">
            <v>0.14308653984001449</v>
          </cell>
          <cell r="O155">
            <v>0.17</v>
          </cell>
          <cell r="P155">
            <v>0.12371134020618557</v>
          </cell>
          <cell r="Q155">
            <v>0.27500000000000002</v>
          </cell>
          <cell r="R155">
            <v>0.18957044673539522</v>
          </cell>
          <cell r="S155">
            <v>1</v>
          </cell>
          <cell r="T155">
            <v>0</v>
          </cell>
          <cell r="U155">
            <v>0</v>
          </cell>
          <cell r="V155">
            <v>1</v>
          </cell>
          <cell r="W155">
            <v>1</v>
          </cell>
          <cell r="X155">
            <v>1500</v>
          </cell>
        </row>
        <row r="156">
          <cell r="A156">
            <v>8131</v>
          </cell>
          <cell r="B156" t="str">
            <v>JONZAC</v>
          </cell>
          <cell r="C156">
            <v>0.15555555555555556</v>
          </cell>
          <cell r="D156">
            <v>0.21875</v>
          </cell>
          <cell r="E156">
            <v>0.18715277777777778</v>
          </cell>
          <cell r="F156">
            <v>3.9658823529411767E-2</v>
          </cell>
          <cell r="G156">
            <v>7.7294685990338161E-2</v>
          </cell>
          <cell r="H156">
            <v>5.847675475987496E-2</v>
          </cell>
          <cell r="I156">
            <v>0.06</v>
          </cell>
          <cell r="J156">
            <v>0</v>
          </cell>
          <cell r="K156">
            <v>0.03</v>
          </cell>
          <cell r="L156">
            <v>0.29433333333333334</v>
          </cell>
          <cell r="M156">
            <v>4.4444444444444446E-2</v>
          </cell>
          <cell r="N156">
            <v>0.16938888888888889</v>
          </cell>
          <cell r="O156">
            <v>0.22222222222222221</v>
          </cell>
          <cell r="P156">
            <v>0</v>
          </cell>
          <cell r="Q156">
            <v>0</v>
          </cell>
          <cell r="R156">
            <v>7.407407407407407E-2</v>
          </cell>
        </row>
        <row r="157">
          <cell r="A157">
            <v>58134</v>
          </cell>
          <cell r="B157" t="str">
            <v>Multisite ROCHEFORT SUR MER</v>
          </cell>
          <cell r="C157">
            <v>9.2592592592592587E-2</v>
          </cell>
          <cell r="D157">
            <v>0.16666666666666666</v>
          </cell>
          <cell r="E157">
            <v>0.12962962962962962</v>
          </cell>
          <cell r="F157">
            <v>0.11009443507588533</v>
          </cell>
          <cell r="G157">
            <v>0.11095305832147938</v>
          </cell>
          <cell r="H157">
            <v>0.11052374669868235</v>
          </cell>
          <cell r="I157">
            <v>9.9431818181818177E-2</v>
          </cell>
          <cell r="J157">
            <v>9.9378881987577633E-2</v>
          </cell>
          <cell r="K157">
            <v>9.9405350084697905E-2</v>
          </cell>
          <cell r="L157">
            <v>0.13753396612693095</v>
          </cell>
          <cell r="M157">
            <v>0.15337423312883436</v>
          </cell>
          <cell r="N157">
            <v>0.14545409962788264</v>
          </cell>
          <cell r="O157">
            <v>0.10714285714285714</v>
          </cell>
          <cell r="P157">
            <v>0</v>
          </cell>
          <cell r="Q157">
            <v>0.23076923076923078</v>
          </cell>
          <cell r="R157">
            <v>0.11263736263736264</v>
          </cell>
        </row>
        <row r="158">
          <cell r="A158">
            <v>8134</v>
          </cell>
          <cell r="B158" t="str">
            <v>ROCHEFORT SUR MER</v>
          </cell>
          <cell r="C158">
            <v>0.1</v>
          </cell>
          <cell r="D158">
            <v>0.22413793103448276</v>
          </cell>
          <cell r="E158">
            <v>0.16206896551724137</v>
          </cell>
          <cell r="F158">
            <v>0.12893142857142856</v>
          </cell>
          <cell r="G158">
            <v>0.13184079601990051</v>
          </cell>
          <cell r="H158">
            <v>0.13038611229566455</v>
          </cell>
          <cell r="I158">
            <v>0.13636363636363635</v>
          </cell>
          <cell r="J158">
            <v>0.11956521739130435</v>
          </cell>
          <cell r="K158">
            <v>0.12796442687747034</v>
          </cell>
          <cell r="L158">
            <v>0.16909338521400777</v>
          </cell>
          <cell r="M158">
            <v>0.26373626373626374</v>
          </cell>
          <cell r="N158">
            <v>0.21641482447513577</v>
          </cell>
          <cell r="O158">
            <v>5.8823529411764705E-2</v>
          </cell>
          <cell r="P158">
            <v>0</v>
          </cell>
          <cell r="Q158">
            <v>0.33333333333333331</v>
          </cell>
          <cell r="R158">
            <v>0.13071895424836602</v>
          </cell>
        </row>
        <row r="159">
          <cell r="A159">
            <v>8137</v>
          </cell>
          <cell r="B159" t="str">
            <v>SURGERES</v>
          </cell>
          <cell r="C159">
            <v>0.1</v>
          </cell>
          <cell r="D159">
            <v>4.5454545454545456E-2</v>
          </cell>
          <cell r="E159">
            <v>7.2727272727272724E-2</v>
          </cell>
          <cell r="F159">
            <v>6.790697674418604E-2</v>
          </cell>
          <cell r="G159">
            <v>7.4534161490683232E-2</v>
          </cell>
          <cell r="H159">
            <v>7.1220569117434629E-2</v>
          </cell>
          <cell r="I159">
            <v>5.9523809523809521E-2</v>
          </cell>
          <cell r="J159">
            <v>0.10256410256410256</v>
          </cell>
          <cell r="K159">
            <v>8.1043956043956034E-2</v>
          </cell>
          <cell r="L159">
            <v>2.16654492330168E-2</v>
          </cell>
          <cell r="M159">
            <v>2.564102564102564E-2</v>
          </cell>
          <cell r="N159">
            <v>2.3653237437021218E-2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</row>
        <row r="160">
          <cell r="A160">
            <v>8142</v>
          </cell>
          <cell r="B160" t="str">
            <v>SAINT PIERRE D'OLERON</v>
          </cell>
          <cell r="C160">
            <v>6.25E-2</v>
          </cell>
          <cell r="D160">
            <v>0.13636363636363635</v>
          </cell>
          <cell r="E160">
            <v>9.9431818181818177E-2</v>
          </cell>
          <cell r="F160">
            <v>0.1</v>
          </cell>
          <cell r="G160">
            <v>9.285714285714286E-2</v>
          </cell>
          <cell r="H160">
            <v>9.6428571428571433E-2</v>
          </cell>
          <cell r="I160">
            <v>4.2857142857142858E-2</v>
          </cell>
          <cell r="J160">
            <v>3.3333333333333333E-2</v>
          </cell>
          <cell r="K160">
            <v>3.8095238095238099E-2</v>
          </cell>
          <cell r="L160">
            <v>0.19158995815899582</v>
          </cell>
          <cell r="M160">
            <v>0</v>
          </cell>
          <cell r="N160">
            <v>9.5794979079497911E-2</v>
          </cell>
          <cell r="O160">
            <v>0.25</v>
          </cell>
          <cell r="P160">
            <v>0</v>
          </cell>
          <cell r="Q160">
            <v>0</v>
          </cell>
          <cell r="R160">
            <v>8.3333333333333329E-2</v>
          </cell>
        </row>
        <row r="161">
          <cell r="A161">
            <v>58135</v>
          </cell>
          <cell r="B161" t="str">
            <v>Multisite SAINTES</v>
          </cell>
          <cell r="C161">
            <v>0.1038961038961039</v>
          </cell>
          <cell r="D161">
            <v>0.125</v>
          </cell>
          <cell r="E161">
            <v>0.11444805194805195</v>
          </cell>
          <cell r="F161">
            <v>0.10834319526627219</v>
          </cell>
          <cell r="G161">
            <v>7.7540106951871662E-2</v>
          </cell>
          <cell r="H161">
            <v>9.2941651109071932E-2</v>
          </cell>
          <cell r="I161">
            <v>0.10404624277456648</v>
          </cell>
          <cell r="J161">
            <v>0.18421052631578946</v>
          </cell>
          <cell r="K161">
            <v>0.14412838454517796</v>
          </cell>
          <cell r="L161">
            <v>0.19687146892655366</v>
          </cell>
          <cell r="M161">
            <v>7.8947368421052627E-2</v>
          </cell>
          <cell r="N161">
            <v>0.13790941867380313</v>
          </cell>
          <cell r="O161">
            <v>0.2</v>
          </cell>
          <cell r="P161">
            <v>0.4</v>
          </cell>
          <cell r="Q161">
            <v>0.33333333333333331</v>
          </cell>
          <cell r="R161">
            <v>0.31111111111111112</v>
          </cell>
        </row>
        <row r="162">
          <cell r="A162">
            <v>8135</v>
          </cell>
          <cell r="B162" t="str">
            <v>SAINTES</v>
          </cell>
          <cell r="C162">
            <v>0.16279069767441862</v>
          </cell>
          <cell r="D162">
            <v>0.13636363636363635</v>
          </cell>
          <cell r="E162">
            <v>0.14957716701902748</v>
          </cell>
          <cell r="F162">
            <v>0.12081081081081081</v>
          </cell>
          <cell r="G162">
            <v>5.128205128205128E-2</v>
          </cell>
          <cell r="H162">
            <v>8.6046431046431046E-2</v>
          </cell>
          <cell r="I162">
            <v>0.12371134020618557</v>
          </cell>
          <cell r="J162">
            <v>0.18604651162790697</v>
          </cell>
          <cell r="K162">
            <v>0.15487892591704627</v>
          </cell>
          <cell r="L162">
            <v>0.22807479813004675</v>
          </cell>
          <cell r="M162">
            <v>0.11627906976744186</v>
          </cell>
          <cell r="N162">
            <v>0.17217693394874431</v>
          </cell>
          <cell r="O162">
            <v>0.23529411764705882</v>
          </cell>
          <cell r="P162">
            <v>0.44</v>
          </cell>
          <cell r="Q162">
            <v>0.125</v>
          </cell>
          <cell r="R162">
            <v>0.26676470588235296</v>
          </cell>
        </row>
        <row r="163">
          <cell r="A163">
            <v>8160</v>
          </cell>
          <cell r="B163" t="str">
            <v>SAINTES RECOUVRANCE</v>
          </cell>
          <cell r="C163">
            <v>2.9411764705882353E-2</v>
          </cell>
          <cell r="D163">
            <v>0.1111111111111111</v>
          </cell>
          <cell r="E163">
            <v>7.0261437908496732E-2</v>
          </cell>
          <cell r="F163">
            <v>8.4482758620689657E-2</v>
          </cell>
          <cell r="G163">
            <v>0.12142857142857143</v>
          </cell>
          <cell r="H163">
            <v>0.10295566502463055</v>
          </cell>
          <cell r="I163">
            <v>7.8947368421052627E-2</v>
          </cell>
          <cell r="J163">
            <v>0.18181818181818182</v>
          </cell>
          <cell r="K163">
            <v>0.13038277511961721</v>
          </cell>
          <cell r="L163">
            <v>4.3590814196242167E-2</v>
          </cell>
          <cell r="M163">
            <v>3.0303030303030304E-2</v>
          </cell>
          <cell r="N163">
            <v>3.6946922249636235E-2</v>
          </cell>
          <cell r="O163">
            <v>0</v>
          </cell>
          <cell r="P163">
            <v>0</v>
          </cell>
          <cell r="Q163">
            <v>0.44</v>
          </cell>
          <cell r="R163">
            <v>0.14666666666666667</v>
          </cell>
        </row>
        <row r="164">
          <cell r="A164">
            <v>8136</v>
          </cell>
          <cell r="B164" t="str">
            <v>SAINT JEAN D'ANGELY</v>
          </cell>
          <cell r="C164">
            <v>6.6666666666666666E-2</v>
          </cell>
          <cell r="D164">
            <v>0.13793103448275862</v>
          </cell>
          <cell r="E164">
            <v>0.10229885057471264</v>
          </cell>
          <cell r="F164">
            <v>4.1783439490445856E-2</v>
          </cell>
          <cell r="G164">
            <v>8.247422680412371E-2</v>
          </cell>
          <cell r="H164">
            <v>6.2128833147284783E-2</v>
          </cell>
          <cell r="I164">
            <v>0.14141414141414141</v>
          </cell>
          <cell r="J164">
            <v>6.9767441860465115E-2</v>
          </cell>
          <cell r="K164">
            <v>0.10559079163730326</v>
          </cell>
          <cell r="L164">
            <v>8.6628940986257078E-2</v>
          </cell>
          <cell r="M164">
            <v>0</v>
          </cell>
          <cell r="N164">
            <v>4.3314470493128539E-2</v>
          </cell>
          <cell r="O164">
            <v>0.2857142857142857</v>
          </cell>
          <cell r="P164">
            <v>0.44</v>
          </cell>
          <cell r="Q164">
            <v>0</v>
          </cell>
          <cell r="R164">
            <v>0.24190476190476193</v>
          </cell>
        </row>
        <row r="165">
          <cell r="A165">
            <v>8139</v>
          </cell>
          <cell r="B165" t="str">
            <v>MATHA</v>
          </cell>
          <cell r="C165">
            <v>0.10714285714285714</v>
          </cell>
          <cell r="D165">
            <v>9.5238095238095233E-2</v>
          </cell>
          <cell r="E165">
            <v>0.10119047619047619</v>
          </cell>
          <cell r="F165">
            <v>8.2380952380952388E-2</v>
          </cell>
          <cell r="G165">
            <v>5.6074766355140186E-2</v>
          </cell>
          <cell r="H165">
            <v>6.9227859368046291E-2</v>
          </cell>
          <cell r="I165">
            <v>4.9180327868852458E-2</v>
          </cell>
          <cell r="J165">
            <v>7.407407407407407E-2</v>
          </cell>
          <cell r="K165">
            <v>6.1627200971463264E-2</v>
          </cell>
          <cell r="L165">
            <v>1.3609314359637774E-2</v>
          </cell>
          <cell r="M165">
            <v>0.18518518518518517</v>
          </cell>
          <cell r="N165">
            <v>9.9397249772411475E-2</v>
          </cell>
          <cell r="O165">
            <v>0.25</v>
          </cell>
          <cell r="P165">
            <v>0</v>
          </cell>
          <cell r="Q165">
            <v>0</v>
          </cell>
          <cell r="R165">
            <v>8.3333333333333329E-2</v>
          </cell>
        </row>
        <row r="166">
          <cell r="A166">
            <v>8140</v>
          </cell>
          <cell r="B166" t="str">
            <v>ROYAN</v>
          </cell>
          <cell r="C166">
            <v>0.16326530612244897</v>
          </cell>
          <cell r="D166">
            <v>0.11428571428571428</v>
          </cell>
          <cell r="E166">
            <v>0.13877551020408163</v>
          </cell>
          <cell r="F166">
            <v>0.14134334763948497</v>
          </cell>
          <cell r="G166">
            <v>7.9497907949790794E-2</v>
          </cell>
          <cell r="H166">
            <v>0.11042062779463788</v>
          </cell>
          <cell r="I166">
            <v>5.6768558951965066E-2</v>
          </cell>
          <cell r="J166">
            <v>0.06</v>
          </cell>
          <cell r="K166">
            <v>5.8384279475982528E-2</v>
          </cell>
          <cell r="L166">
            <v>0.24057590759075909</v>
          </cell>
          <cell r="M166">
            <v>8.6538461538461536E-2</v>
          </cell>
          <cell r="N166">
            <v>0.16355718456461033</v>
          </cell>
          <cell r="O166">
            <v>0.15625</v>
          </cell>
          <cell r="P166">
            <v>0.4</v>
          </cell>
          <cell r="Q166">
            <v>0.38461538461538464</v>
          </cell>
          <cell r="R166">
            <v>0.31362179487179492</v>
          </cell>
        </row>
        <row r="167">
          <cell r="A167">
            <v>43874</v>
          </cell>
          <cell r="B167" t="str">
            <v>DGA CHARENTE</v>
          </cell>
          <cell r="C167">
            <v>0.12040816326530612</v>
          </cell>
          <cell r="D167">
            <v>0.12315270935960591</v>
          </cell>
          <cell r="E167">
            <v>0.12178043631245603</v>
          </cell>
          <cell r="F167">
            <v>0.10055992844364937</v>
          </cell>
          <cell r="G167">
            <v>9.3241243216576217E-2</v>
          </cell>
          <cell r="H167">
            <v>9.6900585830112795E-2</v>
          </cell>
          <cell r="I167">
            <v>0.11977186311787072</v>
          </cell>
          <cell r="J167">
            <v>0.11538461538461539</v>
          </cell>
          <cell r="K167">
            <v>0.11757823925124306</v>
          </cell>
          <cell r="L167">
            <v>0.14849800053319115</v>
          </cell>
          <cell r="M167">
            <v>0.15286624203821655</v>
          </cell>
          <cell r="N167">
            <v>0.15068212128570385</v>
          </cell>
          <cell r="O167">
            <v>6.7669172932330823E-2</v>
          </cell>
          <cell r="P167">
            <v>0.13414634146341464</v>
          </cell>
          <cell r="Q167">
            <v>0.17391304347826086</v>
          </cell>
          <cell r="R167">
            <v>0.12524285262466878</v>
          </cell>
          <cell r="S167">
            <v>0</v>
          </cell>
          <cell r="T167">
            <v>0</v>
          </cell>
          <cell r="U167">
            <v>0</v>
          </cell>
          <cell r="V167">
            <v>1</v>
          </cell>
          <cell r="W167">
            <v>0</v>
          </cell>
          <cell r="X167">
            <v>500</v>
          </cell>
        </row>
        <row r="168">
          <cell r="A168">
            <v>55200</v>
          </cell>
          <cell r="B168" t="str">
            <v>Multisite ANGOULEME</v>
          </cell>
          <cell r="C168">
            <v>0.13368983957219252</v>
          </cell>
          <cell r="D168">
            <v>8.6330935251798566E-2</v>
          </cell>
          <cell r="E168">
            <v>0.11001038741199554</v>
          </cell>
          <cell r="F168">
            <v>0.10182733050847458</v>
          </cell>
          <cell r="G168">
            <v>0.102880658436214</v>
          </cell>
          <cell r="H168">
            <v>0.10235399447234428</v>
          </cell>
          <cell r="I168">
            <v>0.12295081967213115</v>
          </cell>
          <cell r="J168">
            <v>9.7701149425287362E-2</v>
          </cell>
          <cell r="K168">
            <v>0.11032598454870926</v>
          </cell>
          <cell r="L168">
            <v>0.18669414998036907</v>
          </cell>
          <cell r="M168">
            <v>0.1419753086419753</v>
          </cell>
          <cell r="N168">
            <v>0.16433472931117218</v>
          </cell>
          <cell r="O168">
            <v>0.125</v>
          </cell>
          <cell r="P168">
            <v>0.22222222222222221</v>
          </cell>
          <cell r="Q168">
            <v>0.19047619047619047</v>
          </cell>
          <cell r="R168">
            <v>0.17923280423280422</v>
          </cell>
        </row>
        <row r="169">
          <cell r="A169">
            <v>5200</v>
          </cell>
          <cell r="B169" t="str">
            <v>ANGOULEME</v>
          </cell>
          <cell r="C169">
            <v>0.1310344827586207</v>
          </cell>
          <cell r="D169">
            <v>7.8431372549019607E-2</v>
          </cell>
          <cell r="E169">
            <v>0.10473292765382015</v>
          </cell>
          <cell r="F169">
            <v>0.12160377358490565</v>
          </cell>
          <cell r="G169">
            <v>0.11654135338345864</v>
          </cell>
          <cell r="H169">
            <v>0.11907256348418215</v>
          </cell>
          <cell r="I169">
            <v>0.14855072463768115</v>
          </cell>
          <cell r="J169">
            <v>0.11764705882352941</v>
          </cell>
          <cell r="K169">
            <v>0.1330988917306053</v>
          </cell>
          <cell r="L169">
            <v>0.20933548606390212</v>
          </cell>
          <cell r="M169">
            <v>0.12389380530973451</v>
          </cell>
          <cell r="N169">
            <v>0.16661464568681833</v>
          </cell>
          <cell r="O169">
            <v>0.10810810810810811</v>
          </cell>
          <cell r="P169">
            <v>0.24444444444444444</v>
          </cell>
          <cell r="Q169">
            <v>0.17647058823529413</v>
          </cell>
          <cell r="R169">
            <v>0.17634104692928224</v>
          </cell>
        </row>
        <row r="170">
          <cell r="A170">
            <v>5237</v>
          </cell>
          <cell r="B170" t="str">
            <v>RUELLE</v>
          </cell>
          <cell r="C170">
            <v>0.14285714285714285</v>
          </cell>
          <cell r="D170">
            <v>0.10810810810810811</v>
          </cell>
          <cell r="E170">
            <v>0.12548262548262548</v>
          </cell>
          <cell r="F170">
            <v>4.8392156862745096E-2</v>
          </cell>
          <cell r="G170">
            <v>6.5989847715736044E-2</v>
          </cell>
          <cell r="H170">
            <v>5.7191002289240567E-2</v>
          </cell>
          <cell r="I170">
            <v>4.4444444444444446E-2</v>
          </cell>
          <cell r="J170">
            <v>5.4545454545454543E-2</v>
          </cell>
          <cell r="K170">
            <v>4.9494949494949494E-2</v>
          </cell>
          <cell r="L170">
            <v>0.11087080250426863</v>
          </cell>
          <cell r="M170">
            <v>0.18367346938775511</v>
          </cell>
          <cell r="N170">
            <v>0.14727213594601188</v>
          </cell>
          <cell r="O170">
            <v>0.33333333333333331</v>
          </cell>
          <cell r="P170">
            <v>0.1111111111111111</v>
          </cell>
          <cell r="Q170">
            <v>0.25</v>
          </cell>
          <cell r="R170">
            <v>0.23148148148148148</v>
          </cell>
        </row>
        <row r="171">
          <cell r="A171">
            <v>5231</v>
          </cell>
          <cell r="B171" t="str">
            <v>BARBEZIEUX</v>
          </cell>
          <cell r="C171">
            <v>0.13043478260869565</v>
          </cell>
          <cell r="D171">
            <v>7.407407407407407E-2</v>
          </cell>
          <cell r="E171">
            <v>0.10225442834138486</v>
          </cell>
          <cell r="F171">
            <v>0.10356353591160221</v>
          </cell>
          <cell r="G171">
            <v>4.8000000000000001E-2</v>
          </cell>
          <cell r="H171">
            <v>7.5781767955801105E-2</v>
          </cell>
          <cell r="I171">
            <v>0.10126582278481013</v>
          </cell>
          <cell r="J171">
            <v>9.5238095238095233E-2</v>
          </cell>
          <cell r="K171">
            <v>9.8251959011452672E-2</v>
          </cell>
          <cell r="L171">
            <v>5.5763823805060923E-3</v>
          </cell>
          <cell r="M171">
            <v>9.375E-2</v>
          </cell>
          <cell r="N171">
            <v>4.9663191190253045E-2</v>
          </cell>
          <cell r="O171">
            <v>0</v>
          </cell>
          <cell r="P171">
            <v>0.25</v>
          </cell>
          <cell r="Q171">
            <v>0</v>
          </cell>
          <cell r="R171">
            <v>8.3333333333333329E-2</v>
          </cell>
        </row>
        <row r="172">
          <cell r="A172">
            <v>5234</v>
          </cell>
          <cell r="B172" t="str">
            <v>RUFFEC</v>
          </cell>
          <cell r="C172">
            <v>0.10638297872340426</v>
          </cell>
          <cell r="D172">
            <v>0.1891891891891892</v>
          </cell>
          <cell r="E172">
            <v>0.14778608395629672</v>
          </cell>
          <cell r="F172">
            <v>7.0216000000000001E-2</v>
          </cell>
          <cell r="G172">
            <v>7.9601990049751242E-2</v>
          </cell>
          <cell r="H172">
            <v>7.4908995024875621E-2</v>
          </cell>
          <cell r="I172">
            <v>0.19469026548672566</v>
          </cell>
          <cell r="J172">
            <v>0.13846153846153847</v>
          </cell>
          <cell r="K172">
            <v>0.16657590197413208</v>
          </cell>
          <cell r="L172">
            <v>0.14244154057771663</v>
          </cell>
          <cell r="M172">
            <v>0.2</v>
          </cell>
          <cell r="N172">
            <v>0.17122077028885832</v>
          </cell>
          <cell r="O172">
            <v>0</v>
          </cell>
          <cell r="P172">
            <v>7.6923076923076927E-2</v>
          </cell>
          <cell r="Q172">
            <v>0.2</v>
          </cell>
          <cell r="R172">
            <v>9.2307692307692313E-2</v>
          </cell>
        </row>
        <row r="173">
          <cell r="A173">
            <v>5236</v>
          </cell>
          <cell r="B173" t="str">
            <v>ANGOULEME VICTOR HUGO</v>
          </cell>
          <cell r="C173">
            <v>0.12162162162162163</v>
          </cell>
          <cell r="D173">
            <v>0.1</v>
          </cell>
          <cell r="E173">
            <v>0.11081081081081082</v>
          </cell>
          <cell r="F173">
            <v>7.3850970569818403E-2</v>
          </cell>
          <cell r="G173">
            <v>0.12195121951219512</v>
          </cell>
          <cell r="H173">
            <v>9.7901095041006761E-2</v>
          </cell>
          <cell r="I173">
            <v>3.3783783783783786E-2</v>
          </cell>
          <cell r="J173">
            <v>0.11688311688311688</v>
          </cell>
          <cell r="K173">
            <v>7.5333450333450333E-2</v>
          </cell>
          <cell r="L173">
            <v>7.2131466355503687E-2</v>
          </cell>
          <cell r="M173">
            <v>0.17910447761194029</v>
          </cell>
          <cell r="N173">
            <v>0.12561797198372199</v>
          </cell>
          <cell r="O173">
            <v>0.1</v>
          </cell>
          <cell r="P173">
            <v>0.18181818181818182</v>
          </cell>
          <cell r="Q173">
            <v>0</v>
          </cell>
          <cell r="R173">
            <v>9.3939393939393948E-2</v>
          </cell>
        </row>
        <row r="174">
          <cell r="A174">
            <v>58138</v>
          </cell>
          <cell r="B174" t="str">
            <v>Multisite COGNAC</v>
          </cell>
          <cell r="C174">
            <v>0.1069182389937107</v>
          </cell>
          <cell r="D174">
            <v>0.16083916083916083</v>
          </cell>
          <cell r="E174">
            <v>0.13387869991643575</v>
          </cell>
          <cell r="F174">
            <v>0.11976780589616488</v>
          </cell>
          <cell r="G174">
            <v>8.3211678832116789E-2</v>
          </cell>
          <cell r="H174">
            <v>0.10148974236414084</v>
          </cell>
          <cell r="I174">
            <v>0.12602739726027398</v>
          </cell>
          <cell r="J174">
            <v>0.1276595744680851</v>
          </cell>
          <cell r="K174">
            <v>0.12684348586417954</v>
          </cell>
          <cell r="L174">
            <v>0.16197570440357684</v>
          </cell>
          <cell r="M174">
            <v>0.15151515151515152</v>
          </cell>
          <cell r="N174">
            <v>0.15674542795936419</v>
          </cell>
          <cell r="O174">
            <v>3.8461538461538464E-2</v>
          </cell>
          <cell r="P174">
            <v>0.27450980392156865</v>
          </cell>
          <cell r="Q174">
            <v>0.13636363636363635</v>
          </cell>
          <cell r="R174">
            <v>0.14977832624891449</v>
          </cell>
        </row>
        <row r="175">
          <cell r="A175">
            <v>5232</v>
          </cell>
          <cell r="B175" t="str">
            <v>JARNAC</v>
          </cell>
          <cell r="C175">
            <v>3.4482758620689655E-2</v>
          </cell>
          <cell r="D175">
            <v>3.3333333333333333E-2</v>
          </cell>
          <cell r="E175">
            <v>3.3908045977011497E-2</v>
          </cell>
          <cell r="F175">
            <v>0.20953038674033148</v>
          </cell>
          <cell r="G175">
            <v>3.0534351145038167E-2</v>
          </cell>
          <cell r="H175">
            <v>0.12003236894268482</v>
          </cell>
          <cell r="I175">
            <v>0.17567567567567569</v>
          </cell>
          <cell r="J175">
            <v>0.14634146341463414</v>
          </cell>
          <cell r="K175">
            <v>0.16100856954515491</v>
          </cell>
          <cell r="L175">
            <v>9.3799331103678926E-2</v>
          </cell>
          <cell r="M175">
            <v>0</v>
          </cell>
          <cell r="N175">
            <v>4.6899665551839463E-2</v>
          </cell>
          <cell r="O175">
            <v>0</v>
          </cell>
          <cell r="P175">
            <v>0.25</v>
          </cell>
          <cell r="Q175">
            <v>0</v>
          </cell>
          <cell r="R175">
            <v>8.3333333333333329E-2</v>
          </cell>
        </row>
        <row r="176">
          <cell r="A176">
            <v>5240</v>
          </cell>
          <cell r="B176" t="str">
            <v>ROUILLAC</v>
          </cell>
          <cell r="C176">
            <v>0.29166666666666669</v>
          </cell>
          <cell r="D176">
            <v>0.44</v>
          </cell>
          <cell r="E176">
            <v>0.36583333333333334</v>
          </cell>
          <cell r="F176">
            <v>0.19932601880877743</v>
          </cell>
          <cell r="G176">
            <v>0.12605042016806722</v>
          </cell>
          <cell r="H176">
            <v>0.16268821948842233</v>
          </cell>
          <cell r="I176">
            <v>0.1875</v>
          </cell>
          <cell r="J176">
            <v>0.25</v>
          </cell>
          <cell r="K176">
            <v>0.21875</v>
          </cell>
          <cell r="L176">
            <v>0.10882585751978892</v>
          </cell>
          <cell r="M176">
            <v>0.31034482758620691</v>
          </cell>
          <cell r="N176">
            <v>0.20958534255299791</v>
          </cell>
          <cell r="O176">
            <v>0</v>
          </cell>
          <cell r="P176">
            <v>0.14285714285714285</v>
          </cell>
          <cell r="Q176">
            <v>0.44</v>
          </cell>
          <cell r="R176">
            <v>0.19428571428571428</v>
          </cell>
        </row>
        <row r="177">
          <cell r="A177">
            <v>8138</v>
          </cell>
          <cell r="B177" t="str">
            <v>COGNAC</v>
          </cell>
          <cell r="C177">
            <v>8.4905660377358486E-2</v>
          </cell>
          <cell r="D177">
            <v>9.0909090909090912E-2</v>
          </cell>
          <cell r="E177">
            <v>8.7907375643224706E-2</v>
          </cell>
          <cell r="F177">
            <v>7.2925940914609466E-2</v>
          </cell>
          <cell r="G177">
            <v>8.7356321839080459E-2</v>
          </cell>
          <cell r="H177">
            <v>8.0141131376844962E-2</v>
          </cell>
          <cell r="I177">
            <v>9.2511013215859028E-2</v>
          </cell>
          <cell r="J177">
            <v>8.1081081081081086E-2</v>
          </cell>
          <cell r="K177">
            <v>8.6796047148470057E-2</v>
          </cell>
          <cell r="L177">
            <v>0.20068317909635272</v>
          </cell>
          <cell r="M177">
            <v>0.15384615384615385</v>
          </cell>
          <cell r="N177">
            <v>0.17726466647125327</v>
          </cell>
          <cell r="O177">
            <v>0.05</v>
          </cell>
          <cell r="P177">
            <v>0.30555555555555558</v>
          </cell>
          <cell r="Q177">
            <v>7.1428571428571425E-2</v>
          </cell>
          <cell r="R177">
            <v>0.14232804232804233</v>
          </cell>
        </row>
        <row r="178">
          <cell r="A178">
            <v>43747</v>
          </cell>
          <cell r="B178" t="str">
            <v>DGA DORDOGNE</v>
          </cell>
          <cell r="C178">
            <v>7.7605321507760533E-2</v>
          </cell>
          <cell r="D178">
            <v>9.5890410958904104E-2</v>
          </cell>
          <cell r="E178">
            <v>8.6747866233332319E-2</v>
          </cell>
          <cell r="F178">
            <v>8.0909790979097909E-2</v>
          </cell>
          <cell r="G178">
            <v>8.9164086687306507E-2</v>
          </cell>
          <cell r="H178">
            <v>8.5036938833202208E-2</v>
          </cell>
          <cell r="I178">
            <v>7.5934579439252331E-2</v>
          </cell>
          <cell r="J178">
            <v>7.5268817204301078E-2</v>
          </cell>
          <cell r="K178">
            <v>7.5601698321776711E-2</v>
          </cell>
          <cell r="L178">
            <v>0.11349687010954616</v>
          </cell>
          <cell r="M178">
            <v>0.17161716171617161</v>
          </cell>
          <cell r="N178">
            <v>0.14255701591285888</v>
          </cell>
          <cell r="O178">
            <v>0.13</v>
          </cell>
          <cell r="P178">
            <v>0.2537313432835821</v>
          </cell>
          <cell r="Q178">
            <v>0.27272727272727271</v>
          </cell>
          <cell r="R178">
            <v>0.21881953867028492</v>
          </cell>
          <cell r="S178">
            <v>0</v>
          </cell>
          <cell r="T178">
            <v>0</v>
          </cell>
          <cell r="U178">
            <v>0</v>
          </cell>
          <cell r="V178">
            <v>1</v>
          </cell>
          <cell r="W178">
            <v>1</v>
          </cell>
          <cell r="X178">
            <v>1000</v>
          </cell>
        </row>
        <row r="179">
          <cell r="A179">
            <v>5233</v>
          </cell>
          <cell r="B179" t="str">
            <v>PERIGUEUX</v>
          </cell>
          <cell r="C179">
            <v>6.8965517241379309E-2</v>
          </cell>
          <cell r="D179">
            <v>0.12389380530973451</v>
          </cell>
          <cell r="E179">
            <v>9.642966127555691E-2</v>
          </cell>
          <cell r="F179">
            <v>9.7404864091559379E-2</v>
          </cell>
          <cell r="G179">
            <v>7.248764415156507E-2</v>
          </cell>
          <cell r="H179">
            <v>8.4946254121562231E-2</v>
          </cell>
          <cell r="I179">
            <v>7.7380952380952384E-2</v>
          </cell>
          <cell r="J179">
            <v>3.888888888888889E-2</v>
          </cell>
          <cell r="K179">
            <v>5.8134920634920637E-2</v>
          </cell>
          <cell r="L179">
            <v>0.11217647058823531</v>
          </cell>
          <cell r="M179">
            <v>0.12820512820512819</v>
          </cell>
          <cell r="N179">
            <v>0.12019079939668176</v>
          </cell>
          <cell r="O179">
            <v>0.21428571428571427</v>
          </cell>
          <cell r="P179">
            <v>0.44</v>
          </cell>
          <cell r="Q179">
            <v>0.15384615384615385</v>
          </cell>
          <cell r="R179">
            <v>0.26937728937728939</v>
          </cell>
        </row>
        <row r="180">
          <cell r="A180">
            <v>55235</v>
          </cell>
          <cell r="B180" t="str">
            <v>Multisite BERGERAC</v>
          </cell>
          <cell r="C180">
            <v>0.10404624277456648</v>
          </cell>
          <cell r="D180">
            <v>0.10526315789473684</v>
          </cell>
          <cell r="E180">
            <v>0.10465470033465166</v>
          </cell>
          <cell r="F180">
            <v>8.0036764705882349E-2</v>
          </cell>
          <cell r="G180">
            <v>0.10719754977029096</v>
          </cell>
          <cell r="H180">
            <v>9.3617157238086654E-2</v>
          </cell>
          <cell r="I180">
            <v>7.6246334310850442E-2</v>
          </cell>
          <cell r="J180">
            <v>0.11797752808988764</v>
          </cell>
          <cell r="K180">
            <v>9.7111931200369039E-2</v>
          </cell>
          <cell r="L180">
            <v>0.14091883264933883</v>
          </cell>
          <cell r="M180">
            <v>0.19327731092436976</v>
          </cell>
          <cell r="N180">
            <v>0.16709807178685429</v>
          </cell>
          <cell r="O180">
            <v>4.878048780487805E-2</v>
          </cell>
          <cell r="P180">
            <v>0.44</v>
          </cell>
          <cell r="Q180">
            <v>0.14285714285714285</v>
          </cell>
          <cell r="R180">
            <v>0.21054587688734028</v>
          </cell>
        </row>
        <row r="181">
          <cell r="A181">
            <v>1849</v>
          </cell>
          <cell r="B181" t="str">
            <v>STE FOY LA GRANDE</v>
          </cell>
          <cell r="C181">
            <v>0.08</v>
          </cell>
          <cell r="D181">
            <v>0.05</v>
          </cell>
          <cell r="E181">
            <v>6.5000000000000002E-2</v>
          </cell>
          <cell r="F181">
            <v>0.10701421800947866</v>
          </cell>
          <cell r="G181">
            <v>0.12834224598930483</v>
          </cell>
          <cell r="H181">
            <v>0.11767823199939174</v>
          </cell>
          <cell r="I181">
            <v>7.6923076923076927E-2</v>
          </cell>
          <cell r="J181">
            <v>0.21153846153846154</v>
          </cell>
          <cell r="K181">
            <v>0.14423076923076922</v>
          </cell>
          <cell r="L181">
            <v>7.8946910356832031E-2</v>
          </cell>
          <cell r="M181">
            <v>0.3125</v>
          </cell>
          <cell r="N181">
            <v>0.19572345517841602</v>
          </cell>
          <cell r="O181">
            <v>0</v>
          </cell>
          <cell r="P181">
            <v>0.44</v>
          </cell>
          <cell r="Q181">
            <v>0.44</v>
          </cell>
          <cell r="R181">
            <v>0.29333333333333333</v>
          </cell>
        </row>
        <row r="182">
          <cell r="A182">
            <v>5235</v>
          </cell>
          <cell r="B182" t="str">
            <v>BERGERAC</v>
          </cell>
          <cell r="C182">
            <v>7.7669902912621352E-2</v>
          </cell>
          <cell r="D182">
            <v>0.14925373134328357</v>
          </cell>
          <cell r="E182">
            <v>0.11346181712795246</v>
          </cell>
          <cell r="F182">
            <v>5.5104826913700632E-2</v>
          </cell>
          <cell r="G182">
            <v>0.10285714285714286</v>
          </cell>
          <cell r="H182">
            <v>7.898098488542174E-2</v>
          </cell>
          <cell r="I182">
            <v>8.3333333333333329E-2</v>
          </cell>
          <cell r="J182">
            <v>9.9009900990099015E-2</v>
          </cell>
          <cell r="K182">
            <v>9.1171617161716179E-2</v>
          </cell>
          <cell r="L182">
            <v>0.19632197891321979</v>
          </cell>
          <cell r="M182">
            <v>0.19696969696969696</v>
          </cell>
          <cell r="N182">
            <v>0.19664583794145837</v>
          </cell>
          <cell r="O182">
            <v>8.3333333333333329E-2</v>
          </cell>
          <cell r="P182">
            <v>0.44</v>
          </cell>
          <cell r="Q182">
            <v>0</v>
          </cell>
          <cell r="R182">
            <v>0.17444444444444443</v>
          </cell>
        </row>
        <row r="183">
          <cell r="A183">
            <v>5239</v>
          </cell>
          <cell r="B183" t="str">
            <v>MUSSIDAN</v>
          </cell>
          <cell r="C183">
            <v>0.3</v>
          </cell>
          <cell r="D183">
            <v>0</v>
          </cell>
          <cell r="E183">
            <v>0.15</v>
          </cell>
          <cell r="F183">
            <v>0.11464358452138493</v>
          </cell>
          <cell r="G183">
            <v>8.6206896551724144E-2</v>
          </cell>
          <cell r="H183">
            <v>0.10042524053655454</v>
          </cell>
          <cell r="I183">
            <v>5.2631578947368418E-2</v>
          </cell>
          <cell r="J183">
            <v>0</v>
          </cell>
          <cell r="K183">
            <v>2.6315789473684209E-2</v>
          </cell>
          <cell r="L183">
            <v>5.6070038910505833E-2</v>
          </cell>
          <cell r="M183">
            <v>0</v>
          </cell>
          <cell r="N183">
            <v>2.8035019455252917E-2</v>
          </cell>
          <cell r="O183">
            <v>0</v>
          </cell>
          <cell r="P183">
            <v>0.44</v>
          </cell>
          <cell r="Q183">
            <v>0</v>
          </cell>
          <cell r="R183">
            <v>0.14666666666666667</v>
          </cell>
        </row>
        <row r="184">
          <cell r="A184">
            <v>5238</v>
          </cell>
          <cell r="B184" t="str">
            <v>SARLAT</v>
          </cell>
          <cell r="C184">
            <v>3.8461538461538464E-2</v>
          </cell>
          <cell r="D184">
            <v>2.9411764705882353E-2</v>
          </cell>
          <cell r="E184">
            <v>3.3936651583710412E-2</v>
          </cell>
          <cell r="F184">
            <v>4.2116868798235944E-2</v>
          </cell>
          <cell r="G184">
            <v>8.6956521739130432E-2</v>
          </cell>
          <cell r="H184">
            <v>6.4536695268683192E-2</v>
          </cell>
          <cell r="I184">
            <v>0.10101010101010101</v>
          </cell>
          <cell r="J184">
            <v>3.5714285714285712E-2</v>
          </cell>
          <cell r="K184">
            <v>6.836219336219336E-2</v>
          </cell>
          <cell r="L184">
            <v>4.2849915682967962E-2</v>
          </cell>
          <cell r="M184">
            <v>0.3235294117647059</v>
          </cell>
          <cell r="N184">
            <v>0.18318966372383694</v>
          </cell>
          <cell r="O184">
            <v>0.22222222222222221</v>
          </cell>
          <cell r="P184">
            <v>0.27272727272727271</v>
          </cell>
          <cell r="Q184">
            <v>0.44</v>
          </cell>
          <cell r="R184">
            <v>0.31164983164983168</v>
          </cell>
        </row>
        <row r="185">
          <cell r="A185">
            <v>5241</v>
          </cell>
          <cell r="B185" t="str">
            <v>NONTRON</v>
          </cell>
          <cell r="C185">
            <v>5.7692307692307696E-2</v>
          </cell>
          <cell r="D185">
            <v>3.2258064516129031E-2</v>
          </cell>
          <cell r="E185">
            <v>4.4975186104218363E-2</v>
          </cell>
          <cell r="F185">
            <v>5.9159090909090911E-2</v>
          </cell>
          <cell r="G185">
            <v>8.1871345029239762E-2</v>
          </cell>
          <cell r="H185">
            <v>7.0515217969165336E-2</v>
          </cell>
          <cell r="I185">
            <v>3.0612244897959183E-2</v>
          </cell>
          <cell r="J185">
            <v>9.8039215686274508E-2</v>
          </cell>
          <cell r="K185">
            <v>6.4325730292116842E-2</v>
          </cell>
          <cell r="L185">
            <v>9.5204336947456225E-2</v>
          </cell>
          <cell r="M185">
            <v>9.0909090909090912E-2</v>
          </cell>
          <cell r="N185">
            <v>9.3056713928273568E-2</v>
          </cell>
          <cell r="O185">
            <v>0</v>
          </cell>
          <cell r="P185">
            <v>0.15384615384615385</v>
          </cell>
          <cell r="Q185">
            <v>0.44</v>
          </cell>
          <cell r="R185">
            <v>0.19794871794871796</v>
          </cell>
        </row>
        <row r="186">
          <cell r="A186">
            <v>43864</v>
          </cell>
          <cell r="B186" t="str">
            <v>DGA HT VIENNE CREUSE</v>
          </cell>
          <cell r="C186">
            <v>9.8507462686567168E-2</v>
          </cell>
          <cell r="D186">
            <v>0.13868613138686131</v>
          </cell>
          <cell r="E186">
            <v>0.11859679703671425</v>
          </cell>
          <cell r="F186">
            <v>0.11415325010761947</v>
          </cell>
          <cell r="G186">
            <v>8.2322357019064124E-2</v>
          </cell>
          <cell r="H186">
            <v>9.8237803563341802E-2</v>
          </cell>
          <cell r="I186">
            <v>0.11278195488721804</v>
          </cell>
          <cell r="J186">
            <v>0.1066066066066066</v>
          </cell>
          <cell r="K186">
            <v>0.10969428074691231</v>
          </cell>
          <cell r="L186">
            <v>0.12836026884202964</v>
          </cell>
          <cell r="M186">
            <v>0.21615720524017468</v>
          </cell>
          <cell r="N186">
            <v>0.17225873704110217</v>
          </cell>
          <cell r="O186">
            <v>4.8000000000000001E-2</v>
          </cell>
          <cell r="P186">
            <v>0.10294117647058823</v>
          </cell>
          <cell r="Q186">
            <v>9.7560975609756101E-2</v>
          </cell>
          <cell r="R186">
            <v>8.2834050693448111E-2</v>
          </cell>
          <cell r="S186">
            <v>0</v>
          </cell>
          <cell r="T186">
            <v>0</v>
          </cell>
          <cell r="U186">
            <v>0</v>
          </cell>
          <cell r="V186">
            <v>1</v>
          </cell>
          <cell r="W186">
            <v>0</v>
          </cell>
          <cell r="X186">
            <v>500</v>
          </cell>
        </row>
        <row r="187">
          <cell r="A187">
            <v>6700</v>
          </cell>
          <cell r="B187" t="str">
            <v>LIMOGES</v>
          </cell>
          <cell r="C187">
            <v>8.727272727272728E-2</v>
          </cell>
          <cell r="D187">
            <v>0.17985611510791366</v>
          </cell>
          <cell r="E187">
            <v>0.13356442119032047</v>
          </cell>
          <cell r="F187">
            <v>0.10107606207071991</v>
          </cell>
          <cell r="G187">
            <v>7.5063613231552168E-2</v>
          </cell>
          <cell r="H187">
            <v>8.8069837651136046E-2</v>
          </cell>
          <cell r="I187">
            <v>9.2682926829268292E-2</v>
          </cell>
          <cell r="J187">
            <v>7.3913043478260873E-2</v>
          </cell>
          <cell r="K187">
            <v>8.3297985153764575E-2</v>
          </cell>
          <cell r="L187">
            <v>0.12088572313409725</v>
          </cell>
          <cell r="M187">
            <v>0.22435897435897437</v>
          </cell>
          <cell r="N187">
            <v>0.17262234874653581</v>
          </cell>
          <cell r="O187">
            <v>3.3333333333333333E-2</v>
          </cell>
          <cell r="P187">
            <v>0.2558139534883721</v>
          </cell>
          <cell r="Q187">
            <v>0</v>
          </cell>
          <cell r="R187">
            <v>9.6382428940568476E-2</v>
          </cell>
        </row>
        <row r="188">
          <cell r="A188">
            <v>6731</v>
          </cell>
          <cell r="B188" t="str">
            <v>AUBUSSON</v>
          </cell>
          <cell r="C188">
            <v>0.20588235294117646</v>
          </cell>
          <cell r="D188">
            <v>0.39285714285714285</v>
          </cell>
          <cell r="E188">
            <v>0.29936974789915966</v>
          </cell>
          <cell r="F188">
            <v>8.5509138381201041E-2</v>
          </cell>
          <cell r="G188">
            <v>9.9337748344370855E-2</v>
          </cell>
          <cell r="H188">
            <v>9.2423443362785948E-2</v>
          </cell>
          <cell r="I188">
            <v>0.12658227848101267</v>
          </cell>
          <cell r="J188">
            <v>0.22727272727272727</v>
          </cell>
          <cell r="K188">
            <v>0.17692750287686998</v>
          </cell>
          <cell r="L188">
            <v>5.3866976024748651E-2</v>
          </cell>
          <cell r="M188">
            <v>0.27586206896551724</v>
          </cell>
          <cell r="N188">
            <v>0.16486452249513295</v>
          </cell>
          <cell r="O188">
            <v>0.125</v>
          </cell>
          <cell r="P188">
            <v>0.42857142857142855</v>
          </cell>
          <cell r="Q188">
            <v>0.33333333333333331</v>
          </cell>
          <cell r="R188">
            <v>0.29563492063492064</v>
          </cell>
        </row>
        <row r="189">
          <cell r="A189">
            <v>56733</v>
          </cell>
          <cell r="B189" t="str">
            <v>Multisite GUERET</v>
          </cell>
          <cell r="C189">
            <v>0.14285714285714285</v>
          </cell>
          <cell r="D189">
            <v>0.12121212121212122</v>
          </cell>
          <cell r="E189">
            <v>0.13203463203463203</v>
          </cell>
          <cell r="F189">
            <v>0.13540661805945037</v>
          </cell>
          <cell r="G189">
            <v>0.13535911602209943</v>
          </cell>
          <cell r="H189">
            <v>0.1353828670407749</v>
          </cell>
          <cell r="I189">
            <v>0.27040816326530615</v>
          </cell>
          <cell r="J189">
            <v>0.12149532710280374</v>
          </cell>
          <cell r="K189">
            <v>0.19595174518405495</v>
          </cell>
          <cell r="L189">
            <v>0.22350977443609024</v>
          </cell>
          <cell r="M189">
            <v>0.3611111111111111</v>
          </cell>
          <cell r="N189">
            <v>0.29231044277360069</v>
          </cell>
          <cell r="O189">
            <v>0</v>
          </cell>
          <cell r="P189">
            <v>0.21428571428571427</v>
          </cell>
          <cell r="Q189">
            <v>0.33333333333333331</v>
          </cell>
          <cell r="R189">
            <v>0.18253968253968253</v>
          </cell>
        </row>
        <row r="190">
          <cell r="A190">
            <v>6733</v>
          </cell>
          <cell r="B190" t="str">
            <v>GUERET</v>
          </cell>
          <cell r="C190">
            <v>7.2727272727272724E-2</v>
          </cell>
          <cell r="D190">
            <v>0.13953488372093023</v>
          </cell>
          <cell r="E190">
            <v>0.10613107822410148</v>
          </cell>
          <cell r="F190">
            <v>0.13764199655765921</v>
          </cell>
          <cell r="G190">
            <v>0.10833333333333334</v>
          </cell>
          <cell r="H190">
            <v>0.12298766494549628</v>
          </cell>
          <cell r="I190">
            <v>0.31746031746031744</v>
          </cell>
          <cell r="J190">
            <v>0.13043478260869565</v>
          </cell>
          <cell r="K190">
            <v>0.22394755003450656</v>
          </cell>
          <cell r="L190">
            <v>0.26968721668177698</v>
          </cell>
          <cell r="M190">
            <v>0.2978723404255319</v>
          </cell>
          <cell r="N190">
            <v>0.28377977855365444</v>
          </cell>
          <cell r="O190">
            <v>0</v>
          </cell>
          <cell r="P190">
            <v>0.375</v>
          </cell>
          <cell r="Q190">
            <v>0</v>
          </cell>
          <cell r="R190">
            <v>0.125</v>
          </cell>
        </row>
        <row r="191">
          <cell r="A191">
            <v>6739</v>
          </cell>
          <cell r="B191" t="str">
            <v>LA SOUTERRAINE</v>
          </cell>
          <cell r="C191">
            <v>0.25</v>
          </cell>
          <cell r="D191">
            <v>8.6956521739130432E-2</v>
          </cell>
          <cell r="E191">
            <v>0.16847826086956522</v>
          </cell>
          <cell r="F191">
            <v>0.13122383252818035</v>
          </cell>
          <cell r="G191">
            <v>0.18852459016393441</v>
          </cell>
          <cell r="H191">
            <v>0.15987421134605739</v>
          </cell>
          <cell r="I191">
            <v>0.18571428571428572</v>
          </cell>
          <cell r="J191">
            <v>0.10526315789473684</v>
          </cell>
          <cell r="K191">
            <v>0.14548872180451128</v>
          </cell>
          <cell r="L191">
            <v>0.13248436103663985</v>
          </cell>
          <cell r="M191">
            <v>0.44</v>
          </cell>
          <cell r="N191">
            <v>0.28624218051831996</v>
          </cell>
          <cell r="O191">
            <v>0</v>
          </cell>
          <cell r="P191">
            <v>0</v>
          </cell>
          <cell r="Q191">
            <v>0.44</v>
          </cell>
          <cell r="R191">
            <v>0.14666666666666667</v>
          </cell>
        </row>
        <row r="192">
          <cell r="A192">
            <v>56734</v>
          </cell>
          <cell r="B192" t="str">
            <v>Multisite ST JUNIEN</v>
          </cell>
          <cell r="C192">
            <v>0.15116279069767441</v>
          </cell>
          <cell r="D192">
            <v>7.3529411764705885E-2</v>
          </cell>
          <cell r="E192">
            <v>0.11234610123119015</v>
          </cell>
          <cell r="F192">
            <v>0.13164411027568923</v>
          </cell>
          <cell r="G192">
            <v>8.6956521739130432E-2</v>
          </cell>
          <cell r="H192">
            <v>0.10930031600740983</v>
          </cell>
          <cell r="I192">
            <v>6.4516129032258063E-2</v>
          </cell>
          <cell r="J192">
            <v>8.771929824561403E-2</v>
          </cell>
          <cell r="K192">
            <v>7.6117713638936046E-2</v>
          </cell>
          <cell r="L192">
            <v>0.11169665809768638</v>
          </cell>
          <cell r="M192">
            <v>7.5949367088607597E-2</v>
          </cell>
          <cell r="N192">
            <v>9.3823012593146987E-2</v>
          </cell>
          <cell r="O192">
            <v>0</v>
          </cell>
          <cell r="P192">
            <v>0.15789473684210525</v>
          </cell>
          <cell r="Q192">
            <v>0</v>
          </cell>
          <cell r="R192">
            <v>5.2631578947368418E-2</v>
          </cell>
        </row>
        <row r="193">
          <cell r="A193">
            <v>6734</v>
          </cell>
          <cell r="B193" t="str">
            <v>SAINT JUNIEN</v>
          </cell>
          <cell r="C193">
            <v>0.17073170731707318</v>
          </cell>
          <cell r="D193">
            <v>0.11428571428571428</v>
          </cell>
          <cell r="E193">
            <v>0.14250871080139374</v>
          </cell>
          <cell r="F193">
            <v>0.19585117227319063</v>
          </cell>
          <cell r="G193">
            <v>8.5106382978723402E-2</v>
          </cell>
          <cell r="H193">
            <v>0.14047877762595701</v>
          </cell>
          <cell r="I193">
            <v>6.9306930693069313E-2</v>
          </cell>
          <cell r="J193">
            <v>7.6923076923076927E-2</v>
          </cell>
          <cell r="K193">
            <v>7.311500380807312E-2</v>
          </cell>
          <cell r="L193">
            <v>6.5980830670926527E-2</v>
          </cell>
          <cell r="M193">
            <v>0.13157894736842105</v>
          </cell>
          <cell r="N193">
            <v>9.8779889019673786E-2</v>
          </cell>
          <cell r="O193">
            <v>0</v>
          </cell>
          <cell r="P193">
            <v>0.22222222222222221</v>
          </cell>
          <cell r="Q193">
            <v>0</v>
          </cell>
          <cell r="R193">
            <v>7.407407407407407E-2</v>
          </cell>
        </row>
        <row r="194">
          <cell r="A194">
            <v>6737</v>
          </cell>
          <cell r="B194" t="str">
            <v>CONFOLENS</v>
          </cell>
          <cell r="C194">
            <v>0.20833333333333334</v>
          </cell>
          <cell r="D194">
            <v>5.8823529411764705E-2</v>
          </cell>
          <cell r="E194">
            <v>0.13357843137254902</v>
          </cell>
          <cell r="F194">
            <v>9.6188747731397461E-2</v>
          </cell>
          <cell r="G194">
            <v>9.8214285714285712E-2</v>
          </cell>
          <cell r="H194">
            <v>9.720151672284158E-2</v>
          </cell>
          <cell r="I194">
            <v>6.4516129032258063E-2</v>
          </cell>
          <cell r="J194">
            <v>0.11764705882352941</v>
          </cell>
          <cell r="K194">
            <v>9.1081593927893736E-2</v>
          </cell>
          <cell r="L194">
            <v>0.23381564844587352</v>
          </cell>
          <cell r="M194">
            <v>0</v>
          </cell>
          <cell r="N194">
            <v>0.11690782422293676</v>
          </cell>
          <cell r="O194">
            <v>0</v>
          </cell>
          <cell r="P194">
            <v>0.16666666666666666</v>
          </cell>
          <cell r="Q194">
            <v>0</v>
          </cell>
          <cell r="R194">
            <v>5.5555555555555552E-2</v>
          </cell>
        </row>
        <row r="195">
          <cell r="A195">
            <v>6740</v>
          </cell>
          <cell r="B195" t="str">
            <v>BELLAC</v>
          </cell>
          <cell r="C195">
            <v>4.7619047619047616E-2</v>
          </cell>
          <cell r="D195">
            <v>0</v>
          </cell>
          <cell r="E195">
            <v>2.3809523809523808E-2</v>
          </cell>
          <cell r="F195">
            <v>3.7796976241900648E-2</v>
          </cell>
          <cell r="G195">
            <v>7.6923076923076927E-2</v>
          </cell>
          <cell r="H195">
            <v>5.7360026582488788E-2</v>
          </cell>
          <cell r="I195">
            <v>5.5555555555555552E-2</v>
          </cell>
          <cell r="J195">
            <v>7.1428571428571425E-2</v>
          </cell>
          <cell r="K195">
            <v>6.3492063492063489E-2</v>
          </cell>
          <cell r="L195">
            <v>4.2654723127035832E-2</v>
          </cell>
          <cell r="M195">
            <v>5.2631578947368418E-2</v>
          </cell>
          <cell r="N195">
            <v>4.7643151037202125E-2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</row>
        <row r="196">
          <cell r="A196">
            <v>56738</v>
          </cell>
          <cell r="B196" t="str">
            <v>Multisite LIMOGES PL CARMES</v>
          </cell>
          <cell r="C196">
            <v>4.8913043478260872E-2</v>
          </cell>
          <cell r="D196">
            <v>7.2727272727272724E-2</v>
          </cell>
          <cell r="E196">
            <v>6.0820158102766794E-2</v>
          </cell>
          <cell r="F196">
            <v>0.1143343949044586</v>
          </cell>
          <cell r="G196">
            <v>5.3398058252427182E-2</v>
          </cell>
          <cell r="H196">
            <v>8.3866226578442893E-2</v>
          </cell>
          <cell r="I196">
            <v>6.3291139240506333E-2</v>
          </cell>
          <cell r="J196">
            <v>0.12280701754385964</v>
          </cell>
          <cell r="K196">
            <v>9.3049078392182988E-2</v>
          </cell>
          <cell r="L196">
            <v>0.10754890678941312</v>
          </cell>
          <cell r="M196">
            <v>0.19672131147540983</v>
          </cell>
          <cell r="N196">
            <v>0.15213510913241146</v>
          </cell>
          <cell r="O196">
            <v>0.13043478260869565</v>
          </cell>
          <cell r="P196">
            <v>3.5714285714285712E-2</v>
          </cell>
          <cell r="Q196">
            <v>0.14285714285714285</v>
          </cell>
          <cell r="R196">
            <v>0.10300207039337474</v>
          </cell>
        </row>
        <row r="197">
          <cell r="A197">
            <v>6738</v>
          </cell>
          <cell r="B197" t="str">
            <v>LIMOGES LES CARMES</v>
          </cell>
          <cell r="C197">
            <v>6.1224489795918366E-2</v>
          </cell>
          <cell r="D197">
            <v>0.12244897959183673</v>
          </cell>
          <cell r="E197">
            <v>9.1836734693877542E-2</v>
          </cell>
          <cell r="F197">
            <v>9.8710581639803799E-2</v>
          </cell>
          <cell r="G197">
            <v>7.4733096085409248E-2</v>
          </cell>
          <cell r="H197">
            <v>8.6721838862606523E-2</v>
          </cell>
          <cell r="I197">
            <v>4.2553191489361701E-2</v>
          </cell>
          <cell r="J197">
            <v>0.15189873417721519</v>
          </cell>
          <cell r="K197">
            <v>9.7225962833288451E-2</v>
          </cell>
          <cell r="L197">
            <v>0.11816473410635744</v>
          </cell>
          <cell r="M197">
            <v>0.2857142857142857</v>
          </cell>
          <cell r="N197">
            <v>0.20193950991032156</v>
          </cell>
          <cell r="O197">
            <v>0.4</v>
          </cell>
          <cell r="P197">
            <v>0</v>
          </cell>
          <cell r="Q197">
            <v>0</v>
          </cell>
          <cell r="R197">
            <v>0.13333333333333333</v>
          </cell>
        </row>
        <row r="198">
          <cell r="A198">
            <v>6743</v>
          </cell>
          <cell r="B198" t="str">
            <v>ST YRIEIX LA PERCHE</v>
          </cell>
          <cell r="C198">
            <v>3.4482758620689655E-2</v>
          </cell>
          <cell r="D198">
            <v>0</v>
          </cell>
          <cell r="E198">
            <v>1.7241379310344827E-2</v>
          </cell>
          <cell r="F198">
            <v>0.29325581395348838</v>
          </cell>
          <cell r="G198">
            <v>2.34375E-2</v>
          </cell>
          <cell r="H198">
            <v>0.15834665697674419</v>
          </cell>
          <cell r="I198">
            <v>7.2463768115942032E-2</v>
          </cell>
          <cell r="J198">
            <v>0.23529411764705882</v>
          </cell>
          <cell r="K198">
            <v>0.15387894288150042</v>
          </cell>
          <cell r="L198">
            <v>0.18943855932203388</v>
          </cell>
          <cell r="M198">
            <v>0.20833333333333334</v>
          </cell>
          <cell r="N198">
            <v>0.19888594632768361</v>
          </cell>
          <cell r="O198">
            <v>0.1111111111111111</v>
          </cell>
          <cell r="P198">
            <v>0.125</v>
          </cell>
          <cell r="Q198">
            <v>0.44</v>
          </cell>
          <cell r="R198">
            <v>0.22537037037037036</v>
          </cell>
        </row>
        <row r="199">
          <cell r="A199">
            <v>6750</v>
          </cell>
          <cell r="B199" t="str">
            <v>LIMOGES CARNOT</v>
          </cell>
          <cell r="C199">
            <v>3.5087719298245612E-2</v>
          </cell>
          <cell r="D199">
            <v>5.128205128205128E-2</v>
          </cell>
          <cell r="E199">
            <v>4.3184885290148446E-2</v>
          </cell>
          <cell r="F199">
            <v>2.7153558052434457E-2</v>
          </cell>
          <cell r="G199">
            <v>4.3062200956937802E-2</v>
          </cell>
          <cell r="H199">
            <v>3.5107879504686128E-2</v>
          </cell>
          <cell r="I199">
            <v>8.4905660377358486E-2</v>
          </cell>
          <cell r="J199">
            <v>1.7241379310344827E-2</v>
          </cell>
          <cell r="K199">
            <v>5.1073519843851653E-2</v>
          </cell>
          <cell r="L199">
            <v>4.884680610514415E-2</v>
          </cell>
          <cell r="M199">
            <v>7.1428571428571425E-2</v>
          </cell>
          <cell r="N199">
            <v>6.0137688766857787E-2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</row>
        <row r="200">
          <cell r="A200">
            <v>43866</v>
          </cell>
          <cell r="B200" t="str">
            <v>DGA CORREZE</v>
          </cell>
          <cell r="C200">
            <v>0.10840108401084012</v>
          </cell>
          <cell r="D200">
            <v>0.13478260869565217</v>
          </cell>
          <cell r="E200">
            <v>0.12159184635324614</v>
          </cell>
          <cell r="F200">
            <v>0.12453982883475971</v>
          </cell>
          <cell r="G200">
            <v>0.12132921174652241</v>
          </cell>
          <cell r="H200">
            <v>0.12293452029064106</v>
          </cell>
          <cell r="I200">
            <v>0.11881188118811881</v>
          </cell>
          <cell r="J200">
            <v>0.13178294573643412</v>
          </cell>
          <cell r="K200">
            <v>0.12529741346227646</v>
          </cell>
          <cell r="L200">
            <v>0.14704350719574077</v>
          </cell>
          <cell r="M200">
            <v>0.20503597122302158</v>
          </cell>
          <cell r="N200">
            <v>0.17603973920938118</v>
          </cell>
          <cell r="O200">
            <v>9.0909090909090912E-2</v>
          </cell>
          <cell r="P200">
            <v>0.18666666666666668</v>
          </cell>
          <cell r="Q200">
            <v>0.17241379310344829</v>
          </cell>
          <cell r="R200">
            <v>0.14999651689306862</v>
          </cell>
          <cell r="S200">
            <v>0</v>
          </cell>
          <cell r="T200">
            <v>0</v>
          </cell>
          <cell r="U200">
            <v>0</v>
          </cell>
          <cell r="V200">
            <v>1</v>
          </cell>
          <cell r="W200">
            <v>1</v>
          </cell>
          <cell r="X200">
            <v>1000</v>
          </cell>
        </row>
        <row r="201">
          <cell r="A201">
            <v>6732</v>
          </cell>
          <cell r="B201" t="str">
            <v>BRIVE</v>
          </cell>
          <cell r="C201">
            <v>0.10084033613445378</v>
          </cell>
          <cell r="D201">
            <v>0.04</v>
          </cell>
          <cell r="E201">
            <v>7.0420168067226896E-2</v>
          </cell>
          <cell r="F201">
            <v>7.5810699588477359E-2</v>
          </cell>
          <cell r="G201">
            <v>0.10287081339712918</v>
          </cell>
          <cell r="H201">
            <v>8.9340756492803264E-2</v>
          </cell>
          <cell r="I201">
            <v>0.12393162393162394</v>
          </cell>
          <cell r="J201">
            <v>7.2580645161290328E-2</v>
          </cell>
          <cell r="K201">
            <v>9.8256134546457125E-2</v>
          </cell>
          <cell r="L201">
            <v>0.14167958656330751</v>
          </cell>
          <cell r="M201">
            <v>0.18947368421052632</v>
          </cell>
          <cell r="N201">
            <v>0.16557663538691691</v>
          </cell>
          <cell r="O201">
            <v>0.10810810810810811</v>
          </cell>
          <cell r="P201">
            <v>0.34375</v>
          </cell>
          <cell r="Q201">
            <v>0.2</v>
          </cell>
          <cell r="R201">
            <v>0.21728603603603602</v>
          </cell>
        </row>
        <row r="202">
          <cell r="A202">
            <v>6735</v>
          </cell>
          <cell r="B202" t="str">
            <v>TULLE</v>
          </cell>
          <cell r="C202">
            <v>0.15714285714285714</v>
          </cell>
          <cell r="D202">
            <v>0.19565217391304349</v>
          </cell>
          <cell r="E202">
            <v>0.1763975155279503</v>
          </cell>
          <cell r="F202">
            <v>0.19124489795918367</v>
          </cell>
          <cell r="G202">
            <v>0.14347826086956522</v>
          </cell>
          <cell r="H202">
            <v>0.16736157941437446</v>
          </cell>
          <cell r="I202">
            <v>0.18181818181818182</v>
          </cell>
          <cell r="J202">
            <v>0.15789473684210525</v>
          </cell>
          <cell r="K202">
            <v>0.16985645933014354</v>
          </cell>
          <cell r="L202">
            <v>0.1672636165577342</v>
          </cell>
          <cell r="M202">
            <v>0.18518518518518517</v>
          </cell>
          <cell r="N202">
            <v>0.17622440087145969</v>
          </cell>
          <cell r="O202">
            <v>0.2</v>
          </cell>
          <cell r="P202">
            <v>0.2857142857142857</v>
          </cell>
          <cell r="Q202">
            <v>0</v>
          </cell>
          <cell r="R202">
            <v>0.16190476190476191</v>
          </cell>
        </row>
        <row r="203">
          <cell r="A203">
            <v>6736</v>
          </cell>
          <cell r="B203" t="str">
            <v>USSEL</v>
          </cell>
          <cell r="C203">
            <v>0.125</v>
          </cell>
          <cell r="D203">
            <v>0.19047619047619047</v>
          </cell>
          <cell r="E203">
            <v>0.15773809523809523</v>
          </cell>
          <cell r="F203">
            <v>0.17142857142857143</v>
          </cell>
          <cell r="G203">
            <v>8.2644628099173556E-2</v>
          </cell>
          <cell r="H203">
            <v>0.12703659976387249</v>
          </cell>
          <cell r="I203">
            <v>1.4285714285714285E-2</v>
          </cell>
          <cell r="J203">
            <v>0.13157894736842105</v>
          </cell>
          <cell r="K203">
            <v>7.2932330827067668E-2</v>
          </cell>
          <cell r="L203">
            <v>3.5821428571428574E-2</v>
          </cell>
          <cell r="M203">
            <v>6.25E-2</v>
          </cell>
          <cell r="N203">
            <v>4.9160714285714287E-2</v>
          </cell>
          <cell r="O203">
            <v>0</v>
          </cell>
          <cell r="P203">
            <v>0.44</v>
          </cell>
          <cell r="Q203">
            <v>0.2</v>
          </cell>
          <cell r="R203">
            <v>0.21333333333333335</v>
          </cell>
        </row>
        <row r="204">
          <cell r="A204">
            <v>56741</v>
          </cell>
          <cell r="B204" t="str">
            <v>Multisite OBJAT</v>
          </cell>
          <cell r="C204">
            <v>0.08</v>
          </cell>
          <cell r="D204">
            <v>0.17808219178082191</v>
          </cell>
          <cell r="E204">
            <v>0.12904109589041096</v>
          </cell>
          <cell r="F204">
            <v>0.12566735966735967</v>
          </cell>
          <cell r="G204">
            <v>0.12694877505567928</v>
          </cell>
          <cell r="H204">
            <v>0.12630806736151948</v>
          </cell>
          <cell r="I204">
            <v>9.1286307053941904E-2</v>
          </cell>
          <cell r="J204">
            <v>0.15789473684210525</v>
          </cell>
          <cell r="K204">
            <v>0.12459052194802359</v>
          </cell>
          <cell r="L204">
            <v>0.17326013513513513</v>
          </cell>
          <cell r="M204">
            <v>0.29268292682926828</v>
          </cell>
          <cell r="N204">
            <v>0.23297153098220169</v>
          </cell>
          <cell r="O204">
            <v>7.6923076923076927E-2</v>
          </cell>
          <cell r="P204">
            <v>0.44</v>
          </cell>
          <cell r="Q204">
            <v>7.1428571428571425E-2</v>
          </cell>
          <cell r="R204">
            <v>0.19611721611721611</v>
          </cell>
        </row>
        <row r="205">
          <cell r="A205">
            <v>6741</v>
          </cell>
          <cell r="B205" t="str">
            <v>OBJAT</v>
          </cell>
          <cell r="C205">
            <v>6.6666666666666666E-2</v>
          </cell>
          <cell r="D205">
            <v>9.5238095238095233E-2</v>
          </cell>
          <cell r="E205">
            <v>8.0952380952380942E-2</v>
          </cell>
          <cell r="F205">
            <v>0.10527142857142857</v>
          </cell>
          <cell r="G205">
            <v>0.12</v>
          </cell>
          <cell r="H205">
            <v>0.11263571428571428</v>
          </cell>
          <cell r="I205">
            <v>4.4117647058823532E-2</v>
          </cell>
          <cell r="J205">
            <v>0.33333333333333331</v>
          </cell>
          <cell r="K205">
            <v>0.18872549019607843</v>
          </cell>
          <cell r="L205">
            <v>0.24802061855670104</v>
          </cell>
          <cell r="M205">
            <v>0.44</v>
          </cell>
          <cell r="N205">
            <v>0.34401030927835052</v>
          </cell>
          <cell r="O205">
            <v>0</v>
          </cell>
          <cell r="P205">
            <v>0.44</v>
          </cell>
          <cell r="Q205">
            <v>0.25</v>
          </cell>
          <cell r="R205">
            <v>0.22999999999999998</v>
          </cell>
        </row>
        <row r="206">
          <cell r="A206">
            <v>6745</v>
          </cell>
          <cell r="B206" t="str">
            <v>TERRASSON</v>
          </cell>
          <cell r="C206">
            <v>0.10810810810810811</v>
          </cell>
          <cell r="D206">
            <v>0.36666666666666664</v>
          </cell>
          <cell r="E206">
            <v>0.23738738738738738</v>
          </cell>
          <cell r="F206">
            <v>0.217696</v>
          </cell>
          <cell r="G206">
            <v>0.19333333333333333</v>
          </cell>
          <cell r="H206">
            <v>0.20551466666666668</v>
          </cell>
          <cell r="I206">
            <v>0.19230769230769232</v>
          </cell>
          <cell r="J206">
            <v>0.16981132075471697</v>
          </cell>
          <cell r="K206">
            <v>0.18105950653120464</v>
          </cell>
          <cell r="L206">
            <v>0.28539739027283506</v>
          </cell>
          <cell r="M206">
            <v>0.33333333333333331</v>
          </cell>
          <cell r="N206">
            <v>0.30936536180308416</v>
          </cell>
          <cell r="O206">
            <v>0</v>
          </cell>
          <cell r="P206">
            <v>0.44</v>
          </cell>
          <cell r="Q206">
            <v>0</v>
          </cell>
          <cell r="R206">
            <v>0.14666666666666667</v>
          </cell>
        </row>
        <row r="207">
          <cell r="A207">
            <v>6751</v>
          </cell>
          <cell r="B207" t="str">
            <v>MALEMORT</v>
          </cell>
          <cell r="C207">
            <v>6.8965517241379309E-2</v>
          </cell>
          <cell r="D207">
            <v>0</v>
          </cell>
          <cell r="E207">
            <v>3.4482758620689655E-2</v>
          </cell>
          <cell r="F207">
            <v>8.5629629629629639E-2</v>
          </cell>
          <cell r="G207">
            <v>7.4712643678160925E-2</v>
          </cell>
          <cell r="H207">
            <v>8.0171136653895275E-2</v>
          </cell>
          <cell r="I207">
            <v>4.2105263157894736E-2</v>
          </cell>
          <cell r="J207">
            <v>0.04</v>
          </cell>
          <cell r="K207">
            <v>4.1052631578947368E-2</v>
          </cell>
          <cell r="L207">
            <v>2.7611159546643418E-2</v>
          </cell>
          <cell r="M207">
            <v>3.0303030303030304E-2</v>
          </cell>
          <cell r="N207">
            <v>2.8957094924836863E-2</v>
          </cell>
          <cell r="O207">
            <v>0.2</v>
          </cell>
          <cell r="P207">
            <v>0.1111111111111111</v>
          </cell>
          <cell r="Q207">
            <v>0</v>
          </cell>
          <cell r="R207">
            <v>0.1037037037037037</v>
          </cell>
        </row>
        <row r="208">
          <cell r="A208">
            <v>6742</v>
          </cell>
          <cell r="B208" t="str">
            <v>EGLETONS</v>
          </cell>
          <cell r="C208">
            <v>0.13043478260869565</v>
          </cell>
          <cell r="D208">
            <v>0.13333333333333333</v>
          </cell>
          <cell r="E208">
            <v>0.13188405797101449</v>
          </cell>
          <cell r="F208">
            <v>9.8813559322033895E-2</v>
          </cell>
          <cell r="G208">
            <v>0.1728395061728395</v>
          </cell>
          <cell r="H208">
            <v>0.1358265327474367</v>
          </cell>
          <cell r="I208">
            <v>0.15686274509803921</v>
          </cell>
          <cell r="J208">
            <v>0.19047619047619047</v>
          </cell>
          <cell r="K208">
            <v>0.17366946778711484</v>
          </cell>
          <cell r="L208">
            <v>0.18878399999999998</v>
          </cell>
          <cell r="M208">
            <v>0.16666666666666666</v>
          </cell>
          <cell r="N208">
            <v>0.17772533333333332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</row>
      </sheetData>
      <sheetData sheetId="1" refreshError="1">
        <row r="1">
          <cell r="B1">
            <v>0.12720000000000001</v>
          </cell>
          <cell r="D1">
            <v>17</v>
          </cell>
          <cell r="F1">
            <v>17</v>
          </cell>
          <cell r="H1">
            <v>17</v>
          </cell>
          <cell r="J1">
            <v>17</v>
          </cell>
          <cell r="L1">
            <v>24</v>
          </cell>
        </row>
        <row r="3">
          <cell r="D3" t="str">
            <v>Animations Etape 1 (Trophées Agence)</v>
          </cell>
        </row>
        <row r="4">
          <cell r="D4" t="str">
            <v>Offensif Base Client</v>
          </cell>
          <cell r="F4" t="str">
            <v>Banque Principale</v>
          </cell>
          <cell r="H4" t="str">
            <v>Assureur</v>
          </cell>
          <cell r="J4" t="str">
            <v>Partenaire Conseil</v>
          </cell>
          <cell r="L4" t="str">
            <v>Banque des Pros</v>
          </cell>
          <cell r="S4" t="str">
            <v>Nb Fils
Rouges
validés</v>
          </cell>
          <cell r="T4" t="str">
            <v>Total
Rang</v>
          </cell>
          <cell r="U4" t="str">
            <v>Classt</v>
          </cell>
        </row>
        <row r="5">
          <cell r="B5" t="str">
            <v>Unité</v>
          </cell>
          <cell r="C5" t="str">
            <v>Libellé</v>
          </cell>
          <cell r="D5" t="str">
            <v>Taux</v>
          </cell>
          <cell r="E5" t="str">
            <v>Rang</v>
          </cell>
          <cell r="F5" t="str">
            <v>Taux</v>
          </cell>
          <cell r="G5" t="str">
            <v>Rang</v>
          </cell>
          <cell r="H5" t="str">
            <v>Taux</v>
          </cell>
          <cell r="I5" t="str">
            <v>Rang</v>
          </cell>
          <cell r="J5" t="str">
            <v>Taux</v>
          </cell>
          <cell r="K5" t="str">
            <v>Rang</v>
          </cell>
          <cell r="L5" t="str">
            <v>Taux</v>
          </cell>
          <cell r="M5" t="str">
            <v>Rang</v>
          </cell>
        </row>
        <row r="6">
          <cell r="B6" t="str">
            <v>Agences Catégorie C</v>
          </cell>
          <cell r="D6" t="str">
            <v>Plafonnement à 44%</v>
          </cell>
        </row>
        <row r="7">
          <cell r="A7">
            <v>43783</v>
          </cell>
          <cell r="B7">
            <v>51735</v>
          </cell>
          <cell r="C7" t="str">
            <v>Multisite ST JEAN DE LUZ</v>
          </cell>
          <cell r="D7">
            <v>0.12371285672256546</v>
          </cell>
          <cell r="E7">
            <v>11</v>
          </cell>
          <cell r="F7">
            <v>0.13733675735532538</v>
          </cell>
          <cell r="G7">
            <v>3</v>
          </cell>
          <cell r="H7">
            <v>0.16225703811302483</v>
          </cell>
          <cell r="I7">
            <v>1</v>
          </cell>
          <cell r="J7">
            <v>0.24171039978018963</v>
          </cell>
          <cell r="K7">
            <v>3</v>
          </cell>
          <cell r="L7">
            <v>0.13119203286728021</v>
          </cell>
          <cell r="M7">
            <v>19</v>
          </cell>
          <cell r="N7">
            <v>0</v>
          </cell>
          <cell r="O7">
            <v>1</v>
          </cell>
          <cell r="P7">
            <v>1</v>
          </cell>
          <cell r="Q7">
            <v>1</v>
          </cell>
          <cell r="R7">
            <v>1</v>
          </cell>
          <cell r="S7">
            <v>4</v>
          </cell>
          <cell r="T7">
            <v>37</v>
          </cell>
          <cell r="U7">
            <v>1</v>
          </cell>
        </row>
        <row r="8">
          <cell r="A8">
            <v>43711</v>
          </cell>
          <cell r="B8">
            <v>51859</v>
          </cell>
          <cell r="C8" t="str">
            <v>Multisite BRUGES</v>
          </cell>
          <cell r="D8">
            <v>0.1631812107112805</v>
          </cell>
          <cell r="E8">
            <v>1</v>
          </cell>
          <cell r="F8">
            <v>0.11758153602239615</v>
          </cell>
          <cell r="G8">
            <v>5</v>
          </cell>
          <cell r="H8">
            <v>0.15253058954393769</v>
          </cell>
          <cell r="I8">
            <v>2</v>
          </cell>
          <cell r="J8">
            <v>0.21993500122639198</v>
          </cell>
          <cell r="K8">
            <v>4</v>
          </cell>
          <cell r="L8">
            <v>0.10754985754985753</v>
          </cell>
          <cell r="M8">
            <v>29</v>
          </cell>
          <cell r="N8">
            <v>1</v>
          </cell>
          <cell r="O8">
            <v>0</v>
          </cell>
          <cell r="P8">
            <v>1</v>
          </cell>
          <cell r="Q8">
            <v>1</v>
          </cell>
          <cell r="R8">
            <v>0</v>
          </cell>
          <cell r="S8">
            <v>3</v>
          </cell>
          <cell r="T8">
            <v>41</v>
          </cell>
          <cell r="U8">
            <v>2</v>
          </cell>
        </row>
        <row r="9">
          <cell r="A9">
            <v>43816</v>
          </cell>
          <cell r="B9">
            <v>58134</v>
          </cell>
          <cell r="C9" t="str">
            <v>Multisite ROCHEFORT SUR MER</v>
          </cell>
          <cell r="D9">
            <v>0.12962962962962962</v>
          </cell>
          <cell r="E9">
            <v>9</v>
          </cell>
          <cell r="F9">
            <v>0.11052374669868235</v>
          </cell>
          <cell r="G9">
            <v>9</v>
          </cell>
          <cell r="H9">
            <v>9.9405350084697905E-2</v>
          </cell>
          <cell r="I9">
            <v>16</v>
          </cell>
          <cell r="J9">
            <v>0.14545409962788264</v>
          </cell>
          <cell r="K9">
            <v>16</v>
          </cell>
          <cell r="L9">
            <v>0.18957044673539522</v>
          </cell>
          <cell r="M9">
            <v>1</v>
          </cell>
          <cell r="N9">
            <v>1</v>
          </cell>
          <cell r="O9">
            <v>0</v>
          </cell>
          <cell r="P9">
            <v>0</v>
          </cell>
          <cell r="Q9">
            <v>1</v>
          </cell>
          <cell r="R9">
            <v>1</v>
          </cell>
          <cell r="S9">
            <v>3</v>
          </cell>
          <cell r="T9">
            <v>51</v>
          </cell>
          <cell r="U9">
            <v>3</v>
          </cell>
        </row>
        <row r="10">
          <cell r="A10">
            <v>43787</v>
          </cell>
          <cell r="B10">
            <v>51746</v>
          </cell>
          <cell r="C10" t="str">
            <v>Multisite CAPBRETON</v>
          </cell>
          <cell r="D10">
            <v>0.1153426268055089</v>
          </cell>
          <cell r="E10">
            <v>14</v>
          </cell>
          <cell r="F10">
            <v>0.1152473785319779</v>
          </cell>
          <cell r="G10">
            <v>6</v>
          </cell>
          <cell r="H10">
            <v>0.13555555555555554</v>
          </cell>
          <cell r="I10">
            <v>5</v>
          </cell>
          <cell r="J10">
            <v>0.13488004387297675</v>
          </cell>
          <cell r="K10">
            <v>20</v>
          </cell>
          <cell r="L10">
            <v>0.14580712333521323</v>
          </cell>
          <cell r="M10">
            <v>10</v>
          </cell>
          <cell r="N10">
            <v>0</v>
          </cell>
          <cell r="O10">
            <v>0</v>
          </cell>
          <cell r="P10">
            <v>1</v>
          </cell>
          <cell r="Q10">
            <v>1</v>
          </cell>
          <cell r="R10">
            <v>1</v>
          </cell>
          <cell r="S10">
            <v>3</v>
          </cell>
          <cell r="T10">
            <v>55</v>
          </cell>
          <cell r="U10">
            <v>4</v>
          </cell>
        </row>
        <row r="11">
          <cell r="A11">
            <v>43812</v>
          </cell>
          <cell r="B11">
            <v>55131</v>
          </cell>
          <cell r="C11" t="str">
            <v>Multisite BRESSUIRE</v>
          </cell>
          <cell r="D11">
            <v>7.0355191256830596E-2</v>
          </cell>
          <cell r="E11">
            <v>30</v>
          </cell>
          <cell r="F11">
            <v>0.14558274737619947</v>
          </cell>
          <cell r="G11">
            <v>1</v>
          </cell>
          <cell r="H11">
            <v>0.14739837398373984</v>
          </cell>
          <cell r="I11">
            <v>3</v>
          </cell>
          <cell r="J11">
            <v>0.13157219414104016</v>
          </cell>
          <cell r="K11">
            <v>23</v>
          </cell>
          <cell r="L11">
            <v>0.18794869321242233</v>
          </cell>
          <cell r="M11">
            <v>2</v>
          </cell>
          <cell r="N11">
            <v>0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4</v>
          </cell>
          <cell r="T11">
            <v>59</v>
          </cell>
          <cell r="U11">
            <v>5</v>
          </cell>
        </row>
        <row r="12">
          <cell r="A12">
            <v>43812</v>
          </cell>
          <cell r="B12">
            <v>58143</v>
          </cell>
          <cell r="C12" t="str">
            <v>Multisite AYTRE</v>
          </cell>
          <cell r="D12">
            <v>0.14558111380145278</v>
          </cell>
          <cell r="E12">
            <v>4</v>
          </cell>
          <cell r="F12">
            <v>0.10463820279529373</v>
          </cell>
          <cell r="G12">
            <v>12</v>
          </cell>
          <cell r="H12">
            <v>7.1874999999999994E-2</v>
          </cell>
          <cell r="I12">
            <v>28</v>
          </cell>
          <cell r="J12">
            <v>0.14630602328893358</v>
          </cell>
          <cell r="K12">
            <v>15</v>
          </cell>
          <cell r="L12">
            <v>0.18794869321242233</v>
          </cell>
          <cell r="M12">
            <v>2</v>
          </cell>
          <cell r="N12">
            <v>1</v>
          </cell>
          <cell r="O12">
            <v>0</v>
          </cell>
          <cell r="P12">
            <v>0</v>
          </cell>
          <cell r="Q12">
            <v>1</v>
          </cell>
          <cell r="R12">
            <v>1</v>
          </cell>
          <cell r="S12">
            <v>3</v>
          </cell>
          <cell r="T12">
            <v>61</v>
          </cell>
          <cell r="U12">
            <v>6</v>
          </cell>
        </row>
        <row r="13">
          <cell r="A13">
            <v>43783</v>
          </cell>
          <cell r="B13">
            <v>51738</v>
          </cell>
          <cell r="C13" t="str">
            <v>Multisite ANGLET</v>
          </cell>
          <cell r="D13">
            <v>0.15008503401360546</v>
          </cell>
          <cell r="E13">
            <v>3</v>
          </cell>
          <cell r="F13">
            <v>0.10485449883711155</v>
          </cell>
          <cell r="G13">
            <v>11</v>
          </cell>
          <cell r="H13">
            <v>9.9451629263344749E-2</v>
          </cell>
          <cell r="I13">
            <v>14</v>
          </cell>
          <cell r="J13">
            <v>0.14541260268367423</v>
          </cell>
          <cell r="K13">
            <v>17</v>
          </cell>
          <cell r="L13">
            <v>0.13119203286728021</v>
          </cell>
          <cell r="M13">
            <v>19</v>
          </cell>
          <cell r="N13">
            <v>1</v>
          </cell>
          <cell r="O13">
            <v>0</v>
          </cell>
          <cell r="P13">
            <v>0</v>
          </cell>
          <cell r="Q13">
            <v>1</v>
          </cell>
          <cell r="R13">
            <v>1</v>
          </cell>
          <cell r="S13">
            <v>3</v>
          </cell>
          <cell r="T13">
            <v>64</v>
          </cell>
          <cell r="U13">
            <v>7</v>
          </cell>
        </row>
        <row r="14">
          <cell r="A14">
            <v>43703</v>
          </cell>
          <cell r="B14">
            <v>51832</v>
          </cell>
          <cell r="C14" t="str">
            <v>Multisite BORDEAUX CHARTRONS</v>
          </cell>
          <cell r="D14">
            <v>0.14436392914653784</v>
          </cell>
          <cell r="E14">
            <v>5</v>
          </cell>
          <cell r="F14">
            <v>0.1139129909190891</v>
          </cell>
          <cell r="G14">
            <v>7</v>
          </cell>
          <cell r="H14">
            <v>9.3851214574898784E-2</v>
          </cell>
          <cell r="I14">
            <v>20</v>
          </cell>
          <cell r="J14">
            <v>0.13460582227791942</v>
          </cell>
          <cell r="K14">
            <v>21</v>
          </cell>
          <cell r="L14">
            <v>0.1367224311386748</v>
          </cell>
          <cell r="M14">
            <v>12</v>
          </cell>
          <cell r="N14">
            <v>1</v>
          </cell>
          <cell r="O14">
            <v>0</v>
          </cell>
          <cell r="P14">
            <v>0</v>
          </cell>
          <cell r="Q14">
            <v>1</v>
          </cell>
          <cell r="R14">
            <v>1</v>
          </cell>
          <cell r="S14">
            <v>3</v>
          </cell>
          <cell r="T14">
            <v>65</v>
          </cell>
          <cell r="U14">
            <v>8</v>
          </cell>
        </row>
        <row r="15">
          <cell r="A15">
            <v>43765</v>
          </cell>
          <cell r="B15">
            <v>53500</v>
          </cell>
          <cell r="C15" t="str">
            <v>Multisite PAU</v>
          </cell>
          <cell r="D15">
            <v>6.2903225806451607E-2</v>
          </cell>
          <cell r="E15">
            <v>32</v>
          </cell>
          <cell r="F15">
            <v>0.12509004143314859</v>
          </cell>
          <cell r="G15">
            <v>4</v>
          </cell>
          <cell r="H15">
            <v>0.12238945700705747</v>
          </cell>
          <cell r="I15">
            <v>8</v>
          </cell>
          <cell r="J15">
            <v>0.19458094261652589</v>
          </cell>
          <cell r="K15">
            <v>6</v>
          </cell>
          <cell r="L15">
            <v>0.13369558321596689</v>
          </cell>
          <cell r="M15">
            <v>16</v>
          </cell>
          <cell r="N15">
            <v>0</v>
          </cell>
          <cell r="O15">
            <v>0</v>
          </cell>
          <cell r="P15">
            <v>0</v>
          </cell>
          <cell r="Q15">
            <v>1</v>
          </cell>
          <cell r="R15">
            <v>1</v>
          </cell>
          <cell r="S15">
            <v>2</v>
          </cell>
          <cell r="T15">
            <v>66</v>
          </cell>
          <cell r="U15">
            <v>9</v>
          </cell>
        </row>
        <row r="16">
          <cell r="A16">
            <v>43812</v>
          </cell>
          <cell r="B16">
            <v>58100</v>
          </cell>
          <cell r="C16" t="str">
            <v>Multisite LA ROCHELLE</v>
          </cell>
          <cell r="D16">
            <v>0.15132597754548974</v>
          </cell>
          <cell r="E16">
            <v>2</v>
          </cell>
          <cell r="F16">
            <v>0.10353114565477228</v>
          </cell>
          <cell r="G16">
            <v>13</v>
          </cell>
          <cell r="H16">
            <v>6.134946048897455E-2</v>
          </cell>
          <cell r="I16">
            <v>31</v>
          </cell>
          <cell r="J16">
            <v>0.14446204286180056</v>
          </cell>
          <cell r="K16">
            <v>18</v>
          </cell>
          <cell r="L16">
            <v>0.18794869321242233</v>
          </cell>
          <cell r="M16">
            <v>2</v>
          </cell>
          <cell r="N16">
            <v>1</v>
          </cell>
          <cell r="O16">
            <v>0</v>
          </cell>
          <cell r="P16">
            <v>0</v>
          </cell>
          <cell r="Q16">
            <v>1</v>
          </cell>
          <cell r="R16">
            <v>1</v>
          </cell>
          <cell r="S16">
            <v>3</v>
          </cell>
          <cell r="T16">
            <v>66</v>
          </cell>
          <cell r="U16">
            <v>9</v>
          </cell>
        </row>
        <row r="17">
          <cell r="A17">
            <v>43733</v>
          </cell>
          <cell r="B17">
            <v>51200</v>
          </cell>
          <cell r="C17" t="str">
            <v>Multisite AGEN</v>
          </cell>
          <cell r="D17">
            <v>0.10224358974358974</v>
          </cell>
          <cell r="E17">
            <v>19</v>
          </cell>
          <cell r="F17">
            <v>9.7141350311540434E-2</v>
          </cell>
          <cell r="G17">
            <v>23</v>
          </cell>
          <cell r="H17">
            <v>0.11145582649540434</v>
          </cell>
          <cell r="I17">
            <v>9</v>
          </cell>
          <cell r="J17">
            <v>0.167086490221624</v>
          </cell>
          <cell r="K17">
            <v>11</v>
          </cell>
          <cell r="L17">
            <v>0.17154749031269712</v>
          </cell>
          <cell r="M17">
            <v>6</v>
          </cell>
          <cell r="N17">
            <v>0</v>
          </cell>
          <cell r="O17">
            <v>0</v>
          </cell>
          <cell r="P17">
            <v>0</v>
          </cell>
          <cell r="Q17">
            <v>1</v>
          </cell>
          <cell r="R17">
            <v>1</v>
          </cell>
          <cell r="S17">
            <v>2</v>
          </cell>
          <cell r="T17">
            <v>68</v>
          </cell>
          <cell r="U17">
            <v>11</v>
          </cell>
        </row>
        <row r="18">
          <cell r="A18">
            <v>43703</v>
          </cell>
          <cell r="B18">
            <v>51800</v>
          </cell>
          <cell r="C18" t="str">
            <v>Multisite BORDEAUX</v>
          </cell>
          <cell r="D18">
            <v>0.12786095193931965</v>
          </cell>
          <cell r="E18">
            <v>10</v>
          </cell>
          <cell r="F18">
            <v>0.13807801884724963</v>
          </cell>
          <cell r="G18">
            <v>2</v>
          </cell>
          <cell r="H18">
            <v>9.3746634356488973E-2</v>
          </cell>
          <cell r="I18">
            <v>21</v>
          </cell>
          <cell r="J18">
            <v>0.12884926899781826</v>
          </cell>
          <cell r="K18">
            <v>25</v>
          </cell>
          <cell r="L18">
            <v>0.1367224311386748</v>
          </cell>
          <cell r="M18">
            <v>12</v>
          </cell>
          <cell r="N18">
            <v>1</v>
          </cell>
          <cell r="O18">
            <v>1</v>
          </cell>
          <cell r="P18">
            <v>0</v>
          </cell>
          <cell r="Q18">
            <v>1</v>
          </cell>
          <cell r="R18">
            <v>1</v>
          </cell>
          <cell r="S18">
            <v>4</v>
          </cell>
          <cell r="T18">
            <v>70</v>
          </cell>
          <cell r="U18">
            <v>12</v>
          </cell>
        </row>
        <row r="19">
          <cell r="A19">
            <v>43874</v>
          </cell>
          <cell r="B19">
            <v>58138</v>
          </cell>
          <cell r="C19" t="str">
            <v>Multisite COGNAC</v>
          </cell>
          <cell r="D19">
            <v>0.13387869991643575</v>
          </cell>
          <cell r="E19">
            <v>7</v>
          </cell>
          <cell r="F19">
            <v>0.10148974236414084</v>
          </cell>
          <cell r="G19">
            <v>17</v>
          </cell>
          <cell r="H19">
            <v>0.12684348586417954</v>
          </cell>
          <cell r="I19">
            <v>7</v>
          </cell>
          <cell r="J19">
            <v>0.15674542795936419</v>
          </cell>
          <cell r="K19">
            <v>14</v>
          </cell>
          <cell r="L19">
            <v>0.12524285262466878</v>
          </cell>
          <cell r="M19">
            <v>25</v>
          </cell>
          <cell r="N19">
            <v>1</v>
          </cell>
          <cell r="O19">
            <v>0</v>
          </cell>
          <cell r="P19">
            <v>0</v>
          </cell>
          <cell r="Q19">
            <v>1</v>
          </cell>
          <cell r="R19">
            <v>0</v>
          </cell>
          <cell r="S19">
            <v>2</v>
          </cell>
          <cell r="T19">
            <v>70</v>
          </cell>
          <cell r="U19">
            <v>12</v>
          </cell>
        </row>
        <row r="20">
          <cell r="A20">
            <v>43765</v>
          </cell>
          <cell r="B20">
            <v>53533</v>
          </cell>
          <cell r="C20" t="str">
            <v>Multisite ORTHEZ</v>
          </cell>
          <cell r="D20">
            <v>0.1111111111111111</v>
          </cell>
          <cell r="E20">
            <v>17</v>
          </cell>
          <cell r="F20">
            <v>0.11151931642042889</v>
          </cell>
          <cell r="G20">
            <v>8</v>
          </cell>
          <cell r="H20">
            <v>0.10996209817041785</v>
          </cell>
          <cell r="I20">
            <v>11</v>
          </cell>
          <cell r="J20">
            <v>0.12904301396135784</v>
          </cell>
          <cell r="K20">
            <v>24</v>
          </cell>
          <cell r="L20">
            <v>0.13369558321596689</v>
          </cell>
          <cell r="M20">
            <v>16</v>
          </cell>
          <cell r="N20">
            <v>0</v>
          </cell>
          <cell r="O20">
            <v>0</v>
          </cell>
          <cell r="P20">
            <v>0</v>
          </cell>
          <cell r="Q20">
            <v>1</v>
          </cell>
          <cell r="R20">
            <v>1</v>
          </cell>
          <cell r="S20">
            <v>2</v>
          </cell>
          <cell r="T20">
            <v>76</v>
          </cell>
          <cell r="U20">
            <v>14</v>
          </cell>
        </row>
        <row r="21">
          <cell r="A21">
            <v>43874</v>
          </cell>
          <cell r="B21">
            <v>55200</v>
          </cell>
          <cell r="C21" t="str">
            <v>Multisite ANGOULEME</v>
          </cell>
          <cell r="D21">
            <v>0.11001038741199554</v>
          </cell>
          <cell r="E21">
            <v>18</v>
          </cell>
          <cell r="F21">
            <v>0.10235399447234428</v>
          </cell>
          <cell r="G21">
            <v>14</v>
          </cell>
          <cell r="H21">
            <v>0.11032598454870926</v>
          </cell>
          <cell r="I21">
            <v>10</v>
          </cell>
          <cell r="J21">
            <v>0.16433472931117218</v>
          </cell>
          <cell r="K21">
            <v>12</v>
          </cell>
          <cell r="L21">
            <v>0.12524285262466878</v>
          </cell>
          <cell r="M21">
            <v>25</v>
          </cell>
          <cell r="N21">
            <v>0</v>
          </cell>
          <cell r="O21">
            <v>0</v>
          </cell>
          <cell r="P21">
            <v>0</v>
          </cell>
          <cell r="Q21">
            <v>1</v>
          </cell>
          <cell r="R21">
            <v>0</v>
          </cell>
          <cell r="S21">
            <v>1</v>
          </cell>
          <cell r="T21">
            <v>79</v>
          </cell>
          <cell r="U21">
            <v>15</v>
          </cell>
        </row>
        <row r="22">
          <cell r="A22">
            <v>43763</v>
          </cell>
          <cell r="B22">
            <v>51734</v>
          </cell>
          <cell r="C22" t="str">
            <v>Multisite MONT DE MARSAN</v>
          </cell>
          <cell r="D22">
            <v>7.7701048094818301E-2</v>
          </cell>
          <cell r="E22">
            <v>29</v>
          </cell>
          <cell r="F22">
            <v>0.10151438447510955</v>
          </cell>
          <cell r="G22">
            <v>16</v>
          </cell>
          <cell r="H22">
            <v>9.8827339034205236E-2</v>
          </cell>
          <cell r="I22">
            <v>17</v>
          </cell>
          <cell r="J22">
            <v>0.16258899964400142</v>
          </cell>
          <cell r="K22">
            <v>13</v>
          </cell>
          <cell r="L22">
            <v>0.16792726624187301</v>
          </cell>
          <cell r="M22">
            <v>9</v>
          </cell>
          <cell r="N22">
            <v>0</v>
          </cell>
          <cell r="O22">
            <v>0</v>
          </cell>
          <cell r="P22">
            <v>0</v>
          </cell>
          <cell r="Q22">
            <v>1</v>
          </cell>
          <cell r="R22">
            <v>1</v>
          </cell>
          <cell r="S22">
            <v>2</v>
          </cell>
          <cell r="T22">
            <v>84</v>
          </cell>
          <cell r="U22">
            <v>16</v>
          </cell>
        </row>
        <row r="23">
          <cell r="A23">
            <v>43739</v>
          </cell>
          <cell r="B23">
            <v>51848</v>
          </cell>
          <cell r="C23" t="str">
            <v>Multisite LA TESTE DE BUCH</v>
          </cell>
          <cell r="D23">
            <v>0.10011792004260336</v>
          </cell>
          <cell r="E23">
            <v>20</v>
          </cell>
          <cell r="F23">
            <v>0.10079841550011795</v>
          </cell>
          <cell r="G23">
            <v>19</v>
          </cell>
          <cell r="H23">
            <v>9.874297374297375E-2</v>
          </cell>
          <cell r="I23">
            <v>18</v>
          </cell>
          <cell r="J23">
            <v>0.26399812000626666</v>
          </cell>
          <cell r="K23">
            <v>1</v>
          </cell>
          <cell r="L23">
            <v>0.12434640522875817</v>
          </cell>
          <cell r="M23">
            <v>27</v>
          </cell>
          <cell r="N23">
            <v>0</v>
          </cell>
          <cell r="O23">
            <v>0</v>
          </cell>
          <cell r="P23">
            <v>0</v>
          </cell>
          <cell r="Q23">
            <v>1</v>
          </cell>
          <cell r="R23">
            <v>0</v>
          </cell>
          <cell r="S23">
            <v>1</v>
          </cell>
          <cell r="T23">
            <v>85</v>
          </cell>
          <cell r="U23">
            <v>17</v>
          </cell>
        </row>
        <row r="24">
          <cell r="A24">
            <v>43804</v>
          </cell>
          <cell r="B24">
            <v>57800</v>
          </cell>
          <cell r="C24" t="str">
            <v>Multisite POITIERS</v>
          </cell>
          <cell r="D24">
            <v>0.11315632400793268</v>
          </cell>
          <cell r="E24">
            <v>16</v>
          </cell>
          <cell r="F24">
            <v>8.7249640780020524E-2</v>
          </cell>
          <cell r="G24">
            <v>28</v>
          </cell>
          <cell r="H24">
            <v>0.10452380952380952</v>
          </cell>
          <cell r="I24">
            <v>13</v>
          </cell>
          <cell r="J24">
            <v>0.21589997289944651</v>
          </cell>
          <cell r="K24">
            <v>5</v>
          </cell>
          <cell r="L24">
            <v>0.13098734770561396</v>
          </cell>
          <cell r="M24">
            <v>23</v>
          </cell>
          <cell r="N24">
            <v>0</v>
          </cell>
          <cell r="O24">
            <v>0</v>
          </cell>
          <cell r="P24">
            <v>0</v>
          </cell>
          <cell r="Q24">
            <v>1</v>
          </cell>
          <cell r="R24">
            <v>1</v>
          </cell>
          <cell r="S24">
            <v>2</v>
          </cell>
          <cell r="T24">
            <v>85</v>
          </cell>
          <cell r="U24">
            <v>17</v>
          </cell>
        </row>
        <row r="25">
          <cell r="A25">
            <v>43804</v>
          </cell>
          <cell r="B25">
            <v>57836</v>
          </cell>
          <cell r="C25" t="str">
            <v>Multisite POITIERS PROVENCE</v>
          </cell>
          <cell r="D25">
            <v>0.11386439647309213</v>
          </cell>
          <cell r="E25">
            <v>15</v>
          </cell>
          <cell r="F25">
            <v>8.8039459560090461E-2</v>
          </cell>
          <cell r="G25">
            <v>27</v>
          </cell>
          <cell r="H25">
            <v>0.10708269675245818</v>
          </cell>
          <cell r="I25">
            <v>12</v>
          </cell>
          <cell r="J25">
            <v>0.17446323092463112</v>
          </cell>
          <cell r="K25">
            <v>8</v>
          </cell>
          <cell r="L25">
            <v>0.13098734770561396</v>
          </cell>
          <cell r="M25">
            <v>23</v>
          </cell>
          <cell r="N25">
            <v>0</v>
          </cell>
          <cell r="O25">
            <v>0</v>
          </cell>
          <cell r="P25">
            <v>0</v>
          </cell>
          <cell r="Q25">
            <v>1</v>
          </cell>
          <cell r="R25">
            <v>1</v>
          </cell>
          <cell r="S25">
            <v>2</v>
          </cell>
          <cell r="T25">
            <v>85</v>
          </cell>
          <cell r="U25">
            <v>17</v>
          </cell>
        </row>
        <row r="26">
          <cell r="A26">
            <v>43812</v>
          </cell>
          <cell r="B26">
            <v>57833</v>
          </cell>
          <cell r="C26" t="str">
            <v>Multisite NIORT</v>
          </cell>
          <cell r="D26">
            <v>8.967091040115302E-2</v>
          </cell>
          <cell r="E26">
            <v>24</v>
          </cell>
          <cell r="F26">
            <v>8.3489003034605644E-2</v>
          </cell>
          <cell r="G26">
            <v>30</v>
          </cell>
          <cell r="H26">
            <v>9.0713511840272404E-2</v>
          </cell>
          <cell r="I26">
            <v>24</v>
          </cell>
          <cell r="J26">
            <v>0.18324345298145286</v>
          </cell>
          <cell r="K26">
            <v>7</v>
          </cell>
          <cell r="L26">
            <v>0.18794869321242233</v>
          </cell>
          <cell r="M26">
            <v>2</v>
          </cell>
          <cell r="N26">
            <v>0</v>
          </cell>
          <cell r="O26">
            <v>0</v>
          </cell>
          <cell r="P26">
            <v>0</v>
          </cell>
          <cell r="Q26">
            <v>1</v>
          </cell>
          <cell r="R26">
            <v>1</v>
          </cell>
          <cell r="S26">
            <v>2</v>
          </cell>
          <cell r="T26">
            <v>87</v>
          </cell>
          <cell r="U26">
            <v>20</v>
          </cell>
        </row>
        <row r="27">
          <cell r="A27">
            <v>43717</v>
          </cell>
          <cell r="B27">
            <v>51845</v>
          </cell>
          <cell r="C27" t="str">
            <v>Multisite PESSAC</v>
          </cell>
          <cell r="D27">
            <v>7.8934350929262945E-2</v>
          </cell>
          <cell r="E27">
            <v>28</v>
          </cell>
          <cell r="F27">
            <v>0.10117435029925176</v>
          </cell>
          <cell r="G27">
            <v>18</v>
          </cell>
          <cell r="H27">
            <v>6.1557408927876929E-2</v>
          </cell>
          <cell r="I27">
            <v>30</v>
          </cell>
          <cell r="J27">
            <v>0.26247270420518437</v>
          </cell>
          <cell r="K27">
            <v>2</v>
          </cell>
          <cell r="L27">
            <v>0.13634999659005662</v>
          </cell>
          <cell r="M27">
            <v>14</v>
          </cell>
          <cell r="N27">
            <v>0</v>
          </cell>
          <cell r="O27">
            <v>0</v>
          </cell>
          <cell r="P27">
            <v>0</v>
          </cell>
          <cell r="Q27">
            <v>1</v>
          </cell>
          <cell r="R27">
            <v>1</v>
          </cell>
          <cell r="S27">
            <v>2</v>
          </cell>
          <cell r="T27">
            <v>92</v>
          </cell>
          <cell r="U27">
            <v>21</v>
          </cell>
        </row>
        <row r="28">
          <cell r="A28">
            <v>43741</v>
          </cell>
          <cell r="B28">
            <v>51835</v>
          </cell>
          <cell r="C28" t="str">
            <v>Multisite LIBOURNE</v>
          </cell>
          <cell r="D28">
            <v>8.237410071942447E-2</v>
          </cell>
          <cell r="E28">
            <v>27</v>
          </cell>
          <cell r="F28">
            <v>9.6232558874119509E-2</v>
          </cell>
          <cell r="G28">
            <v>24</v>
          </cell>
          <cell r="H28">
            <v>0.14079618020973694</v>
          </cell>
          <cell r="I28">
            <v>4</v>
          </cell>
          <cell r="J28">
            <v>9.1266633846521061E-2</v>
          </cell>
          <cell r="K28">
            <v>30</v>
          </cell>
          <cell r="L28">
            <v>0.17094293417167872</v>
          </cell>
          <cell r="M28">
            <v>7</v>
          </cell>
          <cell r="N28">
            <v>0</v>
          </cell>
          <cell r="O28">
            <v>0</v>
          </cell>
          <cell r="P28">
            <v>1</v>
          </cell>
          <cell r="Q28">
            <v>0</v>
          </cell>
          <cell r="R28">
            <v>1</v>
          </cell>
          <cell r="S28">
            <v>2</v>
          </cell>
          <cell r="T28">
            <v>92</v>
          </cell>
          <cell r="U28">
            <v>21</v>
          </cell>
        </row>
        <row r="29">
          <cell r="A29">
            <v>43787</v>
          </cell>
          <cell r="B29">
            <v>51732</v>
          </cell>
          <cell r="C29" t="str">
            <v>Multisite DAX</v>
          </cell>
          <cell r="D29">
            <v>0.13752913752913754</v>
          </cell>
          <cell r="E29">
            <v>6</v>
          </cell>
          <cell r="F29">
            <v>8.5560209923300184E-2</v>
          </cell>
          <cell r="G29">
            <v>29</v>
          </cell>
          <cell r="H29">
            <v>9.3062096155952248E-2</v>
          </cell>
          <cell r="I29">
            <v>22</v>
          </cell>
          <cell r="J29">
            <v>8.7752234843590321E-2</v>
          </cell>
          <cell r="K29">
            <v>31</v>
          </cell>
          <cell r="L29">
            <v>0.14580712333521323</v>
          </cell>
          <cell r="M29">
            <v>10</v>
          </cell>
          <cell r="N29">
            <v>1</v>
          </cell>
          <cell r="O29">
            <v>0</v>
          </cell>
          <cell r="P29">
            <v>0</v>
          </cell>
          <cell r="Q29">
            <v>0</v>
          </cell>
          <cell r="R29">
            <v>1</v>
          </cell>
          <cell r="S29">
            <v>2</v>
          </cell>
          <cell r="T29">
            <v>98</v>
          </cell>
          <cell r="U29">
            <v>23</v>
          </cell>
        </row>
        <row r="30">
          <cell r="A30">
            <v>43739</v>
          </cell>
          <cell r="B30">
            <v>51852</v>
          </cell>
          <cell r="C30" t="str">
            <v>Multisite ANDERNOS LES BAINS</v>
          </cell>
          <cell r="D30">
            <v>0.11687624867787048</v>
          </cell>
          <cell r="E30">
            <v>12</v>
          </cell>
          <cell r="F30">
            <v>7.7727599590666455E-2</v>
          </cell>
          <cell r="G30">
            <v>32</v>
          </cell>
          <cell r="H30">
            <v>9.816354900860913E-2</v>
          </cell>
          <cell r="I30">
            <v>19</v>
          </cell>
          <cell r="J30">
            <v>0.16964649195826928</v>
          </cell>
          <cell r="K30">
            <v>10</v>
          </cell>
          <cell r="L30">
            <v>0.12434640522875817</v>
          </cell>
          <cell r="M30">
            <v>27</v>
          </cell>
          <cell r="N30">
            <v>0</v>
          </cell>
          <cell r="O30">
            <v>0</v>
          </cell>
          <cell r="P30">
            <v>0</v>
          </cell>
          <cell r="Q30">
            <v>1</v>
          </cell>
          <cell r="R30">
            <v>0</v>
          </cell>
          <cell r="S30">
            <v>1</v>
          </cell>
          <cell r="T30">
            <v>100</v>
          </cell>
          <cell r="U30">
            <v>24</v>
          </cell>
        </row>
        <row r="31">
          <cell r="A31">
            <v>43864</v>
          </cell>
          <cell r="B31">
            <v>6700</v>
          </cell>
          <cell r="C31" t="str">
            <v>LIMOGES</v>
          </cell>
          <cell r="D31">
            <v>0.13356442119032047</v>
          </cell>
          <cell r="E31">
            <v>8</v>
          </cell>
          <cell r="F31">
            <v>8.8069837651136046E-2</v>
          </cell>
          <cell r="G31">
            <v>26</v>
          </cell>
          <cell r="H31">
            <v>8.3297985153764575E-2</v>
          </cell>
          <cell r="I31">
            <v>25</v>
          </cell>
          <cell r="J31">
            <v>0.17262234874653581</v>
          </cell>
          <cell r="K31">
            <v>9</v>
          </cell>
          <cell r="L31">
            <v>8.2834050693448111E-2</v>
          </cell>
          <cell r="M31">
            <v>32</v>
          </cell>
          <cell r="N31">
            <v>1</v>
          </cell>
          <cell r="O31">
            <v>0</v>
          </cell>
          <cell r="P31">
            <v>0</v>
          </cell>
          <cell r="Q31">
            <v>1</v>
          </cell>
          <cell r="R31">
            <v>0</v>
          </cell>
          <cell r="S31">
            <v>2</v>
          </cell>
          <cell r="T31">
            <v>100</v>
          </cell>
          <cell r="U31">
            <v>24</v>
          </cell>
        </row>
        <row r="32">
          <cell r="A32">
            <v>43741</v>
          </cell>
          <cell r="B32">
            <v>51853</v>
          </cell>
          <cell r="C32" t="str">
            <v>Multisite CENON</v>
          </cell>
          <cell r="D32">
            <v>0.11612083568605308</v>
          </cell>
          <cell r="E32">
            <v>13</v>
          </cell>
          <cell r="F32">
            <v>9.7935022899484581E-2</v>
          </cell>
          <cell r="G32">
            <v>21</v>
          </cell>
          <cell r="H32">
            <v>5.9978582980025355E-2</v>
          </cell>
          <cell r="I32">
            <v>32</v>
          </cell>
          <cell r="J32">
            <v>0.11491591535288651</v>
          </cell>
          <cell r="K32">
            <v>28</v>
          </cell>
          <cell r="L32">
            <v>0.17094293417167872</v>
          </cell>
          <cell r="M32">
            <v>7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1</v>
          </cell>
          <cell r="S32">
            <v>1</v>
          </cell>
          <cell r="T32">
            <v>101</v>
          </cell>
          <cell r="U32">
            <v>26</v>
          </cell>
        </row>
        <row r="33">
          <cell r="A33">
            <v>43783</v>
          </cell>
          <cell r="B33">
            <v>51731</v>
          </cell>
          <cell r="C33" t="str">
            <v>Multisite BIARRITZ</v>
          </cell>
          <cell r="D33">
            <v>8.4321835492430164E-2</v>
          </cell>
          <cell r="E33">
            <v>26</v>
          </cell>
          <cell r="F33">
            <v>9.7382147370969785E-2</v>
          </cell>
          <cell r="G33">
            <v>22</v>
          </cell>
          <cell r="H33">
            <v>9.9441476444876165E-2</v>
          </cell>
          <cell r="I33">
            <v>15</v>
          </cell>
          <cell r="J33">
            <v>0.14307321650074742</v>
          </cell>
          <cell r="K33">
            <v>19</v>
          </cell>
          <cell r="L33">
            <v>0.13119203286728021</v>
          </cell>
          <cell r="M33">
            <v>19</v>
          </cell>
          <cell r="N33">
            <v>0</v>
          </cell>
          <cell r="O33">
            <v>0</v>
          </cell>
          <cell r="P33">
            <v>0</v>
          </cell>
          <cell r="Q33">
            <v>1</v>
          </cell>
          <cell r="R33">
            <v>1</v>
          </cell>
          <cell r="S33">
            <v>2</v>
          </cell>
          <cell r="T33">
            <v>101</v>
          </cell>
          <cell r="U33">
            <v>26</v>
          </cell>
        </row>
        <row r="34">
          <cell r="A34">
            <v>43783</v>
          </cell>
          <cell r="B34">
            <v>51700</v>
          </cell>
          <cell r="C34" t="str">
            <v>Multisite BAYONNE</v>
          </cell>
          <cell r="D34">
            <v>9.4197479573466275E-2</v>
          </cell>
          <cell r="E34">
            <v>21</v>
          </cell>
          <cell r="F34">
            <v>7.8558766534670144E-2</v>
          </cell>
          <cell r="G34">
            <v>31</v>
          </cell>
          <cell r="H34">
            <v>0.13057646160558464</v>
          </cell>
          <cell r="I34">
            <v>6</v>
          </cell>
          <cell r="J34">
            <v>0.12056776652396367</v>
          </cell>
          <cell r="K34">
            <v>27</v>
          </cell>
          <cell r="L34">
            <v>0.13119203286728021</v>
          </cell>
          <cell r="M34">
            <v>19</v>
          </cell>
          <cell r="N34">
            <v>0</v>
          </cell>
          <cell r="O34">
            <v>0</v>
          </cell>
          <cell r="P34">
            <v>1</v>
          </cell>
          <cell r="Q34">
            <v>0</v>
          </cell>
          <cell r="R34">
            <v>1</v>
          </cell>
          <cell r="S34">
            <v>2</v>
          </cell>
          <cell r="T34">
            <v>104</v>
          </cell>
          <cell r="U34">
            <v>28</v>
          </cell>
        </row>
        <row r="35">
          <cell r="A35">
            <v>43711</v>
          </cell>
          <cell r="B35">
            <v>51851</v>
          </cell>
          <cell r="C35" t="str">
            <v>Multisite CAUDERAN</v>
          </cell>
          <cell r="D35">
            <v>9.4157839557499734E-2</v>
          </cell>
          <cell r="E35">
            <v>22</v>
          </cell>
          <cell r="F35">
            <v>0.10646470489205348</v>
          </cell>
          <cell r="G35">
            <v>10</v>
          </cell>
          <cell r="H35">
            <v>9.234993475424097E-2</v>
          </cell>
          <cell r="I35">
            <v>23</v>
          </cell>
          <cell r="J35">
            <v>0.13269745341697634</v>
          </cell>
          <cell r="K35">
            <v>22</v>
          </cell>
          <cell r="L35">
            <v>0.10754985754985753</v>
          </cell>
          <cell r="M35">
            <v>29</v>
          </cell>
          <cell r="N35">
            <v>0</v>
          </cell>
          <cell r="O35">
            <v>0</v>
          </cell>
          <cell r="P35">
            <v>0</v>
          </cell>
          <cell r="Q35">
            <v>1</v>
          </cell>
          <cell r="R35">
            <v>0</v>
          </cell>
          <cell r="S35">
            <v>1</v>
          </cell>
          <cell r="T35">
            <v>106</v>
          </cell>
          <cell r="U35">
            <v>29</v>
          </cell>
        </row>
        <row r="36">
          <cell r="A36">
            <v>43717</v>
          </cell>
          <cell r="B36">
            <v>51855</v>
          </cell>
          <cell r="C36" t="str">
            <v>Multisite TALENCE</v>
          </cell>
          <cell r="D36">
            <v>9.1324861782499211E-2</v>
          </cell>
          <cell r="E36">
            <v>23</v>
          </cell>
          <cell r="F36">
            <v>0.10017317560292413</v>
          </cell>
          <cell r="G36">
            <v>20</v>
          </cell>
          <cell r="H36">
            <v>8.1581516433452655E-2</v>
          </cell>
          <cell r="I36">
            <v>26</v>
          </cell>
          <cell r="J36">
            <v>0.12742971567381506</v>
          </cell>
          <cell r="K36">
            <v>26</v>
          </cell>
          <cell r="L36">
            <v>0.13634999659005662</v>
          </cell>
          <cell r="M36">
            <v>14</v>
          </cell>
          <cell r="N36">
            <v>0</v>
          </cell>
          <cell r="O36">
            <v>0</v>
          </cell>
          <cell r="P36">
            <v>0</v>
          </cell>
          <cell r="Q36">
            <v>1</v>
          </cell>
          <cell r="R36">
            <v>1</v>
          </cell>
          <cell r="S36">
            <v>2</v>
          </cell>
          <cell r="T36">
            <v>109</v>
          </cell>
          <cell r="U36">
            <v>30</v>
          </cell>
        </row>
        <row r="37">
          <cell r="A37">
            <v>43765</v>
          </cell>
          <cell r="B37">
            <v>53538</v>
          </cell>
          <cell r="C37" t="str">
            <v>Multisite PAU THIERS</v>
          </cell>
          <cell r="D37">
            <v>8.8014240506329111E-2</v>
          </cell>
          <cell r="E37">
            <v>25</v>
          </cell>
          <cell r="F37">
            <v>0.10223963957072513</v>
          </cell>
          <cell r="G37">
            <v>15</v>
          </cell>
          <cell r="H37">
            <v>6.8150990836007536E-2</v>
          </cell>
          <cell r="I37">
            <v>29</v>
          </cell>
          <cell r="J37">
            <v>0.11312601861608711</v>
          </cell>
          <cell r="K37">
            <v>29</v>
          </cell>
          <cell r="L37">
            <v>0.13369558321596689</v>
          </cell>
          <cell r="M37">
            <v>16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1</v>
          </cell>
          <cell r="S37">
            <v>1</v>
          </cell>
          <cell r="T37">
            <v>114</v>
          </cell>
          <cell r="U37">
            <v>31</v>
          </cell>
        </row>
        <row r="38">
          <cell r="A38">
            <v>43711</v>
          </cell>
          <cell r="B38">
            <v>1840</v>
          </cell>
          <cell r="C38" t="str">
            <v>MERIGNAC</v>
          </cell>
          <cell r="D38">
            <v>6.6828695396861648E-2</v>
          </cell>
          <cell r="E38">
            <v>31</v>
          </cell>
          <cell r="F38">
            <v>9.1531168831168838E-2</v>
          </cell>
          <cell r="G38">
            <v>25</v>
          </cell>
          <cell r="H38">
            <v>7.9265990723762267E-2</v>
          </cell>
          <cell r="I38">
            <v>27</v>
          </cell>
          <cell r="J38">
            <v>8.4404948939512961E-2</v>
          </cell>
          <cell r="K38">
            <v>32</v>
          </cell>
          <cell r="L38">
            <v>0.10754985754985753</v>
          </cell>
          <cell r="M38">
            <v>29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144</v>
          </cell>
          <cell r="U38">
            <v>32</v>
          </cell>
        </row>
        <row r="39">
          <cell r="B39" t="str">
            <v>Agences Catégorie B</v>
          </cell>
          <cell r="D39" t="str">
            <v>Plafonnement à 44%</v>
          </cell>
        </row>
        <row r="40">
          <cell r="A40">
            <v>43864</v>
          </cell>
          <cell r="B40">
            <v>56733</v>
          </cell>
          <cell r="C40" t="str">
            <v>Multisite GUERET</v>
          </cell>
          <cell r="D40">
            <v>0.13203463203463203</v>
          </cell>
          <cell r="E40">
            <v>4</v>
          </cell>
          <cell r="F40">
            <v>0.1353828670407749</v>
          </cell>
          <cell r="G40">
            <v>1</v>
          </cell>
          <cell r="H40">
            <v>0.19595174518405495</v>
          </cell>
          <cell r="I40">
            <v>1</v>
          </cell>
          <cell r="J40">
            <v>0.29231044277360069</v>
          </cell>
          <cell r="K40">
            <v>1</v>
          </cell>
          <cell r="L40">
            <v>8.2834050693448111E-2</v>
          </cell>
          <cell r="M40">
            <v>18</v>
          </cell>
          <cell r="N40">
            <v>1</v>
          </cell>
          <cell r="O40">
            <v>1</v>
          </cell>
          <cell r="P40">
            <v>1</v>
          </cell>
          <cell r="Q40">
            <v>1</v>
          </cell>
          <cell r="R40">
            <v>0</v>
          </cell>
          <cell r="S40">
            <v>4</v>
          </cell>
          <cell r="T40">
            <v>25</v>
          </cell>
          <cell r="U40">
            <v>1</v>
          </cell>
        </row>
        <row r="41">
          <cell r="A41">
            <v>43866</v>
          </cell>
          <cell r="B41">
            <v>56741</v>
          </cell>
          <cell r="C41" t="str">
            <v>Multisite OBJAT</v>
          </cell>
          <cell r="D41">
            <v>0.12904109589041096</v>
          </cell>
          <cell r="E41">
            <v>6</v>
          </cell>
          <cell r="F41">
            <v>0.12630806736151948</v>
          </cell>
          <cell r="G41">
            <v>3</v>
          </cell>
          <cell r="H41">
            <v>0.12459052194802359</v>
          </cell>
          <cell r="I41">
            <v>5</v>
          </cell>
          <cell r="J41">
            <v>0.23297153098220169</v>
          </cell>
          <cell r="K41">
            <v>5</v>
          </cell>
          <cell r="L41">
            <v>0.14999651689306862</v>
          </cell>
          <cell r="M41">
            <v>9</v>
          </cell>
          <cell r="N41">
            <v>1</v>
          </cell>
          <cell r="O41">
            <v>0</v>
          </cell>
          <cell r="P41">
            <v>0</v>
          </cell>
          <cell r="Q41">
            <v>1</v>
          </cell>
          <cell r="R41">
            <v>1</v>
          </cell>
          <cell r="S41">
            <v>3</v>
          </cell>
          <cell r="T41">
            <v>28</v>
          </cell>
          <cell r="U41">
            <v>2</v>
          </cell>
        </row>
        <row r="42">
          <cell r="A42">
            <v>43741</v>
          </cell>
          <cell r="B42">
            <v>1836</v>
          </cell>
          <cell r="C42" t="str">
            <v>BORDEAUX LA BASTIDE</v>
          </cell>
          <cell r="D42">
            <v>0.13660191181005243</v>
          </cell>
          <cell r="E42">
            <v>3</v>
          </cell>
          <cell r="F42">
            <v>0.10846565331377264</v>
          </cell>
          <cell r="G42">
            <v>8</v>
          </cell>
          <cell r="H42">
            <v>9.9179292929292923E-2</v>
          </cell>
          <cell r="I42">
            <v>6</v>
          </cell>
          <cell r="J42">
            <v>0.14091824240766967</v>
          </cell>
          <cell r="K42">
            <v>10</v>
          </cell>
          <cell r="L42">
            <v>0.17094293417167872</v>
          </cell>
          <cell r="M42">
            <v>6</v>
          </cell>
          <cell r="N42">
            <v>1</v>
          </cell>
          <cell r="O42">
            <v>0</v>
          </cell>
          <cell r="P42">
            <v>0</v>
          </cell>
          <cell r="Q42">
            <v>1</v>
          </cell>
          <cell r="R42">
            <v>1</v>
          </cell>
          <cell r="S42">
            <v>3</v>
          </cell>
          <cell r="T42">
            <v>33</v>
          </cell>
          <cell r="U42">
            <v>3</v>
          </cell>
        </row>
        <row r="43">
          <cell r="A43">
            <v>43747</v>
          </cell>
          <cell r="B43">
            <v>55235</v>
          </cell>
          <cell r="C43" t="str">
            <v>Multisite BERGERAC</v>
          </cell>
          <cell r="D43">
            <v>0.10465470033465166</v>
          </cell>
          <cell r="E43">
            <v>10</v>
          </cell>
          <cell r="F43">
            <v>9.3617157238086654E-2</v>
          </cell>
          <cell r="G43">
            <v>10</v>
          </cell>
          <cell r="H43">
            <v>9.7111931200369039E-2</v>
          </cell>
          <cell r="I43">
            <v>8</v>
          </cell>
          <cell r="J43">
            <v>0.16709807178685429</v>
          </cell>
          <cell r="K43">
            <v>6</v>
          </cell>
          <cell r="L43">
            <v>0.21881953867028492</v>
          </cell>
          <cell r="M43">
            <v>1</v>
          </cell>
          <cell r="N43">
            <v>0</v>
          </cell>
          <cell r="O43">
            <v>0</v>
          </cell>
          <cell r="P43">
            <v>0</v>
          </cell>
          <cell r="Q43">
            <v>1</v>
          </cell>
          <cell r="R43">
            <v>1</v>
          </cell>
          <cell r="S43">
            <v>2</v>
          </cell>
          <cell r="T43">
            <v>35</v>
          </cell>
          <cell r="U43">
            <v>4</v>
          </cell>
        </row>
        <row r="44">
          <cell r="A44">
            <v>43733</v>
          </cell>
          <cell r="B44">
            <v>51232</v>
          </cell>
          <cell r="C44" t="str">
            <v>Multisite MARMANDE</v>
          </cell>
          <cell r="D44">
            <v>0.16311252268602541</v>
          </cell>
          <cell r="E44">
            <v>1</v>
          </cell>
          <cell r="F44">
            <v>8.7528411479725482E-2</v>
          </cell>
          <cell r="G44">
            <v>13</v>
          </cell>
          <cell r="H44">
            <v>0.13660477453580902</v>
          </cell>
          <cell r="I44">
            <v>3</v>
          </cell>
          <cell r="J44">
            <v>0.12773825065274153</v>
          </cell>
          <cell r="K44">
            <v>13</v>
          </cell>
          <cell r="L44">
            <v>0.17154749031269712</v>
          </cell>
          <cell r="M44">
            <v>5</v>
          </cell>
          <cell r="N44">
            <v>1</v>
          </cell>
          <cell r="O44">
            <v>0</v>
          </cell>
          <cell r="P44">
            <v>1</v>
          </cell>
          <cell r="Q44">
            <v>1</v>
          </cell>
          <cell r="R44">
            <v>1</v>
          </cell>
          <cell r="S44">
            <v>4</v>
          </cell>
          <cell r="T44">
            <v>35</v>
          </cell>
          <cell r="U44">
            <v>4</v>
          </cell>
        </row>
        <row r="45">
          <cell r="A45">
            <v>43816</v>
          </cell>
          <cell r="B45">
            <v>58135</v>
          </cell>
          <cell r="C45" t="str">
            <v>Multisite SAINTES</v>
          </cell>
          <cell r="D45">
            <v>0.11444805194805195</v>
          </cell>
          <cell r="E45">
            <v>8</v>
          </cell>
          <cell r="F45">
            <v>9.2941651109071932E-2</v>
          </cell>
          <cell r="G45">
            <v>11</v>
          </cell>
          <cell r="H45">
            <v>0.14412838454517796</v>
          </cell>
          <cell r="I45">
            <v>2</v>
          </cell>
          <cell r="J45">
            <v>0.13790941867380313</v>
          </cell>
          <cell r="K45">
            <v>11</v>
          </cell>
          <cell r="L45">
            <v>0.18957044673539522</v>
          </cell>
          <cell r="M45">
            <v>3</v>
          </cell>
          <cell r="N45">
            <v>0</v>
          </cell>
          <cell r="O45">
            <v>0</v>
          </cell>
          <cell r="P45">
            <v>1</v>
          </cell>
          <cell r="Q45">
            <v>1</v>
          </cell>
          <cell r="R45">
            <v>1</v>
          </cell>
          <cell r="S45">
            <v>3</v>
          </cell>
          <cell r="T45">
            <v>35</v>
          </cell>
          <cell r="U45">
            <v>4</v>
          </cell>
        </row>
        <row r="46">
          <cell r="A46">
            <v>43804</v>
          </cell>
          <cell r="B46">
            <v>7831</v>
          </cell>
          <cell r="C46" t="str">
            <v>CHATELLERAULT</v>
          </cell>
          <cell r="D46">
            <v>0.10060160427807487</v>
          </cell>
          <cell r="E46">
            <v>12</v>
          </cell>
          <cell r="F46">
            <v>0.12432041435970709</v>
          </cell>
          <cell r="G46">
            <v>4</v>
          </cell>
          <cell r="H46">
            <v>0.12553956834532376</v>
          </cell>
          <cell r="I46">
            <v>4</v>
          </cell>
          <cell r="J46">
            <v>0.24889529180971065</v>
          </cell>
          <cell r="K46">
            <v>3</v>
          </cell>
          <cell r="L46">
            <v>0.13098734770561396</v>
          </cell>
          <cell r="M46">
            <v>14</v>
          </cell>
          <cell r="N46">
            <v>0</v>
          </cell>
          <cell r="O46">
            <v>0</v>
          </cell>
          <cell r="P46">
            <v>0</v>
          </cell>
          <cell r="Q46">
            <v>1</v>
          </cell>
          <cell r="R46">
            <v>1</v>
          </cell>
          <cell r="S46">
            <v>2</v>
          </cell>
          <cell r="T46">
            <v>37</v>
          </cell>
          <cell r="U46">
            <v>7</v>
          </cell>
        </row>
        <row r="47">
          <cell r="A47">
            <v>43816</v>
          </cell>
          <cell r="B47">
            <v>8140</v>
          </cell>
          <cell r="C47" t="str">
            <v>ROYAN</v>
          </cell>
          <cell r="D47">
            <v>0.13877551020408163</v>
          </cell>
          <cell r="E47">
            <v>2</v>
          </cell>
          <cell r="F47">
            <v>0.11042062779463788</v>
          </cell>
          <cell r="G47">
            <v>6</v>
          </cell>
          <cell r="H47">
            <v>5.8384279475982528E-2</v>
          </cell>
          <cell r="I47">
            <v>18</v>
          </cell>
          <cell r="J47">
            <v>0.16355718456461033</v>
          </cell>
          <cell r="K47">
            <v>8</v>
          </cell>
          <cell r="L47">
            <v>0.18957044673539522</v>
          </cell>
          <cell r="M47">
            <v>3</v>
          </cell>
          <cell r="N47">
            <v>1</v>
          </cell>
          <cell r="O47">
            <v>0</v>
          </cell>
          <cell r="P47">
            <v>0</v>
          </cell>
          <cell r="Q47">
            <v>1</v>
          </cell>
          <cell r="R47">
            <v>1</v>
          </cell>
          <cell r="S47">
            <v>3</v>
          </cell>
          <cell r="T47">
            <v>37</v>
          </cell>
          <cell r="U47">
            <v>7</v>
          </cell>
        </row>
        <row r="48">
          <cell r="A48">
            <v>43739</v>
          </cell>
          <cell r="B48">
            <v>1831</v>
          </cell>
          <cell r="C48" t="str">
            <v>ARCACHON</v>
          </cell>
          <cell r="D48">
            <v>0.10392082223068139</v>
          </cell>
          <cell r="E48">
            <v>11</v>
          </cell>
          <cell r="F48">
            <v>0.11632280863534733</v>
          </cell>
          <cell r="G48">
            <v>5</v>
          </cell>
          <cell r="H48">
            <v>9.1809381980640356E-2</v>
          </cell>
          <cell r="I48">
            <v>11</v>
          </cell>
          <cell r="J48">
            <v>0.26259777324760858</v>
          </cell>
          <cell r="K48">
            <v>2</v>
          </cell>
          <cell r="L48">
            <v>0.12434640522875817</v>
          </cell>
          <cell r="M48">
            <v>15</v>
          </cell>
          <cell r="N48">
            <v>0</v>
          </cell>
          <cell r="O48">
            <v>0</v>
          </cell>
          <cell r="P48">
            <v>0</v>
          </cell>
          <cell r="Q48">
            <v>1</v>
          </cell>
          <cell r="R48">
            <v>0</v>
          </cell>
          <cell r="S48">
            <v>1</v>
          </cell>
          <cell r="T48">
            <v>44</v>
          </cell>
          <cell r="U48">
            <v>9</v>
          </cell>
        </row>
        <row r="49">
          <cell r="A49">
            <v>43763</v>
          </cell>
          <cell r="B49">
            <v>51736</v>
          </cell>
          <cell r="C49" t="str">
            <v>Multisite MIMIZAN</v>
          </cell>
          <cell r="D49">
            <v>0.13141295206055509</v>
          </cell>
          <cell r="E49">
            <v>5</v>
          </cell>
          <cell r="F49">
            <v>0.10531576834498932</v>
          </cell>
          <cell r="G49">
            <v>9</v>
          </cell>
          <cell r="H49">
            <v>9.7047203160740281E-2</v>
          </cell>
          <cell r="I49">
            <v>9</v>
          </cell>
          <cell r="J49">
            <v>0.11372057555864995</v>
          </cell>
          <cell r="K49">
            <v>16</v>
          </cell>
          <cell r="L49">
            <v>0.16792726624187301</v>
          </cell>
          <cell r="M49">
            <v>8</v>
          </cell>
          <cell r="N49">
            <v>1</v>
          </cell>
          <cell r="O49">
            <v>0</v>
          </cell>
          <cell r="P49">
            <v>0</v>
          </cell>
          <cell r="Q49">
            <v>0</v>
          </cell>
          <cell r="R49">
            <v>1</v>
          </cell>
          <cell r="S49">
            <v>2</v>
          </cell>
          <cell r="T49">
            <v>47</v>
          </cell>
          <cell r="U49">
            <v>10</v>
          </cell>
        </row>
        <row r="50">
          <cell r="A50">
            <v>43866</v>
          </cell>
          <cell r="B50">
            <v>6732</v>
          </cell>
          <cell r="C50" t="str">
            <v>BRIVE</v>
          </cell>
          <cell r="D50">
            <v>7.0420168067226896E-2</v>
          </cell>
          <cell r="E50">
            <v>16</v>
          </cell>
          <cell r="F50">
            <v>8.9340756492803264E-2</v>
          </cell>
          <cell r="G50">
            <v>12</v>
          </cell>
          <cell r="H50">
            <v>9.8256134546457125E-2</v>
          </cell>
          <cell r="I50">
            <v>7</v>
          </cell>
          <cell r="J50">
            <v>0.16557663538691691</v>
          </cell>
          <cell r="K50">
            <v>7</v>
          </cell>
          <cell r="L50">
            <v>0.14999651689306862</v>
          </cell>
          <cell r="M50">
            <v>9</v>
          </cell>
          <cell r="N50">
            <v>0</v>
          </cell>
          <cell r="O50">
            <v>0</v>
          </cell>
          <cell r="P50">
            <v>0</v>
          </cell>
          <cell r="Q50">
            <v>1</v>
          </cell>
          <cell r="R50">
            <v>1</v>
          </cell>
          <cell r="S50">
            <v>2</v>
          </cell>
          <cell r="T50">
            <v>51</v>
          </cell>
          <cell r="U50">
            <v>11</v>
          </cell>
        </row>
        <row r="51">
          <cell r="A51">
            <v>43703</v>
          </cell>
          <cell r="B51">
            <v>51847</v>
          </cell>
          <cell r="C51" t="str">
            <v>Multisite BORDEAUX VICTOIRE</v>
          </cell>
          <cell r="D51">
            <v>7.1602914389799641E-2</v>
          </cell>
          <cell r="E51">
            <v>14</v>
          </cell>
          <cell r="F51">
            <v>0.13362511522636827</v>
          </cell>
          <cell r="G51">
            <v>2</v>
          </cell>
          <cell r="H51">
            <v>7.8531181969522343E-2</v>
          </cell>
          <cell r="I51">
            <v>13</v>
          </cell>
          <cell r="J51">
            <v>9.1090498079105464E-2</v>
          </cell>
          <cell r="K51">
            <v>19</v>
          </cell>
          <cell r="L51">
            <v>0.1367224311386748</v>
          </cell>
          <cell r="M51">
            <v>11</v>
          </cell>
          <cell r="N51">
            <v>0</v>
          </cell>
          <cell r="O51">
            <v>1</v>
          </cell>
          <cell r="P51">
            <v>0</v>
          </cell>
          <cell r="Q51">
            <v>0</v>
          </cell>
          <cell r="R51">
            <v>1</v>
          </cell>
          <cell r="S51">
            <v>2</v>
          </cell>
          <cell r="T51">
            <v>59</v>
          </cell>
          <cell r="U51">
            <v>12</v>
          </cell>
        </row>
        <row r="52">
          <cell r="A52">
            <v>43747</v>
          </cell>
          <cell r="B52">
            <v>5233</v>
          </cell>
          <cell r="C52" t="str">
            <v>PERIGUEUX</v>
          </cell>
          <cell r="D52">
            <v>9.642966127555691E-2</v>
          </cell>
          <cell r="E52">
            <v>13</v>
          </cell>
          <cell r="F52">
            <v>8.4946254121562231E-2</v>
          </cell>
          <cell r="G52">
            <v>14</v>
          </cell>
          <cell r="H52">
            <v>5.8134920634920637E-2</v>
          </cell>
          <cell r="I52">
            <v>19</v>
          </cell>
          <cell r="J52">
            <v>0.12019079939668176</v>
          </cell>
          <cell r="K52">
            <v>15</v>
          </cell>
          <cell r="L52">
            <v>0.21881953867028492</v>
          </cell>
          <cell r="M52">
            <v>1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1</v>
          </cell>
          <cell r="S52">
            <v>1</v>
          </cell>
          <cell r="T52">
            <v>62</v>
          </cell>
          <cell r="U52">
            <v>13</v>
          </cell>
        </row>
        <row r="53">
          <cell r="A53">
            <v>43765</v>
          </cell>
          <cell r="B53">
            <v>53542</v>
          </cell>
          <cell r="C53" t="str">
            <v>Multisite LONS</v>
          </cell>
          <cell r="D53">
            <v>7.1544715447154475E-2</v>
          </cell>
          <cell r="E53">
            <v>15</v>
          </cell>
          <cell r="F53">
            <v>6.960399197958439E-2</v>
          </cell>
          <cell r="G53">
            <v>18</v>
          </cell>
          <cell r="H53">
            <v>6.2866173296330569E-2</v>
          </cell>
          <cell r="I53">
            <v>16</v>
          </cell>
          <cell r="J53">
            <v>0.24457751762576221</v>
          </cell>
          <cell r="K53">
            <v>4</v>
          </cell>
          <cell r="L53">
            <v>0.13369558321596689</v>
          </cell>
          <cell r="M53">
            <v>12</v>
          </cell>
          <cell r="N53">
            <v>0</v>
          </cell>
          <cell r="O53">
            <v>0</v>
          </cell>
          <cell r="P53">
            <v>0</v>
          </cell>
          <cell r="Q53">
            <v>1</v>
          </cell>
          <cell r="R53">
            <v>1</v>
          </cell>
          <cell r="S53">
            <v>2</v>
          </cell>
          <cell r="T53">
            <v>65</v>
          </cell>
          <cell r="U53">
            <v>14</v>
          </cell>
        </row>
        <row r="54">
          <cell r="A54">
            <v>43864</v>
          </cell>
          <cell r="B54">
            <v>56734</v>
          </cell>
          <cell r="C54" t="str">
            <v>Multisite ST JUNIEN</v>
          </cell>
          <cell r="D54">
            <v>0.11234610123119015</v>
          </cell>
          <cell r="E54">
            <v>9</v>
          </cell>
          <cell r="F54">
            <v>0.10930031600740983</v>
          </cell>
          <cell r="G54">
            <v>7</v>
          </cell>
          <cell r="H54">
            <v>7.6117713638936046E-2</v>
          </cell>
          <cell r="I54">
            <v>14</v>
          </cell>
          <cell r="J54">
            <v>9.3823012593146987E-2</v>
          </cell>
          <cell r="K54">
            <v>18</v>
          </cell>
          <cell r="L54">
            <v>8.2834050693448111E-2</v>
          </cell>
          <cell r="M54">
            <v>18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66</v>
          </cell>
          <cell r="U54">
            <v>15</v>
          </cell>
        </row>
        <row r="55">
          <cell r="A55">
            <v>43864</v>
          </cell>
          <cell r="B55">
            <v>56738</v>
          </cell>
          <cell r="C55" t="str">
            <v>Multisite LIMOGES PL CARMES</v>
          </cell>
          <cell r="D55">
            <v>6.0820158102766794E-2</v>
          </cell>
          <cell r="E55">
            <v>18</v>
          </cell>
          <cell r="F55">
            <v>8.3866226578442893E-2</v>
          </cell>
          <cell r="G55">
            <v>15</v>
          </cell>
          <cell r="H55">
            <v>9.3049078392182988E-2</v>
          </cell>
          <cell r="I55">
            <v>10</v>
          </cell>
          <cell r="J55">
            <v>0.15213510913241146</v>
          </cell>
          <cell r="K55">
            <v>9</v>
          </cell>
          <cell r="L55">
            <v>8.2834050693448111E-2</v>
          </cell>
          <cell r="M55">
            <v>18</v>
          </cell>
          <cell r="N55">
            <v>0</v>
          </cell>
          <cell r="O55">
            <v>0</v>
          </cell>
          <cell r="P55">
            <v>0</v>
          </cell>
          <cell r="Q55">
            <v>1</v>
          </cell>
          <cell r="R55">
            <v>0</v>
          </cell>
          <cell r="S55">
            <v>1</v>
          </cell>
          <cell r="T55">
            <v>70</v>
          </cell>
          <cell r="U55">
            <v>16</v>
          </cell>
        </row>
        <row r="56">
          <cell r="A56">
            <v>43711</v>
          </cell>
          <cell r="B56">
            <v>1850</v>
          </cell>
          <cell r="C56" t="str">
            <v>LESPARRE MEDOC</v>
          </cell>
          <cell r="D56">
            <v>0.12274096385542169</v>
          </cell>
          <cell r="E56">
            <v>7</v>
          </cell>
          <cell r="F56">
            <v>7.7460509235786734E-2</v>
          </cell>
          <cell r="G56">
            <v>16</v>
          </cell>
          <cell r="H56">
            <v>5.9959349593495928E-2</v>
          </cell>
          <cell r="I56">
            <v>17</v>
          </cell>
          <cell r="J56">
            <v>0.10239710688778599</v>
          </cell>
          <cell r="K56">
            <v>17</v>
          </cell>
          <cell r="L56">
            <v>0.10754985754985753</v>
          </cell>
          <cell r="M56">
            <v>16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73</v>
          </cell>
          <cell r="U56">
            <v>17</v>
          </cell>
        </row>
        <row r="57">
          <cell r="A57">
            <v>43741</v>
          </cell>
          <cell r="B57">
            <v>1834</v>
          </cell>
          <cell r="C57" t="str">
            <v>LANGON</v>
          </cell>
          <cell r="D57">
            <v>6.3783053138464135E-2</v>
          </cell>
          <cell r="E57">
            <v>17</v>
          </cell>
          <cell r="F57">
            <v>7.0190832200717881E-2</v>
          </cell>
          <cell r="G57">
            <v>17</v>
          </cell>
          <cell r="H57">
            <v>4.9875998897767976E-2</v>
          </cell>
          <cell r="I57">
            <v>20</v>
          </cell>
          <cell r="J57">
            <v>0.12187296177572285</v>
          </cell>
          <cell r="K57">
            <v>14</v>
          </cell>
          <cell r="L57">
            <v>0.17094293417167872</v>
          </cell>
          <cell r="M57">
            <v>6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1</v>
          </cell>
          <cell r="S57">
            <v>1</v>
          </cell>
          <cell r="T57">
            <v>74</v>
          </cell>
          <cell r="U57">
            <v>18</v>
          </cell>
        </row>
        <row r="58">
          <cell r="A58">
            <v>43765</v>
          </cell>
          <cell r="B58">
            <v>3535</v>
          </cell>
          <cell r="C58" t="str">
            <v>PAU MERMOZ</v>
          </cell>
          <cell r="D58">
            <v>7.462686567164179E-3</v>
          </cell>
          <cell r="E58">
            <v>20</v>
          </cell>
          <cell r="F58">
            <v>6.6238495721756274E-2</v>
          </cell>
          <cell r="G58">
            <v>20</v>
          </cell>
          <cell r="H58">
            <v>8.1359816653934297E-2</v>
          </cell>
          <cell r="I58">
            <v>12</v>
          </cell>
          <cell r="J58">
            <v>0.12972580645161289</v>
          </cell>
          <cell r="K58">
            <v>12</v>
          </cell>
          <cell r="L58">
            <v>0.13369558321596689</v>
          </cell>
          <cell r="M58">
            <v>12</v>
          </cell>
          <cell r="N58">
            <v>0</v>
          </cell>
          <cell r="O58">
            <v>0</v>
          </cell>
          <cell r="P58">
            <v>0</v>
          </cell>
          <cell r="Q58">
            <v>1</v>
          </cell>
          <cell r="R58">
            <v>1</v>
          </cell>
          <cell r="S58">
            <v>2</v>
          </cell>
          <cell r="T58">
            <v>76</v>
          </cell>
          <cell r="U58">
            <v>19</v>
          </cell>
        </row>
        <row r="59">
          <cell r="A59">
            <v>43711</v>
          </cell>
          <cell r="B59">
            <v>1843</v>
          </cell>
          <cell r="C59" t="str">
            <v>SAINT MEDARD EN JALLES</v>
          </cell>
          <cell r="D59">
            <v>5.8286328229922107E-2</v>
          </cell>
          <cell r="E59">
            <v>19</v>
          </cell>
          <cell r="F59">
            <v>6.8028200332976033E-2</v>
          </cell>
          <cell r="G59">
            <v>19</v>
          </cell>
          <cell r="H59">
            <v>7.5846479415159679E-2</v>
          </cell>
          <cell r="I59">
            <v>15</v>
          </cell>
          <cell r="J59">
            <v>6.7560168720535926E-2</v>
          </cell>
          <cell r="K59">
            <v>20</v>
          </cell>
          <cell r="L59">
            <v>0.10754985754985753</v>
          </cell>
          <cell r="M59">
            <v>16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89</v>
          </cell>
          <cell r="U59">
            <v>20</v>
          </cell>
        </row>
        <row r="60">
          <cell r="B60" t="str">
            <v>Agences Catégorie A</v>
          </cell>
          <cell r="D60" t="str">
            <v>Plafonnement à 44%</v>
          </cell>
        </row>
        <row r="61">
          <cell r="A61">
            <v>43866</v>
          </cell>
          <cell r="B61">
            <v>6735</v>
          </cell>
          <cell r="C61" t="str">
            <v>TULLE</v>
          </cell>
          <cell r="D61">
            <v>0.1763975155279503</v>
          </cell>
          <cell r="E61">
            <v>3</v>
          </cell>
          <cell r="F61">
            <v>0.16736157941437446</v>
          </cell>
          <cell r="G61">
            <v>2</v>
          </cell>
          <cell r="H61">
            <v>0.16985645933014354</v>
          </cell>
          <cell r="I61">
            <v>3</v>
          </cell>
          <cell r="J61">
            <v>0.17622440087145969</v>
          </cell>
          <cell r="K61">
            <v>4</v>
          </cell>
          <cell r="L61">
            <v>0.14999651689306862</v>
          </cell>
          <cell r="M61">
            <v>9</v>
          </cell>
          <cell r="N61">
            <v>1</v>
          </cell>
          <cell r="O61">
            <v>1</v>
          </cell>
          <cell r="P61">
            <v>1</v>
          </cell>
          <cell r="Q61">
            <v>1</v>
          </cell>
          <cell r="R61">
            <v>1</v>
          </cell>
          <cell r="S61">
            <v>5</v>
          </cell>
          <cell r="T61">
            <v>21</v>
          </cell>
          <cell r="U61">
            <v>1</v>
          </cell>
        </row>
        <row r="62">
          <cell r="A62">
            <v>43866</v>
          </cell>
          <cell r="B62">
            <v>6742</v>
          </cell>
          <cell r="C62" t="str">
            <v>EGLETONS</v>
          </cell>
          <cell r="D62">
            <v>0.13188405797101449</v>
          </cell>
          <cell r="E62">
            <v>7</v>
          </cell>
          <cell r="F62">
            <v>0.1358265327474367</v>
          </cell>
          <cell r="G62">
            <v>3</v>
          </cell>
          <cell r="H62">
            <v>0.17366946778711484</v>
          </cell>
          <cell r="I62">
            <v>2</v>
          </cell>
          <cell r="J62">
            <v>0.17772533333333332</v>
          </cell>
          <cell r="K62">
            <v>3</v>
          </cell>
          <cell r="L62">
            <v>0.14999651689306862</v>
          </cell>
          <cell r="M62">
            <v>9</v>
          </cell>
          <cell r="N62">
            <v>1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5</v>
          </cell>
          <cell r="T62">
            <v>24</v>
          </cell>
          <cell r="U62">
            <v>2</v>
          </cell>
        </row>
        <row r="63">
          <cell r="A63">
            <v>43864</v>
          </cell>
          <cell r="B63">
            <v>6731</v>
          </cell>
          <cell r="C63" t="str">
            <v>AUBUSSON</v>
          </cell>
          <cell r="D63">
            <v>0.29936974789915966</v>
          </cell>
          <cell r="E63">
            <v>1</v>
          </cell>
          <cell r="F63">
            <v>9.2423443362785948E-2</v>
          </cell>
          <cell r="G63">
            <v>12</v>
          </cell>
          <cell r="H63">
            <v>0.17692750287686998</v>
          </cell>
          <cell r="I63">
            <v>1</v>
          </cell>
          <cell r="J63">
            <v>0.16486452249513295</v>
          </cell>
          <cell r="K63">
            <v>7</v>
          </cell>
          <cell r="L63">
            <v>8.2834050693448111E-2</v>
          </cell>
          <cell r="M63">
            <v>24</v>
          </cell>
          <cell r="N63">
            <v>1</v>
          </cell>
          <cell r="O63">
            <v>0</v>
          </cell>
          <cell r="P63">
            <v>1</v>
          </cell>
          <cell r="Q63">
            <v>1</v>
          </cell>
          <cell r="R63">
            <v>0</v>
          </cell>
          <cell r="S63">
            <v>3</v>
          </cell>
          <cell r="T63">
            <v>45</v>
          </cell>
          <cell r="U63">
            <v>3</v>
          </cell>
        </row>
        <row r="64">
          <cell r="A64">
            <v>43866</v>
          </cell>
          <cell r="B64">
            <v>6736</v>
          </cell>
          <cell r="C64" t="str">
            <v>USSEL</v>
          </cell>
          <cell r="D64">
            <v>0.15773809523809523</v>
          </cell>
          <cell r="E64">
            <v>4</v>
          </cell>
          <cell r="F64">
            <v>0.12703659976387249</v>
          </cell>
          <cell r="G64">
            <v>4</v>
          </cell>
          <cell r="H64">
            <v>7.2932330827067668E-2</v>
          </cell>
          <cell r="I64">
            <v>11</v>
          </cell>
          <cell r="J64">
            <v>4.9160714285714287E-2</v>
          </cell>
          <cell r="K64">
            <v>21</v>
          </cell>
          <cell r="L64">
            <v>0.14999651689306862</v>
          </cell>
          <cell r="M64">
            <v>9</v>
          </cell>
          <cell r="N64">
            <v>1</v>
          </cell>
          <cell r="O64">
            <v>0</v>
          </cell>
          <cell r="P64">
            <v>0</v>
          </cell>
          <cell r="Q64">
            <v>0</v>
          </cell>
          <cell r="R64">
            <v>1</v>
          </cell>
          <cell r="S64">
            <v>2</v>
          </cell>
          <cell r="T64">
            <v>49</v>
          </cell>
          <cell r="U64">
            <v>4</v>
          </cell>
        </row>
        <row r="65">
          <cell r="A65">
            <v>43874</v>
          </cell>
          <cell r="B65">
            <v>5234</v>
          </cell>
          <cell r="C65" t="str">
            <v>RUFFEC</v>
          </cell>
          <cell r="D65">
            <v>0.14778608395629672</v>
          </cell>
          <cell r="E65">
            <v>5</v>
          </cell>
          <cell r="F65">
            <v>7.4908995024875621E-2</v>
          </cell>
          <cell r="G65">
            <v>16</v>
          </cell>
          <cell r="H65">
            <v>0.16657590197413208</v>
          </cell>
          <cell r="I65">
            <v>4</v>
          </cell>
          <cell r="J65">
            <v>0.17122077028885832</v>
          </cell>
          <cell r="K65">
            <v>5</v>
          </cell>
          <cell r="L65">
            <v>0.12524285262466878</v>
          </cell>
          <cell r="M65">
            <v>20</v>
          </cell>
          <cell r="N65">
            <v>1</v>
          </cell>
          <cell r="O65">
            <v>0</v>
          </cell>
          <cell r="P65">
            <v>1</v>
          </cell>
          <cell r="Q65">
            <v>1</v>
          </cell>
          <cell r="R65">
            <v>0</v>
          </cell>
          <cell r="S65">
            <v>3</v>
          </cell>
          <cell r="T65">
            <v>50</v>
          </cell>
          <cell r="U65">
            <v>5</v>
          </cell>
        </row>
        <row r="66">
          <cell r="A66">
            <v>43703</v>
          </cell>
          <cell r="B66">
            <v>1841</v>
          </cell>
          <cell r="C66" t="str">
            <v>LE BOUSCAT BARRIERE DU MEDOC</v>
          </cell>
          <cell r="D66">
            <v>0.13421658986175114</v>
          </cell>
          <cell r="E66">
            <v>6</v>
          </cell>
          <cell r="F66">
            <v>9.6718289468799887E-2</v>
          </cell>
          <cell r="G66">
            <v>10</v>
          </cell>
          <cell r="H66">
            <v>6.5380265761945153E-2</v>
          </cell>
          <cell r="I66">
            <v>13</v>
          </cell>
          <cell r="J66">
            <v>0.12923636515543035</v>
          </cell>
          <cell r="K66">
            <v>10</v>
          </cell>
          <cell r="L66">
            <v>0.1367224311386748</v>
          </cell>
          <cell r="M66">
            <v>12</v>
          </cell>
          <cell r="N66">
            <v>1</v>
          </cell>
          <cell r="O66">
            <v>0</v>
          </cell>
          <cell r="P66">
            <v>0</v>
          </cell>
          <cell r="Q66">
            <v>1</v>
          </cell>
          <cell r="R66">
            <v>1</v>
          </cell>
          <cell r="S66">
            <v>3</v>
          </cell>
          <cell r="T66">
            <v>51</v>
          </cell>
          <cell r="U66">
            <v>6</v>
          </cell>
        </row>
        <row r="67">
          <cell r="A67">
            <v>43783</v>
          </cell>
          <cell r="B67">
            <v>1743</v>
          </cell>
          <cell r="C67" t="str">
            <v>CAMBO LES BAINS</v>
          </cell>
          <cell r="D67">
            <v>0.11553653719552337</v>
          </cell>
          <cell r="E67">
            <v>10</v>
          </cell>
          <cell r="F67">
            <v>0.16812739597942963</v>
          </cell>
          <cell r="G67">
            <v>1</v>
          </cell>
          <cell r="H67">
            <v>5.2631578947368418E-2</v>
          </cell>
          <cell r="I67">
            <v>20</v>
          </cell>
          <cell r="J67">
            <v>0.19237250554323726</v>
          </cell>
          <cell r="K67">
            <v>1</v>
          </cell>
          <cell r="L67">
            <v>0.13119203286728021</v>
          </cell>
          <cell r="M67">
            <v>19</v>
          </cell>
          <cell r="N67">
            <v>0</v>
          </cell>
          <cell r="O67">
            <v>1</v>
          </cell>
          <cell r="P67">
            <v>0</v>
          </cell>
          <cell r="Q67">
            <v>1</v>
          </cell>
          <cell r="R67">
            <v>1</v>
          </cell>
          <cell r="S67">
            <v>3</v>
          </cell>
          <cell r="T67">
            <v>51</v>
          </cell>
          <cell r="U67">
            <v>6</v>
          </cell>
        </row>
        <row r="68">
          <cell r="A68">
            <v>43816</v>
          </cell>
          <cell r="B68">
            <v>8131</v>
          </cell>
          <cell r="C68" t="str">
            <v>JONZAC</v>
          </cell>
          <cell r="D68">
            <v>0.18715277777777778</v>
          </cell>
          <cell r="E68">
            <v>2</v>
          </cell>
          <cell r="F68">
            <v>5.847675475987496E-2</v>
          </cell>
          <cell r="G68">
            <v>22</v>
          </cell>
          <cell r="H68">
            <v>0.03</v>
          </cell>
          <cell r="I68">
            <v>23</v>
          </cell>
          <cell r="J68">
            <v>0.16938888888888889</v>
          </cell>
          <cell r="K68">
            <v>6</v>
          </cell>
          <cell r="L68">
            <v>0.18957044673539522</v>
          </cell>
          <cell r="M68">
            <v>3</v>
          </cell>
          <cell r="N68">
            <v>1</v>
          </cell>
          <cell r="O68">
            <v>0</v>
          </cell>
          <cell r="P68">
            <v>0</v>
          </cell>
          <cell r="Q68">
            <v>1</v>
          </cell>
          <cell r="R68">
            <v>1</v>
          </cell>
          <cell r="S68">
            <v>3</v>
          </cell>
          <cell r="T68">
            <v>56</v>
          </cell>
          <cell r="U68">
            <v>8</v>
          </cell>
        </row>
        <row r="69">
          <cell r="A69">
            <v>43765</v>
          </cell>
          <cell r="B69">
            <v>3532</v>
          </cell>
          <cell r="C69" t="str">
            <v>OLORON SAINTE MARIE</v>
          </cell>
          <cell r="D69">
            <v>0.10884353741496598</v>
          </cell>
          <cell r="E69">
            <v>14</v>
          </cell>
          <cell r="F69">
            <v>0.11641494069202876</v>
          </cell>
          <cell r="G69">
            <v>6</v>
          </cell>
          <cell r="H69">
            <v>9.8807264841420439E-2</v>
          </cell>
          <cell r="I69">
            <v>7</v>
          </cell>
          <cell r="J69">
            <v>0.10680879852895257</v>
          </cell>
          <cell r="K69">
            <v>12</v>
          </cell>
          <cell r="L69">
            <v>0.13369558321596689</v>
          </cell>
          <cell r="M69">
            <v>18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1</v>
          </cell>
          <cell r="S69">
            <v>1</v>
          </cell>
          <cell r="T69">
            <v>57</v>
          </cell>
          <cell r="U69">
            <v>9</v>
          </cell>
        </row>
        <row r="70">
          <cell r="A70">
            <v>43747</v>
          </cell>
          <cell r="B70">
            <v>5238</v>
          </cell>
          <cell r="C70" t="str">
            <v>SARLAT</v>
          </cell>
          <cell r="D70">
            <v>3.3936651583710412E-2</v>
          </cell>
          <cell r="E70">
            <v>23</v>
          </cell>
          <cell r="F70">
            <v>6.4536695268683192E-2</v>
          </cell>
          <cell r="G70">
            <v>20</v>
          </cell>
          <cell r="H70">
            <v>6.836219336219336E-2</v>
          </cell>
          <cell r="I70">
            <v>12</v>
          </cell>
          <cell r="J70">
            <v>0.18318966372383694</v>
          </cell>
          <cell r="K70">
            <v>2</v>
          </cell>
          <cell r="L70">
            <v>0.21881953867028492</v>
          </cell>
          <cell r="M70">
            <v>1</v>
          </cell>
          <cell r="N70">
            <v>0</v>
          </cell>
          <cell r="O70">
            <v>0</v>
          </cell>
          <cell r="P70">
            <v>0</v>
          </cell>
          <cell r="Q70">
            <v>1</v>
          </cell>
          <cell r="R70">
            <v>1</v>
          </cell>
          <cell r="S70">
            <v>2</v>
          </cell>
          <cell r="T70">
            <v>58</v>
          </cell>
          <cell r="U70">
            <v>10</v>
          </cell>
        </row>
        <row r="71">
          <cell r="A71">
            <v>43717</v>
          </cell>
          <cell r="B71">
            <v>1856</v>
          </cell>
          <cell r="C71" t="str">
            <v>GRADIGNAN</v>
          </cell>
          <cell r="D71">
            <v>9.4576719576719565E-2</v>
          </cell>
          <cell r="E71">
            <v>18</v>
          </cell>
          <cell r="F71">
            <v>9.7220094762121109E-2</v>
          </cell>
          <cell r="G71">
            <v>9</v>
          </cell>
          <cell r="H71">
            <v>9.0937500000000004E-2</v>
          </cell>
          <cell r="I71">
            <v>9</v>
          </cell>
          <cell r="J71">
            <v>0.15076695602403895</v>
          </cell>
          <cell r="K71">
            <v>8</v>
          </cell>
          <cell r="L71">
            <v>0.13634999659005662</v>
          </cell>
          <cell r="M71">
            <v>15</v>
          </cell>
          <cell r="N71">
            <v>0</v>
          </cell>
          <cell r="O71">
            <v>0</v>
          </cell>
          <cell r="P71">
            <v>0</v>
          </cell>
          <cell r="Q71">
            <v>1</v>
          </cell>
          <cell r="R71">
            <v>1</v>
          </cell>
          <cell r="S71">
            <v>2</v>
          </cell>
          <cell r="T71">
            <v>59</v>
          </cell>
          <cell r="U71">
            <v>11</v>
          </cell>
        </row>
        <row r="72">
          <cell r="A72">
            <v>43812</v>
          </cell>
          <cell r="B72">
            <v>8148</v>
          </cell>
          <cell r="C72" t="str">
            <v>SAINT MARTIN DE RE</v>
          </cell>
          <cell r="D72">
            <v>0.11846153846153847</v>
          </cell>
          <cell r="E72">
            <v>9</v>
          </cell>
          <cell r="F72">
            <v>9.0870364183093882E-2</v>
          </cell>
          <cell r="G72">
            <v>13</v>
          </cell>
          <cell r="H72">
            <v>4.7078842881452074E-2</v>
          </cell>
          <cell r="I72">
            <v>22</v>
          </cell>
          <cell r="J72">
            <v>0.13346804692392927</v>
          </cell>
          <cell r="K72">
            <v>9</v>
          </cell>
          <cell r="L72">
            <v>0.18794869321242233</v>
          </cell>
          <cell r="M72">
            <v>6</v>
          </cell>
          <cell r="N72">
            <v>0</v>
          </cell>
          <cell r="O72">
            <v>0</v>
          </cell>
          <cell r="P72">
            <v>0</v>
          </cell>
          <cell r="Q72">
            <v>1</v>
          </cell>
          <cell r="R72">
            <v>1</v>
          </cell>
          <cell r="S72">
            <v>2</v>
          </cell>
          <cell r="T72">
            <v>59</v>
          </cell>
          <cell r="U72">
            <v>11</v>
          </cell>
        </row>
        <row r="73">
          <cell r="A73">
            <v>43874</v>
          </cell>
          <cell r="B73">
            <v>5236</v>
          </cell>
          <cell r="C73" t="str">
            <v>ANGOULEME VICTOR HUGO</v>
          </cell>
          <cell r="D73">
            <v>0.11081081081081082</v>
          </cell>
          <cell r="E73">
            <v>12</v>
          </cell>
          <cell r="F73">
            <v>9.7901095041006761E-2</v>
          </cell>
          <cell r="G73">
            <v>8</v>
          </cell>
          <cell r="H73">
            <v>7.5333450333450333E-2</v>
          </cell>
          <cell r="I73">
            <v>10</v>
          </cell>
          <cell r="J73">
            <v>0.12561797198372199</v>
          </cell>
          <cell r="K73">
            <v>11</v>
          </cell>
          <cell r="L73">
            <v>0.12524285262466878</v>
          </cell>
          <cell r="M73">
            <v>20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61</v>
          </cell>
          <cell r="U73">
            <v>13</v>
          </cell>
        </row>
        <row r="74">
          <cell r="A74">
            <v>43733</v>
          </cell>
          <cell r="B74">
            <v>1235</v>
          </cell>
          <cell r="C74" t="str">
            <v>VILLENEUVE SUR LOT</v>
          </cell>
          <cell r="D74">
            <v>0.11482558139534885</v>
          </cell>
          <cell r="E74">
            <v>11</v>
          </cell>
          <cell r="F74">
            <v>7.3308369447453947E-2</v>
          </cell>
          <cell r="G74">
            <v>17</v>
          </cell>
          <cell r="H74">
            <v>5.6427015250544665E-2</v>
          </cell>
          <cell r="I74">
            <v>17</v>
          </cell>
          <cell r="J74">
            <v>7.7002106627775083E-2</v>
          </cell>
          <cell r="K74">
            <v>15</v>
          </cell>
          <cell r="L74">
            <v>0.17154749031269712</v>
          </cell>
          <cell r="M74">
            <v>7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1</v>
          </cell>
          <cell r="S74">
            <v>1</v>
          </cell>
          <cell r="T74">
            <v>67</v>
          </cell>
          <cell r="U74">
            <v>14</v>
          </cell>
        </row>
        <row r="75">
          <cell r="A75">
            <v>43816</v>
          </cell>
          <cell r="B75">
            <v>8136</v>
          </cell>
          <cell r="C75" t="str">
            <v>SAINT JEAN D'ANGELY</v>
          </cell>
          <cell r="D75">
            <v>0.10229885057471264</v>
          </cell>
          <cell r="E75">
            <v>15</v>
          </cell>
          <cell r="F75">
            <v>6.2128833147284783E-2</v>
          </cell>
          <cell r="G75">
            <v>21</v>
          </cell>
          <cell r="H75">
            <v>0.10559079163730326</v>
          </cell>
          <cell r="I75">
            <v>6</v>
          </cell>
          <cell r="J75">
            <v>4.3314470493128539E-2</v>
          </cell>
          <cell r="K75">
            <v>22</v>
          </cell>
          <cell r="L75">
            <v>0.18957044673539522</v>
          </cell>
          <cell r="M75">
            <v>3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1</v>
          </cell>
          <cell r="S75">
            <v>1</v>
          </cell>
          <cell r="T75">
            <v>67</v>
          </cell>
          <cell r="U75">
            <v>14</v>
          </cell>
        </row>
        <row r="76">
          <cell r="A76">
            <v>43816</v>
          </cell>
          <cell r="B76">
            <v>8139</v>
          </cell>
          <cell r="C76" t="str">
            <v>MATHA</v>
          </cell>
          <cell r="D76">
            <v>0.10119047619047619</v>
          </cell>
          <cell r="E76">
            <v>17</v>
          </cell>
          <cell r="F76">
            <v>6.9227859368046291E-2</v>
          </cell>
          <cell r="G76">
            <v>19</v>
          </cell>
          <cell r="H76">
            <v>6.1627200971463264E-2</v>
          </cell>
          <cell r="I76">
            <v>15</v>
          </cell>
          <cell r="J76">
            <v>9.9397249772411475E-2</v>
          </cell>
          <cell r="K76">
            <v>13</v>
          </cell>
          <cell r="L76">
            <v>0.18957044673539522</v>
          </cell>
          <cell r="M76">
            <v>3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1</v>
          </cell>
          <cell r="S76">
            <v>1</v>
          </cell>
          <cell r="T76">
            <v>67</v>
          </cell>
          <cell r="U76">
            <v>14</v>
          </cell>
        </row>
        <row r="77">
          <cell r="A77">
            <v>43711</v>
          </cell>
          <cell r="B77">
            <v>1837</v>
          </cell>
          <cell r="C77" t="str">
            <v>PAUILLAC</v>
          </cell>
          <cell r="D77">
            <v>0.11009339080459771</v>
          </cell>
          <cell r="E77">
            <v>13</v>
          </cell>
          <cell r="F77">
            <v>9.5209871484447761E-2</v>
          </cell>
          <cell r="G77">
            <v>11</v>
          </cell>
          <cell r="H77">
            <v>0.12870229007633588</v>
          </cell>
          <cell r="I77">
            <v>5</v>
          </cell>
          <cell r="J77">
            <v>7.5430538740920094E-2</v>
          </cell>
          <cell r="K77">
            <v>16</v>
          </cell>
          <cell r="L77">
            <v>0.10754985754985753</v>
          </cell>
          <cell r="M77">
            <v>23</v>
          </cell>
          <cell r="N77">
            <v>0</v>
          </cell>
          <cell r="O77">
            <v>0</v>
          </cell>
          <cell r="P77">
            <v>1</v>
          </cell>
          <cell r="Q77">
            <v>0</v>
          </cell>
          <cell r="R77">
            <v>0</v>
          </cell>
          <cell r="S77">
            <v>1</v>
          </cell>
          <cell r="T77">
            <v>68</v>
          </cell>
          <cell r="U77">
            <v>17</v>
          </cell>
        </row>
        <row r="78">
          <cell r="A78">
            <v>43747</v>
          </cell>
          <cell r="B78">
            <v>5241</v>
          </cell>
          <cell r="C78" t="str">
            <v>NONTRON</v>
          </cell>
          <cell r="D78">
            <v>4.4975186104218363E-2</v>
          </cell>
          <cell r="E78">
            <v>21</v>
          </cell>
          <cell r="F78">
            <v>7.0515217969165336E-2</v>
          </cell>
          <cell r="G78">
            <v>18</v>
          </cell>
          <cell r="H78">
            <v>6.4325730292116842E-2</v>
          </cell>
          <cell r="I78">
            <v>14</v>
          </cell>
          <cell r="J78">
            <v>9.3056713928273568E-2</v>
          </cell>
          <cell r="K78">
            <v>14</v>
          </cell>
          <cell r="L78">
            <v>0.21881953867028492</v>
          </cell>
          <cell r="M78">
            <v>1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1</v>
          </cell>
          <cell r="S78">
            <v>1</v>
          </cell>
          <cell r="T78">
            <v>68</v>
          </cell>
          <cell r="U78">
            <v>17</v>
          </cell>
        </row>
        <row r="79">
          <cell r="A79">
            <v>43763</v>
          </cell>
          <cell r="B79">
            <v>1741</v>
          </cell>
          <cell r="C79" t="str">
            <v>BISCARROSSE</v>
          </cell>
          <cell r="D79">
            <v>0.12248186946011282</v>
          </cell>
          <cell r="E79">
            <v>8</v>
          </cell>
          <cell r="F79">
            <v>8.9488630369330413E-2</v>
          </cell>
          <cell r="G79">
            <v>14</v>
          </cell>
          <cell r="H79">
            <v>5.0066021126760563E-2</v>
          </cell>
          <cell r="I79">
            <v>21</v>
          </cell>
          <cell r="J79">
            <v>6.5481467920914777E-2</v>
          </cell>
          <cell r="K79">
            <v>17</v>
          </cell>
          <cell r="L79">
            <v>0.16792726624187301</v>
          </cell>
          <cell r="M79">
            <v>8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1</v>
          </cell>
          <cell r="S79">
            <v>1</v>
          </cell>
          <cell r="T79">
            <v>68</v>
          </cell>
          <cell r="U79">
            <v>17</v>
          </cell>
        </row>
        <row r="80">
          <cell r="A80">
            <v>43703</v>
          </cell>
          <cell r="B80">
            <v>1833</v>
          </cell>
          <cell r="C80" t="str">
            <v>BORDEAUX VICTOR HUGO</v>
          </cell>
          <cell r="D80">
            <v>9.2350746268656719E-2</v>
          </cell>
          <cell r="E80">
            <v>19</v>
          </cell>
          <cell r="F80">
            <v>0.12266437788766195</v>
          </cell>
          <cell r="G80">
            <v>5</v>
          </cell>
          <cell r="H80">
            <v>5.5246422893481723E-2</v>
          </cell>
          <cell r="I80">
            <v>18</v>
          </cell>
          <cell r="J80">
            <v>6.0800179815688915E-2</v>
          </cell>
          <cell r="K80">
            <v>18</v>
          </cell>
          <cell r="L80">
            <v>0.1367224311386748</v>
          </cell>
          <cell r="M80">
            <v>12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1</v>
          </cell>
          <cell r="S80">
            <v>1</v>
          </cell>
          <cell r="T80">
            <v>72</v>
          </cell>
          <cell r="U80">
            <v>20</v>
          </cell>
        </row>
        <row r="81">
          <cell r="A81">
            <v>43717</v>
          </cell>
          <cell r="B81">
            <v>1846</v>
          </cell>
          <cell r="C81" t="str">
            <v>BORDEAUX BARRIER DE TOULOUSE</v>
          </cell>
          <cell r="D81">
            <v>7.6470588235294124E-2</v>
          </cell>
          <cell r="E81">
            <v>20</v>
          </cell>
          <cell r="F81">
            <v>0.11069807564698075</v>
          </cell>
          <cell r="G81">
            <v>7</v>
          </cell>
          <cell r="H81">
            <v>5.9874723655121594E-2</v>
          </cell>
          <cell r="I81">
            <v>16</v>
          </cell>
          <cell r="J81">
            <v>5.3436987213855182E-2</v>
          </cell>
          <cell r="K81">
            <v>19</v>
          </cell>
          <cell r="L81">
            <v>0.13634999659005662</v>
          </cell>
          <cell r="M81">
            <v>15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1</v>
          </cell>
          <cell r="S81">
            <v>1</v>
          </cell>
          <cell r="T81">
            <v>77</v>
          </cell>
          <cell r="U81">
            <v>21</v>
          </cell>
        </row>
        <row r="82">
          <cell r="A82">
            <v>43874</v>
          </cell>
          <cell r="B82">
            <v>5231</v>
          </cell>
          <cell r="C82" t="str">
            <v>BARBEZIEUX</v>
          </cell>
          <cell r="D82">
            <v>0.10225442834138486</v>
          </cell>
          <cell r="E82">
            <v>16</v>
          </cell>
          <cell r="F82">
            <v>7.5781767955801105E-2</v>
          </cell>
          <cell r="G82">
            <v>15</v>
          </cell>
          <cell r="H82">
            <v>9.8251959011452672E-2</v>
          </cell>
          <cell r="I82">
            <v>8</v>
          </cell>
          <cell r="J82">
            <v>4.9663191190253045E-2</v>
          </cell>
          <cell r="K82">
            <v>20</v>
          </cell>
          <cell r="L82">
            <v>0.12524285262466878</v>
          </cell>
          <cell r="M82">
            <v>20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79</v>
          </cell>
          <cell r="U82">
            <v>22</v>
          </cell>
        </row>
        <row r="83">
          <cell r="A83">
            <v>43717</v>
          </cell>
          <cell r="B83">
            <v>1842</v>
          </cell>
          <cell r="C83" t="str">
            <v>BORDEAUX BARRIERE DE PESSAC</v>
          </cell>
          <cell r="D83">
            <v>4.4453186467348541E-2</v>
          </cell>
          <cell r="E83">
            <v>22</v>
          </cell>
          <cell r="F83">
            <v>4.6492406154662422E-2</v>
          </cell>
          <cell r="G83">
            <v>23</v>
          </cell>
          <cell r="H83">
            <v>5.2694372638695565E-2</v>
          </cell>
          <cell r="I83">
            <v>19</v>
          </cell>
          <cell r="J83">
            <v>3.5425086918730989E-2</v>
          </cell>
          <cell r="K83">
            <v>23</v>
          </cell>
          <cell r="L83">
            <v>0.13634999659005662</v>
          </cell>
          <cell r="M83">
            <v>15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1</v>
          </cell>
          <cell r="S83">
            <v>1</v>
          </cell>
          <cell r="T83">
            <v>102</v>
          </cell>
          <cell r="U83">
            <v>23</v>
          </cell>
        </row>
        <row r="84">
          <cell r="A84">
            <v>43703</v>
          </cell>
          <cell r="B84">
            <v>1802</v>
          </cell>
          <cell r="C84" t="str">
            <v>BORDEAUX MARITIME</v>
          </cell>
          <cell r="D84">
            <v>0</v>
          </cell>
          <cell r="E84">
            <v>24</v>
          </cell>
          <cell r="F84">
            <v>1.1363636363636364E-2</v>
          </cell>
          <cell r="G84">
            <v>24</v>
          </cell>
          <cell r="H84">
            <v>2.6315789473684209E-2</v>
          </cell>
          <cell r="I84">
            <v>24</v>
          </cell>
          <cell r="J84">
            <v>2.0000000000000001E-4</v>
          </cell>
          <cell r="K84">
            <v>24</v>
          </cell>
          <cell r="L84">
            <v>0.1367224311386748</v>
          </cell>
          <cell r="M84">
            <v>12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1</v>
          </cell>
          <cell r="S84">
            <v>1</v>
          </cell>
          <cell r="T84">
            <v>108</v>
          </cell>
          <cell r="U84">
            <v>24</v>
          </cell>
        </row>
      </sheetData>
      <sheetData sheetId="2" refreshError="1">
        <row r="1">
          <cell r="A1">
            <v>0.12720000000000001</v>
          </cell>
          <cell r="B1">
            <v>7</v>
          </cell>
          <cell r="C1">
            <v>2</v>
          </cell>
          <cell r="D1">
            <v>2</v>
          </cell>
          <cell r="E1">
            <v>3</v>
          </cell>
          <cell r="F1">
            <v>4</v>
          </cell>
          <cell r="J1">
            <v>3</v>
          </cell>
          <cell r="K1">
            <v>6</v>
          </cell>
          <cell r="L1">
            <v>7</v>
          </cell>
          <cell r="M1">
            <v>8</v>
          </cell>
        </row>
        <row r="4">
          <cell r="B4" t="str">
            <v>Du lundi 2 janvier 2018 au vendredi 30 mars 2018
Objectif 29% (plafond à 44% pour chaque critère)</v>
          </cell>
          <cell r="C4" t="str">
            <v>Animations DDR Etape 1</v>
          </cell>
          <cell r="J4" t="str">
            <v>Animations DDR Etape 1</v>
          </cell>
        </row>
        <row r="5">
          <cell r="B5" t="str">
            <v>Point de Passage (Q) Etape 1 = 12,72%</v>
          </cell>
          <cell r="C5" t="str">
            <v>Offensif Base Client</v>
          </cell>
          <cell r="J5" t="str">
            <v>Offensif Base Client</v>
          </cell>
        </row>
        <row r="6">
          <cell r="B6" t="str">
            <v>Résultats au 08/02/18</v>
          </cell>
          <cell r="C6" t="str">
            <v>Ouverture 1er CD +16 Validé</v>
          </cell>
          <cell r="J6" t="str">
            <v>Entrée en relation -16ans</v>
          </cell>
        </row>
        <row r="7">
          <cell r="A7" t="str">
            <v>Unité</v>
          </cell>
          <cell r="B7" t="str">
            <v>Libellé</v>
          </cell>
          <cell r="C7" t="str">
            <v>OBJ
Annuel</v>
          </cell>
          <cell r="D7" t="str">
            <v>Prod
Veille</v>
          </cell>
          <cell r="E7" t="str">
            <v>Prod
Sem
en cours</v>
          </cell>
          <cell r="F7" t="str">
            <v>Prod
Etape 1</v>
          </cell>
          <cell r="G7" t="str">
            <v>Taux
Etape 1</v>
          </cell>
          <cell r="H7" t="str">
            <v>RàF
Etape 1</v>
          </cell>
          <cell r="I7" t="str">
            <v>Rythme
Hebdo
Requis</v>
          </cell>
          <cell r="J7" t="str">
            <v>OBJ
Annuel</v>
          </cell>
          <cell r="K7" t="str">
            <v>Prod
Veille</v>
          </cell>
          <cell r="L7" t="str">
            <v>Prod
Sem
en cours</v>
          </cell>
          <cell r="M7" t="str">
            <v>Prod
Etape 1</v>
          </cell>
          <cell r="N7" t="str">
            <v>Taux
Etape 1</v>
          </cell>
          <cell r="O7" t="str">
            <v>RàF
Etape 1</v>
          </cell>
          <cell r="P7" t="str">
            <v>Rythme
Hebdo
Requis</v>
          </cell>
          <cell r="Q7" t="str">
            <v>Taux
Moyen
Univers 1
Episode 1</v>
          </cell>
        </row>
        <row r="8">
          <cell r="A8">
            <v>69014</v>
          </cell>
          <cell r="B8" t="str">
            <v>Banque de Proximité</v>
          </cell>
          <cell r="C8">
            <v>189548</v>
          </cell>
          <cell r="D8">
            <v>774</v>
          </cell>
          <cell r="E8">
            <v>2430</v>
          </cell>
          <cell r="F8">
            <v>19767</v>
          </cell>
          <cell r="G8">
            <v>0.10428493046616161</v>
          </cell>
          <cell r="H8">
            <v>35202</v>
          </cell>
          <cell r="I8">
            <v>5028.8571428571431</v>
          </cell>
          <cell r="J8">
            <v>118138</v>
          </cell>
          <cell r="K8">
            <v>517</v>
          </cell>
          <cell r="L8">
            <v>1675</v>
          </cell>
          <cell r="M8">
            <v>14395</v>
          </cell>
          <cell r="N8">
            <v>0.12184902402275305</v>
          </cell>
          <cell r="O8">
            <v>19866</v>
          </cell>
          <cell r="P8">
            <v>2838</v>
          </cell>
          <cell r="Q8">
            <v>0.11306697724445733</v>
          </cell>
        </row>
        <row r="9">
          <cell r="A9">
            <v>43003</v>
          </cell>
          <cell r="B9" t="str">
            <v>RSO DdR du Sud Ouest</v>
          </cell>
          <cell r="C9">
            <v>11800</v>
          </cell>
          <cell r="D9">
            <v>42</v>
          </cell>
          <cell r="E9">
            <v>129</v>
          </cell>
          <cell r="F9">
            <v>1192</v>
          </cell>
          <cell r="G9">
            <v>0.10101694915254238</v>
          </cell>
          <cell r="H9">
            <v>2230</v>
          </cell>
          <cell r="I9">
            <v>318.57142857142856</v>
          </cell>
          <cell r="J9">
            <v>7445</v>
          </cell>
          <cell r="K9">
            <v>28</v>
          </cell>
          <cell r="L9">
            <v>106</v>
          </cell>
          <cell r="M9">
            <v>880</v>
          </cell>
          <cell r="N9">
            <v>0.11820013431833445</v>
          </cell>
          <cell r="O9">
            <v>1280</v>
          </cell>
          <cell r="P9">
            <v>182.85714285714286</v>
          </cell>
          <cell r="Q9">
            <v>0.10960854173543841</v>
          </cell>
        </row>
        <row r="10">
          <cell r="A10">
            <v>43700</v>
          </cell>
          <cell r="B10" t="str">
            <v>RSO DR Gironde</v>
          </cell>
          <cell r="C10">
            <v>4515</v>
          </cell>
          <cell r="D10">
            <v>18</v>
          </cell>
          <cell r="E10">
            <v>41</v>
          </cell>
          <cell r="F10">
            <v>407</v>
          </cell>
          <cell r="G10">
            <v>9.014396456256922E-2</v>
          </cell>
          <cell r="H10">
            <v>903</v>
          </cell>
          <cell r="I10">
            <v>129</v>
          </cell>
          <cell r="J10">
            <v>2773</v>
          </cell>
          <cell r="K10">
            <v>10</v>
          </cell>
          <cell r="L10">
            <v>34</v>
          </cell>
          <cell r="M10">
            <v>317</v>
          </cell>
          <cell r="N10">
            <v>0.1143166245943022</v>
          </cell>
          <cell r="O10">
            <v>488</v>
          </cell>
          <cell r="P10">
            <v>69.714285714285708</v>
          </cell>
          <cell r="Q10">
            <v>0.10223029457843572</v>
          </cell>
        </row>
        <row r="11">
          <cell r="A11">
            <v>43780</v>
          </cell>
          <cell r="B11" t="str">
            <v>RSO DR Sud Aquitaine</v>
          </cell>
          <cell r="C11">
            <v>3190</v>
          </cell>
          <cell r="D11">
            <v>11</v>
          </cell>
          <cell r="E11">
            <v>39</v>
          </cell>
          <cell r="F11">
            <v>310</v>
          </cell>
          <cell r="G11">
            <v>9.7178683385579931E-2</v>
          </cell>
          <cell r="H11">
            <v>616</v>
          </cell>
          <cell r="I11">
            <v>88</v>
          </cell>
          <cell r="J11">
            <v>2017</v>
          </cell>
          <cell r="K11">
            <v>3</v>
          </cell>
          <cell r="L11">
            <v>25</v>
          </cell>
          <cell r="M11">
            <v>217</v>
          </cell>
          <cell r="N11">
            <v>0.10758552305404065</v>
          </cell>
          <cell r="O11">
            <v>368</v>
          </cell>
          <cell r="P11">
            <v>52.571428571428569</v>
          </cell>
          <cell r="Q11">
            <v>0.10238210321981028</v>
          </cell>
        </row>
        <row r="12">
          <cell r="A12">
            <v>43801</v>
          </cell>
          <cell r="B12" t="str">
            <v>RSO DR Poitou Charentes</v>
          </cell>
          <cell r="C12">
            <v>2510</v>
          </cell>
          <cell r="D12">
            <v>9</v>
          </cell>
          <cell r="E12">
            <v>23</v>
          </cell>
          <cell r="F12">
            <v>289</v>
          </cell>
          <cell r="G12">
            <v>0.11513944223107569</v>
          </cell>
          <cell r="H12">
            <v>439</v>
          </cell>
          <cell r="I12">
            <v>62.714285714285715</v>
          </cell>
          <cell r="J12">
            <v>1640</v>
          </cell>
          <cell r="K12">
            <v>14</v>
          </cell>
          <cell r="L12">
            <v>29</v>
          </cell>
          <cell r="M12">
            <v>206</v>
          </cell>
          <cell r="N12">
            <v>0.12560975609756098</v>
          </cell>
          <cell r="O12">
            <v>270</v>
          </cell>
          <cell r="P12">
            <v>38.571428571428569</v>
          </cell>
          <cell r="Q12">
            <v>0.12037459916431834</v>
          </cell>
        </row>
        <row r="13">
          <cell r="A13">
            <v>43861</v>
          </cell>
          <cell r="B13" t="str">
            <v>RSO DR Limousin Dordogne</v>
          </cell>
          <cell r="C13">
            <v>1490</v>
          </cell>
          <cell r="D13">
            <v>3</v>
          </cell>
          <cell r="E13">
            <v>19</v>
          </cell>
          <cell r="F13">
            <v>141</v>
          </cell>
          <cell r="G13">
            <v>9.4630872483221481E-2</v>
          </cell>
          <cell r="H13">
            <v>292</v>
          </cell>
          <cell r="I13">
            <v>41.714285714285715</v>
          </cell>
          <cell r="J13">
            <v>933</v>
          </cell>
          <cell r="K13">
            <v>1</v>
          </cell>
          <cell r="L13">
            <v>9</v>
          </cell>
          <cell r="M13">
            <v>116</v>
          </cell>
          <cell r="N13">
            <v>0.12433011789924973</v>
          </cell>
          <cell r="O13">
            <v>155</v>
          </cell>
          <cell r="P13">
            <v>22.142857142857142</v>
          </cell>
          <cell r="Q13">
            <v>0.10948049519123561</v>
          </cell>
        </row>
        <row r="14">
          <cell r="A14">
            <v>43703</v>
          </cell>
          <cell r="B14" t="str">
            <v>DGA BORDEAUX CENTRE</v>
          </cell>
          <cell r="C14">
            <v>1175</v>
          </cell>
          <cell r="D14">
            <v>5</v>
          </cell>
          <cell r="E14">
            <v>9</v>
          </cell>
          <cell r="F14">
            <v>120</v>
          </cell>
          <cell r="G14">
            <v>0.10212765957446808</v>
          </cell>
          <cell r="H14">
            <v>221</v>
          </cell>
          <cell r="I14">
            <v>31.571428571428573</v>
          </cell>
          <cell r="J14">
            <v>663</v>
          </cell>
          <cell r="K14">
            <v>3</v>
          </cell>
          <cell r="L14">
            <v>7</v>
          </cell>
          <cell r="M14">
            <v>87</v>
          </cell>
          <cell r="N14">
            <v>0.13122171945701358</v>
          </cell>
          <cell r="O14">
            <v>106</v>
          </cell>
          <cell r="P14">
            <v>15.142857142857142</v>
          </cell>
          <cell r="Q14">
            <v>0.11667468951574084</v>
          </cell>
        </row>
        <row r="15">
          <cell r="A15">
            <v>51800</v>
          </cell>
          <cell r="B15" t="str">
            <v>Multisite BORDEAUX</v>
          </cell>
          <cell r="C15">
            <v>454</v>
          </cell>
          <cell r="D15">
            <v>2</v>
          </cell>
          <cell r="E15">
            <v>2</v>
          </cell>
          <cell r="F15">
            <v>41</v>
          </cell>
          <cell r="G15">
            <v>9.0308370044052858E-2</v>
          </cell>
          <cell r="H15">
            <v>91</v>
          </cell>
          <cell r="I15">
            <v>13</v>
          </cell>
          <cell r="J15">
            <v>266</v>
          </cell>
          <cell r="K15">
            <v>2</v>
          </cell>
          <cell r="L15">
            <v>2</v>
          </cell>
          <cell r="M15">
            <v>44</v>
          </cell>
          <cell r="N15">
            <v>0.16541353383458646</v>
          </cell>
          <cell r="O15">
            <v>34</v>
          </cell>
          <cell r="P15">
            <v>4.8571428571428568</v>
          </cell>
          <cell r="Q15">
            <v>0.12786095193931965</v>
          </cell>
        </row>
        <row r="16">
          <cell r="A16">
            <v>1800</v>
          </cell>
          <cell r="B16" t="str">
            <v>BORDEAUX</v>
          </cell>
          <cell r="C16">
            <v>413</v>
          </cell>
          <cell r="D16">
            <v>2</v>
          </cell>
          <cell r="E16">
            <v>2</v>
          </cell>
          <cell r="F16">
            <v>38</v>
          </cell>
          <cell r="G16">
            <v>9.2009685230024216E-2</v>
          </cell>
          <cell r="H16">
            <v>82</v>
          </cell>
          <cell r="I16">
            <v>11.714285714285714</v>
          </cell>
          <cell r="J16">
            <v>236</v>
          </cell>
          <cell r="K16">
            <v>2</v>
          </cell>
          <cell r="L16">
            <v>2</v>
          </cell>
          <cell r="M16">
            <v>40</v>
          </cell>
          <cell r="N16">
            <v>0.16949152542372881</v>
          </cell>
          <cell r="O16">
            <v>29</v>
          </cell>
          <cell r="P16">
            <v>4.1428571428571432</v>
          </cell>
          <cell r="Q16">
            <v>0.13075060532687652</v>
          </cell>
        </row>
        <row r="17">
          <cell r="A17">
            <v>1866</v>
          </cell>
          <cell r="B17" t="str">
            <v>BORDEAUX - PALAIS</v>
          </cell>
          <cell r="C17">
            <v>41</v>
          </cell>
          <cell r="D17">
            <v>0</v>
          </cell>
          <cell r="E17">
            <v>0</v>
          </cell>
          <cell r="F17">
            <v>3</v>
          </cell>
          <cell r="G17">
            <v>7.3170731707317069E-2</v>
          </cell>
          <cell r="H17">
            <v>9</v>
          </cell>
          <cell r="I17">
            <v>1.2857142857142858</v>
          </cell>
          <cell r="J17">
            <v>30</v>
          </cell>
          <cell r="K17">
            <v>0</v>
          </cell>
          <cell r="L17">
            <v>0</v>
          </cell>
          <cell r="M17">
            <v>4</v>
          </cell>
          <cell r="N17">
            <v>0.13333333333333333</v>
          </cell>
          <cell r="O17">
            <v>5</v>
          </cell>
          <cell r="P17">
            <v>0.7142857142857143</v>
          </cell>
          <cell r="Q17">
            <v>0.10325203252032519</v>
          </cell>
        </row>
        <row r="18">
          <cell r="A18">
            <v>1868</v>
          </cell>
          <cell r="B18" t="str">
            <v>BORDEAUX TOURNY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A19">
            <v>1802</v>
          </cell>
          <cell r="B19" t="str">
            <v>BORDEAUX MARITIME</v>
          </cell>
          <cell r="C19">
            <v>17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5</v>
          </cell>
          <cell r="I19">
            <v>0.7142857142857143</v>
          </cell>
          <cell r="J19">
            <v>8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3</v>
          </cell>
          <cell r="P19">
            <v>0.42857142857142855</v>
          </cell>
          <cell r="Q19">
            <v>0</v>
          </cell>
        </row>
        <row r="20">
          <cell r="A20">
            <v>51832</v>
          </cell>
          <cell r="B20" t="str">
            <v>Multisite BORDEAUX CHARTRONS</v>
          </cell>
          <cell r="C20">
            <v>270</v>
          </cell>
          <cell r="D20">
            <v>2</v>
          </cell>
          <cell r="E20">
            <v>4</v>
          </cell>
          <cell r="F20">
            <v>31</v>
          </cell>
          <cell r="G20">
            <v>0.11481481481481481</v>
          </cell>
          <cell r="H20">
            <v>48</v>
          </cell>
          <cell r="I20">
            <v>6.8571428571428568</v>
          </cell>
          <cell r="J20">
            <v>138</v>
          </cell>
          <cell r="K20">
            <v>0</v>
          </cell>
          <cell r="L20">
            <v>4</v>
          </cell>
          <cell r="M20">
            <v>24</v>
          </cell>
          <cell r="N20">
            <v>0.17391304347826086</v>
          </cell>
          <cell r="O20">
            <v>17</v>
          </cell>
          <cell r="P20">
            <v>2.4285714285714284</v>
          </cell>
          <cell r="Q20">
            <v>0.14436392914653784</v>
          </cell>
        </row>
        <row r="21">
          <cell r="A21">
            <v>1830</v>
          </cell>
          <cell r="B21" t="str">
            <v>LE BOUSCAT RAVEZIES</v>
          </cell>
          <cell r="C21">
            <v>48</v>
          </cell>
          <cell r="D21">
            <v>1</v>
          </cell>
          <cell r="E21">
            <v>1</v>
          </cell>
          <cell r="F21">
            <v>9</v>
          </cell>
          <cell r="G21">
            <v>0.1875</v>
          </cell>
          <cell r="H21">
            <v>5</v>
          </cell>
          <cell r="I21">
            <v>0.7142857142857143</v>
          </cell>
          <cell r="J21">
            <v>33</v>
          </cell>
          <cell r="K21">
            <v>0</v>
          </cell>
          <cell r="L21">
            <v>0</v>
          </cell>
          <cell r="M21">
            <v>3</v>
          </cell>
          <cell r="N21">
            <v>9.0909090909090912E-2</v>
          </cell>
          <cell r="O21">
            <v>7</v>
          </cell>
          <cell r="P21">
            <v>1</v>
          </cell>
          <cell r="Q21">
            <v>0.13920454545454547</v>
          </cell>
        </row>
        <row r="22">
          <cell r="A22">
            <v>1832</v>
          </cell>
          <cell r="B22" t="str">
            <v>BORDEAUX CHARTRONS</v>
          </cell>
          <cell r="C22">
            <v>131</v>
          </cell>
          <cell r="D22">
            <v>0</v>
          </cell>
          <cell r="E22">
            <v>0</v>
          </cell>
          <cell r="F22">
            <v>15</v>
          </cell>
          <cell r="G22">
            <v>0.11450381679389313</v>
          </cell>
          <cell r="H22">
            <v>23</v>
          </cell>
          <cell r="I22">
            <v>3.2857142857142856</v>
          </cell>
          <cell r="J22">
            <v>61</v>
          </cell>
          <cell r="K22">
            <v>0</v>
          </cell>
          <cell r="L22">
            <v>3</v>
          </cell>
          <cell r="M22">
            <v>12</v>
          </cell>
          <cell r="N22">
            <v>0.19672131147540983</v>
          </cell>
          <cell r="O22">
            <v>6</v>
          </cell>
          <cell r="P22">
            <v>0.8571428571428571</v>
          </cell>
          <cell r="Q22">
            <v>0.15561256413465147</v>
          </cell>
        </row>
        <row r="23">
          <cell r="A23">
            <v>1844</v>
          </cell>
          <cell r="B23" t="str">
            <v>BORDEAUX CITE GRAND PARC</v>
          </cell>
          <cell r="C23">
            <v>91</v>
          </cell>
          <cell r="D23">
            <v>1</v>
          </cell>
          <cell r="E23">
            <v>3</v>
          </cell>
          <cell r="F23">
            <v>7</v>
          </cell>
          <cell r="G23">
            <v>7.6923076923076927E-2</v>
          </cell>
          <cell r="H23">
            <v>20</v>
          </cell>
          <cell r="I23">
            <v>2.8571428571428572</v>
          </cell>
          <cell r="J23">
            <v>44</v>
          </cell>
          <cell r="K23">
            <v>0</v>
          </cell>
          <cell r="L23">
            <v>1</v>
          </cell>
          <cell r="M23">
            <v>9</v>
          </cell>
          <cell r="N23">
            <v>0.20454545454545456</v>
          </cell>
          <cell r="O23">
            <v>4</v>
          </cell>
          <cell r="P23">
            <v>0.5714285714285714</v>
          </cell>
          <cell r="Q23">
            <v>0.14073426573426573</v>
          </cell>
        </row>
        <row r="24">
          <cell r="A24">
            <v>1833</v>
          </cell>
          <cell r="B24" t="str">
            <v>BORDEAUX VICTOR HUGO</v>
          </cell>
          <cell r="C24">
            <v>128</v>
          </cell>
          <cell r="D24">
            <v>0</v>
          </cell>
          <cell r="E24">
            <v>0</v>
          </cell>
          <cell r="F24">
            <v>16</v>
          </cell>
          <cell r="G24">
            <v>0.125</v>
          </cell>
          <cell r="H24">
            <v>22</v>
          </cell>
          <cell r="I24">
            <v>3.1428571428571428</v>
          </cell>
          <cell r="J24">
            <v>67</v>
          </cell>
          <cell r="K24">
            <v>0</v>
          </cell>
          <cell r="L24">
            <v>0</v>
          </cell>
          <cell r="M24">
            <v>4</v>
          </cell>
          <cell r="N24">
            <v>5.9701492537313432E-2</v>
          </cell>
          <cell r="O24">
            <v>16</v>
          </cell>
          <cell r="P24">
            <v>2.2857142857142856</v>
          </cell>
          <cell r="Q24">
            <v>9.2350746268656719E-2</v>
          </cell>
        </row>
        <row r="25">
          <cell r="A25">
            <v>1841</v>
          </cell>
          <cell r="B25" t="str">
            <v>LE BOUSCAT BARRIERE DU MEDOC</v>
          </cell>
          <cell r="C25">
            <v>84</v>
          </cell>
          <cell r="D25">
            <v>0</v>
          </cell>
          <cell r="E25">
            <v>0</v>
          </cell>
          <cell r="F25">
            <v>9</v>
          </cell>
          <cell r="G25">
            <v>0.10714285714285714</v>
          </cell>
          <cell r="H25">
            <v>16</v>
          </cell>
          <cell r="I25">
            <v>2.2857142857142856</v>
          </cell>
          <cell r="J25">
            <v>62</v>
          </cell>
          <cell r="K25">
            <v>1</v>
          </cell>
          <cell r="L25">
            <v>1</v>
          </cell>
          <cell r="M25">
            <v>10</v>
          </cell>
          <cell r="N25">
            <v>0.16129032258064516</v>
          </cell>
          <cell r="O25">
            <v>8</v>
          </cell>
          <cell r="P25">
            <v>1.1428571428571428</v>
          </cell>
          <cell r="Q25">
            <v>0.13421658986175114</v>
          </cell>
        </row>
        <row r="26">
          <cell r="A26">
            <v>51847</v>
          </cell>
          <cell r="B26" t="str">
            <v>Multisite BORDEAUX VICTOIRE</v>
          </cell>
          <cell r="C26">
            <v>225</v>
          </cell>
          <cell r="D26">
            <v>1</v>
          </cell>
          <cell r="E26">
            <v>3</v>
          </cell>
          <cell r="F26">
            <v>23</v>
          </cell>
          <cell r="G26">
            <v>0.10222222222222223</v>
          </cell>
          <cell r="H26">
            <v>43</v>
          </cell>
          <cell r="I26">
            <v>6.1428571428571432</v>
          </cell>
          <cell r="J26">
            <v>122</v>
          </cell>
          <cell r="K26">
            <v>0</v>
          </cell>
          <cell r="L26">
            <v>0</v>
          </cell>
          <cell r="M26">
            <v>5</v>
          </cell>
          <cell r="N26">
            <v>4.0983606557377046E-2</v>
          </cell>
          <cell r="O26">
            <v>31</v>
          </cell>
          <cell r="P26">
            <v>4.4285714285714288</v>
          </cell>
          <cell r="Q26">
            <v>7.1602914389799641E-2</v>
          </cell>
        </row>
        <row r="27">
          <cell r="A27">
            <v>1847</v>
          </cell>
          <cell r="B27" t="str">
            <v>BORDEAUX VICTOIRE</v>
          </cell>
          <cell r="C27">
            <v>153</v>
          </cell>
          <cell r="D27">
            <v>1</v>
          </cell>
          <cell r="E27">
            <v>3</v>
          </cell>
          <cell r="F27">
            <v>16</v>
          </cell>
          <cell r="G27">
            <v>0.10457516339869281</v>
          </cell>
          <cell r="H27">
            <v>29</v>
          </cell>
          <cell r="I27">
            <v>4.1428571428571432</v>
          </cell>
          <cell r="J27">
            <v>84</v>
          </cell>
          <cell r="K27">
            <v>0</v>
          </cell>
          <cell r="L27">
            <v>0</v>
          </cell>
          <cell r="M27">
            <v>2</v>
          </cell>
          <cell r="N27">
            <v>2.3809523809523808E-2</v>
          </cell>
          <cell r="O27">
            <v>23</v>
          </cell>
          <cell r="P27">
            <v>3.2857142857142856</v>
          </cell>
          <cell r="Q27">
            <v>6.4192343604108304E-2</v>
          </cell>
        </row>
        <row r="28">
          <cell r="A28">
            <v>1854</v>
          </cell>
          <cell r="B28" t="str">
            <v>BORDEAUX SAINT-JEAN</v>
          </cell>
          <cell r="C28">
            <v>72</v>
          </cell>
          <cell r="D28">
            <v>0</v>
          </cell>
          <cell r="E28">
            <v>0</v>
          </cell>
          <cell r="F28">
            <v>7</v>
          </cell>
          <cell r="G28">
            <v>9.7222222222222224E-2</v>
          </cell>
          <cell r="H28">
            <v>14</v>
          </cell>
          <cell r="I28">
            <v>2</v>
          </cell>
          <cell r="J28">
            <v>38</v>
          </cell>
          <cell r="K28">
            <v>0</v>
          </cell>
          <cell r="L28">
            <v>0</v>
          </cell>
          <cell r="M28">
            <v>3</v>
          </cell>
          <cell r="N28">
            <v>7.8947368421052627E-2</v>
          </cell>
          <cell r="O28">
            <v>9</v>
          </cell>
          <cell r="P28">
            <v>1.2857142857142858</v>
          </cell>
          <cell r="Q28">
            <v>8.8084795321637432E-2</v>
          </cell>
        </row>
        <row r="29">
          <cell r="A29">
            <v>43711</v>
          </cell>
          <cell r="B29" t="str">
            <v>DGA MERIGNAC - MEDOC</v>
          </cell>
          <cell r="C29">
            <v>942</v>
          </cell>
          <cell r="D29">
            <v>4</v>
          </cell>
          <cell r="E29">
            <v>15</v>
          </cell>
          <cell r="F29">
            <v>87</v>
          </cell>
          <cell r="G29">
            <v>9.2356687898089165E-2</v>
          </cell>
          <cell r="H29">
            <v>187</v>
          </cell>
          <cell r="I29">
            <v>26.714285714285715</v>
          </cell>
          <cell r="J29">
            <v>717</v>
          </cell>
          <cell r="K29">
            <v>0</v>
          </cell>
          <cell r="L29">
            <v>9</v>
          </cell>
          <cell r="M29">
            <v>83</v>
          </cell>
          <cell r="N29">
            <v>0.11576011157601115</v>
          </cell>
          <cell r="O29">
            <v>125</v>
          </cell>
          <cell r="P29">
            <v>17.857142857142858</v>
          </cell>
          <cell r="Q29">
            <v>0.10405839973705017</v>
          </cell>
        </row>
        <row r="30">
          <cell r="A30">
            <v>1837</v>
          </cell>
          <cell r="B30" t="str">
            <v>PAUILLAC</v>
          </cell>
          <cell r="C30">
            <v>87</v>
          </cell>
          <cell r="D30">
            <v>0</v>
          </cell>
          <cell r="E30">
            <v>2</v>
          </cell>
          <cell r="F30">
            <v>11</v>
          </cell>
          <cell r="G30">
            <v>0.12643678160919541</v>
          </cell>
          <cell r="H30">
            <v>15</v>
          </cell>
          <cell r="I30">
            <v>2.1428571428571428</v>
          </cell>
          <cell r="J30">
            <v>64</v>
          </cell>
          <cell r="K30">
            <v>0</v>
          </cell>
          <cell r="L30">
            <v>0</v>
          </cell>
          <cell r="M30">
            <v>6</v>
          </cell>
          <cell r="N30">
            <v>9.375E-2</v>
          </cell>
          <cell r="O30">
            <v>13</v>
          </cell>
          <cell r="P30">
            <v>1.8571428571428572</v>
          </cell>
          <cell r="Q30">
            <v>0.11009339080459771</v>
          </cell>
        </row>
        <row r="31">
          <cell r="A31">
            <v>1840</v>
          </cell>
          <cell r="B31" t="str">
            <v>MERIGNAC</v>
          </cell>
          <cell r="C31">
            <v>203</v>
          </cell>
          <cell r="D31">
            <v>0</v>
          </cell>
          <cell r="E31">
            <v>2</v>
          </cell>
          <cell r="F31">
            <v>11</v>
          </cell>
          <cell r="G31">
            <v>5.4187192118226604E-2</v>
          </cell>
          <cell r="H31">
            <v>48</v>
          </cell>
          <cell r="I31">
            <v>6.8571428571428568</v>
          </cell>
          <cell r="J31">
            <v>151</v>
          </cell>
          <cell r="K31">
            <v>0</v>
          </cell>
          <cell r="L31">
            <v>1</v>
          </cell>
          <cell r="M31">
            <v>12</v>
          </cell>
          <cell r="N31">
            <v>7.9470198675496692E-2</v>
          </cell>
          <cell r="O31">
            <v>32</v>
          </cell>
          <cell r="P31">
            <v>4.5714285714285712</v>
          </cell>
          <cell r="Q31">
            <v>6.6828695396861648E-2</v>
          </cell>
        </row>
        <row r="32">
          <cell r="A32">
            <v>1843</v>
          </cell>
          <cell r="B32" t="str">
            <v>SAINT MEDARD EN JALLES</v>
          </cell>
          <cell r="C32">
            <v>146</v>
          </cell>
          <cell r="D32">
            <v>0</v>
          </cell>
          <cell r="E32">
            <v>3</v>
          </cell>
          <cell r="F32">
            <v>7</v>
          </cell>
          <cell r="G32">
            <v>4.7945205479452052E-2</v>
          </cell>
          <cell r="H32">
            <v>36</v>
          </cell>
          <cell r="I32">
            <v>5.1428571428571432</v>
          </cell>
          <cell r="J32">
            <v>102</v>
          </cell>
          <cell r="K32">
            <v>0</v>
          </cell>
          <cell r="L32">
            <v>1</v>
          </cell>
          <cell r="M32">
            <v>7</v>
          </cell>
          <cell r="N32">
            <v>6.8627450980392163E-2</v>
          </cell>
          <cell r="O32">
            <v>23</v>
          </cell>
          <cell r="P32">
            <v>3.2857142857142856</v>
          </cell>
          <cell r="Q32">
            <v>5.8286328229922107E-2</v>
          </cell>
        </row>
        <row r="33">
          <cell r="A33">
            <v>1850</v>
          </cell>
          <cell r="B33" t="str">
            <v>LESPARRE MEDOC</v>
          </cell>
          <cell r="C33">
            <v>80</v>
          </cell>
          <cell r="D33">
            <v>1</v>
          </cell>
          <cell r="E33">
            <v>2</v>
          </cell>
          <cell r="F33">
            <v>10</v>
          </cell>
          <cell r="G33">
            <v>0.125</v>
          </cell>
          <cell r="H33">
            <v>14</v>
          </cell>
          <cell r="I33">
            <v>2</v>
          </cell>
          <cell r="J33">
            <v>83</v>
          </cell>
          <cell r="K33">
            <v>0</v>
          </cell>
          <cell r="L33">
            <v>2</v>
          </cell>
          <cell r="M33">
            <v>10</v>
          </cell>
          <cell r="N33">
            <v>0.12048192771084337</v>
          </cell>
          <cell r="O33">
            <v>15</v>
          </cell>
          <cell r="P33">
            <v>2.1428571428571428</v>
          </cell>
          <cell r="Q33">
            <v>0.12274096385542169</v>
          </cell>
        </row>
        <row r="34">
          <cell r="A34">
            <v>51851</v>
          </cell>
          <cell r="B34" t="str">
            <v>Multisite CAUDERAN</v>
          </cell>
          <cell r="C34">
            <v>199</v>
          </cell>
          <cell r="D34">
            <v>0</v>
          </cell>
          <cell r="E34">
            <v>1</v>
          </cell>
          <cell r="F34">
            <v>16</v>
          </cell>
          <cell r="G34">
            <v>8.0402010050251257E-2</v>
          </cell>
          <cell r="H34">
            <v>42</v>
          </cell>
          <cell r="I34">
            <v>6</v>
          </cell>
          <cell r="J34">
            <v>139</v>
          </cell>
          <cell r="K34">
            <v>0</v>
          </cell>
          <cell r="L34">
            <v>2</v>
          </cell>
          <cell r="M34">
            <v>15</v>
          </cell>
          <cell r="N34">
            <v>0.1079136690647482</v>
          </cell>
          <cell r="O34">
            <v>26</v>
          </cell>
          <cell r="P34">
            <v>3.7142857142857144</v>
          </cell>
          <cell r="Q34">
            <v>9.4157839557499734E-2</v>
          </cell>
        </row>
        <row r="35">
          <cell r="A35">
            <v>1851</v>
          </cell>
          <cell r="B35" t="str">
            <v>BORDEAUX CAUDERAN</v>
          </cell>
          <cell r="C35">
            <v>115</v>
          </cell>
          <cell r="D35">
            <v>0</v>
          </cell>
          <cell r="E35">
            <v>0</v>
          </cell>
          <cell r="F35">
            <v>6</v>
          </cell>
          <cell r="G35">
            <v>5.2173913043478258E-2</v>
          </cell>
          <cell r="H35">
            <v>28</v>
          </cell>
          <cell r="I35">
            <v>4</v>
          </cell>
          <cell r="J35">
            <v>73</v>
          </cell>
          <cell r="K35">
            <v>0</v>
          </cell>
          <cell r="L35">
            <v>0</v>
          </cell>
          <cell r="M35">
            <v>7</v>
          </cell>
          <cell r="N35">
            <v>9.5890410958904104E-2</v>
          </cell>
          <cell r="O35">
            <v>15</v>
          </cell>
          <cell r="P35">
            <v>2.1428571428571428</v>
          </cell>
          <cell r="Q35">
            <v>7.4032162001191185E-2</v>
          </cell>
        </row>
        <row r="36">
          <cell r="A36">
            <v>1864</v>
          </cell>
          <cell r="B36" t="str">
            <v>MERIGNAC MONDESIR</v>
          </cell>
          <cell r="C36">
            <v>84</v>
          </cell>
          <cell r="D36">
            <v>0</v>
          </cell>
          <cell r="E36">
            <v>1</v>
          </cell>
          <cell r="F36">
            <v>10</v>
          </cell>
          <cell r="G36">
            <v>0.11904761904761904</v>
          </cell>
          <cell r="H36">
            <v>15</v>
          </cell>
          <cell r="I36">
            <v>2.1428571428571428</v>
          </cell>
          <cell r="J36">
            <v>66</v>
          </cell>
          <cell r="K36">
            <v>0</v>
          </cell>
          <cell r="L36">
            <v>2</v>
          </cell>
          <cell r="M36">
            <v>8</v>
          </cell>
          <cell r="N36">
            <v>0.12121212121212122</v>
          </cell>
          <cell r="O36">
            <v>12</v>
          </cell>
          <cell r="P36">
            <v>1.7142857142857142</v>
          </cell>
          <cell r="Q36">
            <v>0.12012987012987013</v>
          </cell>
        </row>
        <row r="37">
          <cell r="A37">
            <v>1838</v>
          </cell>
          <cell r="B37" t="str">
            <v>BORDEAUX BAR JUDAIQUE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A38">
            <v>51859</v>
          </cell>
          <cell r="B38" t="str">
            <v>Multisite BRUGES</v>
          </cell>
          <cell r="C38">
            <v>227</v>
          </cell>
          <cell r="D38">
            <v>3</v>
          </cell>
          <cell r="E38">
            <v>5</v>
          </cell>
          <cell r="F38">
            <v>32</v>
          </cell>
          <cell r="G38">
            <v>0.14096916299559473</v>
          </cell>
          <cell r="H38">
            <v>34</v>
          </cell>
          <cell r="I38">
            <v>4.8571428571428568</v>
          </cell>
          <cell r="J38">
            <v>178</v>
          </cell>
          <cell r="K38">
            <v>0</v>
          </cell>
          <cell r="L38">
            <v>3</v>
          </cell>
          <cell r="M38">
            <v>33</v>
          </cell>
          <cell r="N38">
            <v>0.1853932584269663</v>
          </cell>
          <cell r="O38">
            <v>19</v>
          </cell>
          <cell r="P38">
            <v>2.7142857142857144</v>
          </cell>
          <cell r="Q38">
            <v>0.1631812107112805</v>
          </cell>
        </row>
        <row r="39">
          <cell r="A39">
            <v>1858</v>
          </cell>
          <cell r="B39" t="str">
            <v>EYSINES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A40">
            <v>1859</v>
          </cell>
          <cell r="B40" t="str">
            <v>BRUGES</v>
          </cell>
          <cell r="C40">
            <v>121</v>
          </cell>
          <cell r="D40">
            <v>2</v>
          </cell>
          <cell r="E40">
            <v>4</v>
          </cell>
          <cell r="F40">
            <v>26</v>
          </cell>
          <cell r="G40">
            <v>0.21487603305785125</v>
          </cell>
          <cell r="H40">
            <v>10</v>
          </cell>
          <cell r="I40">
            <v>1.4285714285714286</v>
          </cell>
          <cell r="J40">
            <v>89</v>
          </cell>
          <cell r="K40">
            <v>0</v>
          </cell>
          <cell r="L40">
            <v>1</v>
          </cell>
          <cell r="M40">
            <v>13</v>
          </cell>
          <cell r="N40">
            <v>0.14606741573033707</v>
          </cell>
          <cell r="O40">
            <v>13</v>
          </cell>
          <cell r="P40">
            <v>1.8571428571428572</v>
          </cell>
          <cell r="Q40">
            <v>0.18047172439409415</v>
          </cell>
        </row>
        <row r="41">
          <cell r="A41">
            <v>1860</v>
          </cell>
          <cell r="B41" t="str">
            <v>BLANQUEFORT</v>
          </cell>
          <cell r="C41">
            <v>106</v>
          </cell>
          <cell r="D41">
            <v>1</v>
          </cell>
          <cell r="E41">
            <v>1</v>
          </cell>
          <cell r="F41">
            <v>6</v>
          </cell>
          <cell r="G41">
            <v>5.6603773584905662E-2</v>
          </cell>
          <cell r="H41">
            <v>25</v>
          </cell>
          <cell r="I41">
            <v>3.5714285714285716</v>
          </cell>
          <cell r="J41">
            <v>89</v>
          </cell>
          <cell r="K41">
            <v>0</v>
          </cell>
          <cell r="L41">
            <v>2</v>
          </cell>
          <cell r="M41">
            <v>20</v>
          </cell>
          <cell r="N41">
            <v>0.2247191011235955</v>
          </cell>
          <cell r="O41">
            <v>6</v>
          </cell>
          <cell r="P41">
            <v>0.8571428571428571</v>
          </cell>
          <cell r="Q41">
            <v>0.14066143735425057</v>
          </cell>
        </row>
        <row r="42">
          <cell r="A42">
            <v>43717</v>
          </cell>
          <cell r="B42" t="str">
            <v>DGA SUD GIRONDE</v>
          </cell>
          <cell r="C42">
            <v>1120</v>
          </cell>
          <cell r="D42">
            <v>3</v>
          </cell>
          <cell r="E42">
            <v>7</v>
          </cell>
          <cell r="F42">
            <v>91</v>
          </cell>
          <cell r="G42">
            <v>8.1250000000000003E-2</v>
          </cell>
          <cell r="H42">
            <v>234</v>
          </cell>
          <cell r="I42">
            <v>33.428571428571431</v>
          </cell>
          <cell r="J42">
            <v>555</v>
          </cell>
          <cell r="K42">
            <v>5</v>
          </cell>
          <cell r="L42">
            <v>6</v>
          </cell>
          <cell r="M42">
            <v>46</v>
          </cell>
          <cell r="N42">
            <v>8.2882882882882883E-2</v>
          </cell>
          <cell r="O42">
            <v>115</v>
          </cell>
          <cell r="P42">
            <v>16.428571428571427</v>
          </cell>
          <cell r="Q42">
            <v>8.2066441441441443E-2</v>
          </cell>
        </row>
        <row r="43">
          <cell r="A43">
            <v>1842</v>
          </cell>
          <cell r="B43" t="str">
            <v>BORDEAUX BARRIERE DE PESSAC</v>
          </cell>
          <cell r="C43">
            <v>123</v>
          </cell>
          <cell r="D43">
            <v>0</v>
          </cell>
          <cell r="E43">
            <v>0</v>
          </cell>
          <cell r="F43">
            <v>3</v>
          </cell>
          <cell r="G43">
            <v>2.4390243902439025E-2</v>
          </cell>
          <cell r="H43">
            <v>33</v>
          </cell>
          <cell r="I43">
            <v>4.7142857142857144</v>
          </cell>
          <cell r="J43">
            <v>62</v>
          </cell>
          <cell r="K43">
            <v>2</v>
          </cell>
          <cell r="L43">
            <v>2</v>
          </cell>
          <cell r="M43">
            <v>4</v>
          </cell>
          <cell r="N43">
            <v>6.4516129032258063E-2</v>
          </cell>
          <cell r="O43">
            <v>14</v>
          </cell>
          <cell r="P43">
            <v>2</v>
          </cell>
          <cell r="Q43">
            <v>4.4453186467348541E-2</v>
          </cell>
        </row>
        <row r="44">
          <cell r="A44">
            <v>51845</v>
          </cell>
          <cell r="B44" t="str">
            <v>Multisite PESSAC</v>
          </cell>
          <cell r="C44">
            <v>267</v>
          </cell>
          <cell r="D44">
            <v>0</v>
          </cell>
          <cell r="E44">
            <v>0</v>
          </cell>
          <cell r="F44">
            <v>22</v>
          </cell>
          <cell r="G44">
            <v>8.2397003745318345E-2</v>
          </cell>
          <cell r="H44">
            <v>56</v>
          </cell>
          <cell r="I44">
            <v>8</v>
          </cell>
          <cell r="J44">
            <v>159</v>
          </cell>
          <cell r="K44">
            <v>0</v>
          </cell>
          <cell r="L44">
            <v>0</v>
          </cell>
          <cell r="M44">
            <v>12</v>
          </cell>
          <cell r="N44">
            <v>7.5471698113207544E-2</v>
          </cell>
          <cell r="O44">
            <v>35</v>
          </cell>
          <cell r="P44">
            <v>5</v>
          </cell>
          <cell r="Q44">
            <v>7.8934350929262945E-2</v>
          </cell>
        </row>
        <row r="45">
          <cell r="A45">
            <v>1845</v>
          </cell>
          <cell r="B45" t="str">
            <v>PESSAC</v>
          </cell>
          <cell r="C45">
            <v>175</v>
          </cell>
          <cell r="D45">
            <v>0</v>
          </cell>
          <cell r="E45">
            <v>0</v>
          </cell>
          <cell r="F45">
            <v>14</v>
          </cell>
          <cell r="G45">
            <v>0.08</v>
          </cell>
          <cell r="H45">
            <v>37</v>
          </cell>
          <cell r="I45">
            <v>5.2857142857142856</v>
          </cell>
          <cell r="J45">
            <v>107</v>
          </cell>
          <cell r="K45">
            <v>0</v>
          </cell>
          <cell r="L45">
            <v>0</v>
          </cell>
          <cell r="M45">
            <v>11</v>
          </cell>
          <cell r="N45">
            <v>0.10280373831775701</v>
          </cell>
          <cell r="O45">
            <v>21</v>
          </cell>
          <cell r="P45">
            <v>3</v>
          </cell>
          <cell r="Q45">
            <v>9.1401869158878504E-2</v>
          </cell>
        </row>
        <row r="46">
          <cell r="A46">
            <v>1865</v>
          </cell>
          <cell r="B46" t="str">
            <v>PESSAC ALOUETTE</v>
          </cell>
          <cell r="C46">
            <v>92</v>
          </cell>
          <cell r="D46">
            <v>0</v>
          </cell>
          <cell r="E46">
            <v>0</v>
          </cell>
          <cell r="F46">
            <v>8</v>
          </cell>
          <cell r="G46">
            <v>8.6956521739130432E-2</v>
          </cell>
          <cell r="H46">
            <v>19</v>
          </cell>
          <cell r="I46">
            <v>2.7142857142857144</v>
          </cell>
          <cell r="J46">
            <v>52</v>
          </cell>
          <cell r="K46">
            <v>0</v>
          </cell>
          <cell r="L46">
            <v>0</v>
          </cell>
          <cell r="M46">
            <v>1</v>
          </cell>
          <cell r="N46">
            <v>1.9230769230769232E-2</v>
          </cell>
          <cell r="O46">
            <v>15</v>
          </cell>
          <cell r="P46">
            <v>2.1428571428571428</v>
          </cell>
          <cell r="Q46">
            <v>5.3093645484949832E-2</v>
          </cell>
        </row>
        <row r="47">
          <cell r="A47">
            <v>1846</v>
          </cell>
          <cell r="B47" t="str">
            <v>BORDEAUX BARRIER DE TOULOUSE</v>
          </cell>
          <cell r="C47">
            <v>85</v>
          </cell>
          <cell r="D47">
            <v>0</v>
          </cell>
          <cell r="E47">
            <v>2</v>
          </cell>
          <cell r="F47">
            <v>13</v>
          </cell>
          <cell r="G47">
            <v>0.15294117647058825</v>
          </cell>
          <cell r="H47">
            <v>12</v>
          </cell>
          <cell r="I47">
            <v>1.7142857142857142</v>
          </cell>
          <cell r="J47">
            <v>57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17</v>
          </cell>
          <cell r="P47">
            <v>2.4285714285714284</v>
          </cell>
          <cell r="Q47">
            <v>7.6470588235294124E-2</v>
          </cell>
        </row>
        <row r="48">
          <cell r="A48">
            <v>51855</v>
          </cell>
          <cell r="B48" t="str">
            <v>Multisite TALENCE</v>
          </cell>
          <cell r="C48">
            <v>537</v>
          </cell>
          <cell r="D48">
            <v>3</v>
          </cell>
          <cell r="E48">
            <v>5</v>
          </cell>
          <cell r="F48">
            <v>48</v>
          </cell>
          <cell r="G48">
            <v>8.9385474860335198E-2</v>
          </cell>
          <cell r="H48">
            <v>108</v>
          </cell>
          <cell r="I48">
            <v>15.428571428571429</v>
          </cell>
          <cell r="J48">
            <v>193</v>
          </cell>
          <cell r="K48">
            <v>1</v>
          </cell>
          <cell r="L48">
            <v>2</v>
          </cell>
          <cell r="M48">
            <v>18</v>
          </cell>
          <cell r="N48">
            <v>9.3264248704663211E-2</v>
          </cell>
          <cell r="O48">
            <v>38</v>
          </cell>
          <cell r="P48">
            <v>5.4285714285714288</v>
          </cell>
          <cell r="Q48">
            <v>9.1324861782499211E-2</v>
          </cell>
        </row>
        <row r="49">
          <cell r="A49">
            <v>1855</v>
          </cell>
          <cell r="B49" t="str">
            <v>TALENCE</v>
          </cell>
          <cell r="C49">
            <v>421</v>
          </cell>
          <cell r="D49">
            <v>3</v>
          </cell>
          <cell r="E49">
            <v>5</v>
          </cell>
          <cell r="F49">
            <v>35</v>
          </cell>
          <cell r="G49">
            <v>8.3135391923990498E-2</v>
          </cell>
          <cell r="H49">
            <v>88</v>
          </cell>
          <cell r="I49">
            <v>12.571428571428571</v>
          </cell>
          <cell r="J49">
            <v>109</v>
          </cell>
          <cell r="K49">
            <v>1</v>
          </cell>
          <cell r="L49">
            <v>1</v>
          </cell>
          <cell r="M49">
            <v>6</v>
          </cell>
          <cell r="N49">
            <v>5.5045871559633031E-2</v>
          </cell>
          <cell r="O49">
            <v>26</v>
          </cell>
          <cell r="P49">
            <v>3.7142857142857144</v>
          </cell>
          <cell r="Q49">
            <v>6.9090631741811764E-2</v>
          </cell>
        </row>
        <row r="50">
          <cell r="A50">
            <v>1857</v>
          </cell>
          <cell r="B50" t="str">
            <v>VILLENAVE D'ORNON</v>
          </cell>
          <cell r="C50">
            <v>116</v>
          </cell>
          <cell r="D50">
            <v>0</v>
          </cell>
          <cell r="E50">
            <v>0</v>
          </cell>
          <cell r="F50">
            <v>13</v>
          </cell>
          <cell r="G50">
            <v>0.11206896551724138</v>
          </cell>
          <cell r="H50">
            <v>21</v>
          </cell>
          <cell r="I50">
            <v>3</v>
          </cell>
          <cell r="J50">
            <v>84</v>
          </cell>
          <cell r="K50">
            <v>0</v>
          </cell>
          <cell r="L50">
            <v>1</v>
          </cell>
          <cell r="M50">
            <v>12</v>
          </cell>
          <cell r="N50">
            <v>0.14285714285714285</v>
          </cell>
          <cell r="O50">
            <v>13</v>
          </cell>
          <cell r="P50">
            <v>1.8571428571428572</v>
          </cell>
          <cell r="Q50">
            <v>0.12746305418719212</v>
          </cell>
        </row>
        <row r="51">
          <cell r="A51">
            <v>1856</v>
          </cell>
          <cell r="B51" t="str">
            <v>GRADIGNAN</v>
          </cell>
          <cell r="C51">
            <v>108</v>
          </cell>
          <cell r="D51">
            <v>0</v>
          </cell>
          <cell r="E51">
            <v>0</v>
          </cell>
          <cell r="F51">
            <v>5</v>
          </cell>
          <cell r="G51">
            <v>4.6296296296296294E-2</v>
          </cell>
          <cell r="H51">
            <v>27</v>
          </cell>
          <cell r="I51">
            <v>3.8571428571428572</v>
          </cell>
          <cell r="J51">
            <v>84</v>
          </cell>
          <cell r="K51">
            <v>2</v>
          </cell>
          <cell r="L51">
            <v>2</v>
          </cell>
          <cell r="M51">
            <v>12</v>
          </cell>
          <cell r="N51">
            <v>0.14285714285714285</v>
          </cell>
          <cell r="O51">
            <v>13</v>
          </cell>
          <cell r="P51">
            <v>1.8571428571428572</v>
          </cell>
          <cell r="Q51">
            <v>9.4576719576719565E-2</v>
          </cell>
        </row>
        <row r="52">
          <cell r="A52">
            <v>43739</v>
          </cell>
          <cell r="B52" t="str">
            <v>DGA BASSIN D'ARCACHON</v>
          </cell>
          <cell r="C52">
            <v>496</v>
          </cell>
          <cell r="D52">
            <v>3</v>
          </cell>
          <cell r="E52">
            <v>6</v>
          </cell>
          <cell r="F52">
            <v>35</v>
          </cell>
          <cell r="G52">
            <v>7.0564516129032265E-2</v>
          </cell>
          <cell r="H52">
            <v>109</v>
          </cell>
          <cell r="I52">
            <v>15.571428571428571</v>
          </cell>
          <cell r="J52">
            <v>325</v>
          </cell>
          <cell r="K52">
            <v>2</v>
          </cell>
          <cell r="L52">
            <v>6</v>
          </cell>
          <cell r="M52">
            <v>48</v>
          </cell>
          <cell r="N52">
            <v>0.14769230769230771</v>
          </cell>
          <cell r="O52">
            <v>47</v>
          </cell>
          <cell r="P52">
            <v>6.7142857142857144</v>
          </cell>
          <cell r="Q52">
            <v>0.10912841191066999</v>
          </cell>
        </row>
        <row r="53">
          <cell r="A53">
            <v>1831</v>
          </cell>
          <cell r="B53" t="str">
            <v>ARCACHON</v>
          </cell>
          <cell r="C53">
            <v>111</v>
          </cell>
          <cell r="D53">
            <v>0</v>
          </cell>
          <cell r="E53">
            <v>3</v>
          </cell>
          <cell r="F53">
            <v>9</v>
          </cell>
          <cell r="G53">
            <v>8.1081081081081086E-2</v>
          </cell>
          <cell r="H53">
            <v>24</v>
          </cell>
          <cell r="I53">
            <v>3.4285714285714284</v>
          </cell>
          <cell r="J53">
            <v>71</v>
          </cell>
          <cell r="K53">
            <v>0</v>
          </cell>
          <cell r="L53">
            <v>1</v>
          </cell>
          <cell r="M53">
            <v>9</v>
          </cell>
          <cell r="N53">
            <v>0.12676056338028169</v>
          </cell>
          <cell r="O53">
            <v>12</v>
          </cell>
          <cell r="P53">
            <v>1.7142857142857142</v>
          </cell>
          <cell r="Q53">
            <v>0.10392082223068139</v>
          </cell>
        </row>
        <row r="54">
          <cell r="A54">
            <v>51848</v>
          </cell>
          <cell r="B54" t="str">
            <v>Multisite LA TESTE DE BUCH</v>
          </cell>
          <cell r="C54">
            <v>207</v>
          </cell>
          <cell r="D54">
            <v>3</v>
          </cell>
          <cell r="E54">
            <v>3</v>
          </cell>
          <cell r="F54">
            <v>17</v>
          </cell>
          <cell r="G54">
            <v>8.2125603864734303E-2</v>
          </cell>
          <cell r="H54">
            <v>44</v>
          </cell>
          <cell r="I54">
            <v>6.2857142857142856</v>
          </cell>
          <cell r="J54">
            <v>127</v>
          </cell>
          <cell r="K54">
            <v>0</v>
          </cell>
          <cell r="L54">
            <v>1</v>
          </cell>
          <cell r="M54">
            <v>15</v>
          </cell>
          <cell r="N54">
            <v>0.11811023622047244</v>
          </cell>
          <cell r="O54">
            <v>22</v>
          </cell>
          <cell r="P54">
            <v>3.1428571428571428</v>
          </cell>
          <cell r="Q54">
            <v>0.10011792004260336</v>
          </cell>
        </row>
        <row r="55">
          <cell r="A55">
            <v>1848</v>
          </cell>
          <cell r="B55" t="str">
            <v>LA TESTE DE BUCH</v>
          </cell>
          <cell r="C55">
            <v>134</v>
          </cell>
          <cell r="D55">
            <v>2</v>
          </cell>
          <cell r="E55">
            <v>2</v>
          </cell>
          <cell r="F55">
            <v>8</v>
          </cell>
          <cell r="G55">
            <v>5.9701492537313432E-2</v>
          </cell>
          <cell r="H55">
            <v>31</v>
          </cell>
          <cell r="I55">
            <v>4.4285714285714288</v>
          </cell>
          <cell r="J55">
            <v>84</v>
          </cell>
          <cell r="K55">
            <v>0</v>
          </cell>
          <cell r="L55">
            <v>0</v>
          </cell>
          <cell r="M55">
            <v>11</v>
          </cell>
          <cell r="N55">
            <v>0.13095238095238096</v>
          </cell>
          <cell r="O55">
            <v>14</v>
          </cell>
          <cell r="P55">
            <v>2</v>
          </cell>
          <cell r="Q55">
            <v>9.5326936744847199E-2</v>
          </cell>
        </row>
        <row r="56">
          <cell r="A56">
            <v>1870</v>
          </cell>
          <cell r="B56" t="str">
            <v>GUJAN MESTRAS</v>
          </cell>
          <cell r="C56">
            <v>73</v>
          </cell>
          <cell r="D56">
            <v>1</v>
          </cell>
          <cell r="E56">
            <v>1</v>
          </cell>
          <cell r="F56">
            <v>9</v>
          </cell>
          <cell r="G56">
            <v>0.12328767123287671</v>
          </cell>
          <cell r="H56">
            <v>13</v>
          </cell>
          <cell r="I56">
            <v>1.8571428571428572</v>
          </cell>
          <cell r="J56">
            <v>43</v>
          </cell>
          <cell r="K56">
            <v>0</v>
          </cell>
          <cell r="L56">
            <v>1</v>
          </cell>
          <cell r="M56">
            <v>4</v>
          </cell>
          <cell r="N56">
            <v>9.3023255813953487E-2</v>
          </cell>
          <cell r="O56">
            <v>9</v>
          </cell>
          <cell r="P56">
            <v>1.2857142857142858</v>
          </cell>
          <cell r="Q56">
            <v>0.1081554635234151</v>
          </cell>
        </row>
        <row r="57">
          <cell r="A57">
            <v>51852</v>
          </cell>
          <cell r="B57" t="str">
            <v>Multisite ANDERNOS LES BAINS</v>
          </cell>
          <cell r="C57">
            <v>201</v>
          </cell>
          <cell r="D57">
            <v>0</v>
          </cell>
          <cell r="E57">
            <v>0</v>
          </cell>
          <cell r="F57">
            <v>9</v>
          </cell>
          <cell r="G57">
            <v>4.4776119402985072E-2</v>
          </cell>
          <cell r="H57">
            <v>50</v>
          </cell>
          <cell r="I57">
            <v>7.1428571428571432</v>
          </cell>
          <cell r="J57">
            <v>127</v>
          </cell>
          <cell r="K57">
            <v>2</v>
          </cell>
          <cell r="L57">
            <v>4</v>
          </cell>
          <cell r="M57">
            <v>24</v>
          </cell>
          <cell r="N57">
            <v>0.1889763779527559</v>
          </cell>
          <cell r="O57">
            <v>13</v>
          </cell>
          <cell r="P57">
            <v>1.8571428571428572</v>
          </cell>
          <cell r="Q57">
            <v>0.11687624867787048</v>
          </cell>
        </row>
        <row r="58">
          <cell r="A58">
            <v>1852</v>
          </cell>
          <cell r="B58" t="str">
            <v>ANDERNOS LES BAINS</v>
          </cell>
          <cell r="C58">
            <v>114</v>
          </cell>
          <cell r="D58">
            <v>0</v>
          </cell>
          <cell r="E58">
            <v>0</v>
          </cell>
          <cell r="F58">
            <v>6</v>
          </cell>
          <cell r="G58">
            <v>5.2631578947368418E-2</v>
          </cell>
          <cell r="H58">
            <v>28</v>
          </cell>
          <cell r="I58">
            <v>4</v>
          </cell>
          <cell r="J58">
            <v>71</v>
          </cell>
          <cell r="K58">
            <v>2</v>
          </cell>
          <cell r="L58">
            <v>4</v>
          </cell>
          <cell r="M58">
            <v>17</v>
          </cell>
          <cell r="N58">
            <v>0.23943661971830985</v>
          </cell>
          <cell r="O58">
            <v>4</v>
          </cell>
          <cell r="P58">
            <v>0.5714285714285714</v>
          </cell>
          <cell r="Q58">
            <v>0.14603409933283912</v>
          </cell>
        </row>
        <row r="59">
          <cell r="A59">
            <v>1873</v>
          </cell>
          <cell r="B59" t="str">
            <v>BIGANOS</v>
          </cell>
          <cell r="C59">
            <v>87</v>
          </cell>
          <cell r="D59">
            <v>0</v>
          </cell>
          <cell r="E59">
            <v>0</v>
          </cell>
          <cell r="F59">
            <v>3</v>
          </cell>
          <cell r="G59">
            <v>3.4482758620689655E-2</v>
          </cell>
          <cell r="H59">
            <v>23</v>
          </cell>
          <cell r="I59">
            <v>3.2857142857142856</v>
          </cell>
          <cell r="J59">
            <v>56</v>
          </cell>
          <cell r="K59">
            <v>0</v>
          </cell>
          <cell r="L59">
            <v>0</v>
          </cell>
          <cell r="M59">
            <v>7</v>
          </cell>
          <cell r="N59">
            <v>0.125</v>
          </cell>
          <cell r="O59">
            <v>10</v>
          </cell>
          <cell r="P59">
            <v>1.4285714285714286</v>
          </cell>
          <cell r="Q59">
            <v>7.9741379310344834E-2</v>
          </cell>
        </row>
        <row r="60">
          <cell r="A60">
            <v>43741</v>
          </cell>
          <cell r="B60" t="str">
            <v>DGA BORDEAUX RIVE DROITE</v>
          </cell>
          <cell r="C60">
            <v>782</v>
          </cell>
          <cell r="D60">
            <v>3</v>
          </cell>
          <cell r="E60">
            <v>4</v>
          </cell>
          <cell r="F60">
            <v>74</v>
          </cell>
          <cell r="G60">
            <v>9.4629156010230184E-2</v>
          </cell>
          <cell r="H60">
            <v>153</v>
          </cell>
          <cell r="I60">
            <v>21.857142857142858</v>
          </cell>
          <cell r="J60">
            <v>514</v>
          </cell>
          <cell r="K60">
            <v>0</v>
          </cell>
          <cell r="L60">
            <v>6</v>
          </cell>
          <cell r="M60">
            <v>53</v>
          </cell>
          <cell r="N60">
            <v>0.10311284046692606</v>
          </cell>
          <cell r="O60">
            <v>97</v>
          </cell>
          <cell r="P60">
            <v>13.857142857142858</v>
          </cell>
          <cell r="Q60">
            <v>9.8870998238578117E-2</v>
          </cell>
        </row>
        <row r="61">
          <cell r="A61">
            <v>1834</v>
          </cell>
          <cell r="B61" t="str">
            <v>LANGON</v>
          </cell>
          <cell r="C61">
            <v>133</v>
          </cell>
          <cell r="D61">
            <v>1</v>
          </cell>
          <cell r="E61">
            <v>2</v>
          </cell>
          <cell r="F61">
            <v>8</v>
          </cell>
          <cell r="G61">
            <v>6.0150375939849621E-2</v>
          </cell>
          <cell r="H61">
            <v>31</v>
          </cell>
          <cell r="I61">
            <v>4.4285714285714288</v>
          </cell>
          <cell r="J61">
            <v>89</v>
          </cell>
          <cell r="K61">
            <v>0</v>
          </cell>
          <cell r="L61">
            <v>1</v>
          </cell>
          <cell r="M61">
            <v>6</v>
          </cell>
          <cell r="N61">
            <v>6.741573033707865E-2</v>
          </cell>
          <cell r="O61">
            <v>20</v>
          </cell>
          <cell r="P61">
            <v>2.8571428571428572</v>
          </cell>
          <cell r="Q61">
            <v>6.3783053138464135E-2</v>
          </cell>
        </row>
        <row r="62">
          <cell r="A62">
            <v>51835</v>
          </cell>
          <cell r="B62" t="str">
            <v>Multisite LIBOURNE</v>
          </cell>
          <cell r="C62">
            <v>278</v>
          </cell>
          <cell r="D62">
            <v>0</v>
          </cell>
          <cell r="E62">
            <v>0</v>
          </cell>
          <cell r="F62">
            <v>18</v>
          </cell>
          <cell r="G62">
            <v>6.4748201438848921E-2</v>
          </cell>
          <cell r="H62">
            <v>63</v>
          </cell>
          <cell r="I62">
            <v>9</v>
          </cell>
          <cell r="J62">
            <v>180</v>
          </cell>
          <cell r="K62">
            <v>0</v>
          </cell>
          <cell r="L62">
            <v>0</v>
          </cell>
          <cell r="M62">
            <v>18</v>
          </cell>
          <cell r="N62">
            <v>0.1</v>
          </cell>
          <cell r="O62">
            <v>35</v>
          </cell>
          <cell r="P62">
            <v>5</v>
          </cell>
          <cell r="Q62">
            <v>8.237410071942447E-2</v>
          </cell>
        </row>
        <row r="63">
          <cell r="A63">
            <v>1825</v>
          </cell>
          <cell r="B63" t="str">
            <v>SAINT ANDRE DE CUBZAC</v>
          </cell>
          <cell r="C63">
            <v>97</v>
          </cell>
          <cell r="D63">
            <v>0</v>
          </cell>
          <cell r="E63">
            <v>0</v>
          </cell>
          <cell r="F63">
            <v>10</v>
          </cell>
          <cell r="G63">
            <v>0.10309278350515463</v>
          </cell>
          <cell r="H63">
            <v>19</v>
          </cell>
          <cell r="I63">
            <v>2.7142857142857144</v>
          </cell>
          <cell r="J63">
            <v>63</v>
          </cell>
          <cell r="K63">
            <v>0</v>
          </cell>
          <cell r="L63">
            <v>0</v>
          </cell>
          <cell r="M63">
            <v>8</v>
          </cell>
          <cell r="N63">
            <v>0.12698412698412698</v>
          </cell>
          <cell r="O63">
            <v>11</v>
          </cell>
          <cell r="P63">
            <v>1.5714285714285714</v>
          </cell>
          <cell r="Q63">
            <v>0.11503845524464081</v>
          </cell>
        </row>
        <row r="64">
          <cell r="A64">
            <v>1835</v>
          </cell>
          <cell r="B64" t="str">
            <v>LIBOURNE</v>
          </cell>
          <cell r="C64">
            <v>165</v>
          </cell>
          <cell r="D64">
            <v>0</v>
          </cell>
          <cell r="E64">
            <v>0</v>
          </cell>
          <cell r="F64">
            <v>7</v>
          </cell>
          <cell r="G64">
            <v>4.2424242424242427E-2</v>
          </cell>
          <cell r="H64">
            <v>41</v>
          </cell>
          <cell r="I64">
            <v>5.8571428571428568</v>
          </cell>
          <cell r="J64">
            <v>107</v>
          </cell>
          <cell r="K64">
            <v>0</v>
          </cell>
          <cell r="L64">
            <v>0</v>
          </cell>
          <cell r="M64">
            <v>9</v>
          </cell>
          <cell r="N64">
            <v>8.4112149532710276E-2</v>
          </cell>
          <cell r="O64">
            <v>23</v>
          </cell>
          <cell r="P64">
            <v>3.2857142857142856</v>
          </cell>
          <cell r="Q64">
            <v>6.3268195978476355E-2</v>
          </cell>
        </row>
        <row r="65">
          <cell r="A65">
            <v>1878</v>
          </cell>
          <cell r="B65" t="str">
            <v>SAINT EMILION</v>
          </cell>
          <cell r="C65">
            <v>16</v>
          </cell>
          <cell r="D65">
            <v>0</v>
          </cell>
          <cell r="E65">
            <v>0</v>
          </cell>
          <cell r="F65">
            <v>1</v>
          </cell>
          <cell r="G65">
            <v>6.25E-2</v>
          </cell>
          <cell r="H65">
            <v>4</v>
          </cell>
          <cell r="I65">
            <v>0.5714285714285714</v>
          </cell>
          <cell r="J65">
            <v>10</v>
          </cell>
          <cell r="K65">
            <v>0</v>
          </cell>
          <cell r="L65">
            <v>0</v>
          </cell>
          <cell r="M65">
            <v>1</v>
          </cell>
          <cell r="N65">
            <v>0.1</v>
          </cell>
          <cell r="O65">
            <v>2</v>
          </cell>
          <cell r="P65">
            <v>0.2857142857142857</v>
          </cell>
          <cell r="Q65">
            <v>8.1250000000000003E-2</v>
          </cell>
        </row>
        <row r="66">
          <cell r="A66">
            <v>1836</v>
          </cell>
          <cell r="B66" t="str">
            <v>BORDEAUX LA BASTIDE</v>
          </cell>
          <cell r="C66">
            <v>141</v>
          </cell>
          <cell r="D66">
            <v>0</v>
          </cell>
          <cell r="E66">
            <v>0</v>
          </cell>
          <cell r="F66">
            <v>14</v>
          </cell>
          <cell r="G66">
            <v>9.9290780141843976E-2</v>
          </cell>
          <cell r="H66">
            <v>27</v>
          </cell>
          <cell r="I66">
            <v>3.8571428571428572</v>
          </cell>
          <cell r="J66">
            <v>92</v>
          </cell>
          <cell r="K66">
            <v>0</v>
          </cell>
          <cell r="L66">
            <v>3</v>
          </cell>
          <cell r="M66">
            <v>16</v>
          </cell>
          <cell r="N66">
            <v>0.17391304347826086</v>
          </cell>
          <cell r="O66">
            <v>11</v>
          </cell>
          <cell r="P66">
            <v>1.5714285714285714</v>
          </cell>
          <cell r="Q66">
            <v>0.13660191181005243</v>
          </cell>
        </row>
        <row r="67">
          <cell r="A67">
            <v>51853</v>
          </cell>
          <cell r="B67" t="str">
            <v>Multisite CENON</v>
          </cell>
          <cell r="C67">
            <v>230</v>
          </cell>
          <cell r="D67">
            <v>2</v>
          </cell>
          <cell r="E67">
            <v>2</v>
          </cell>
          <cell r="F67">
            <v>34</v>
          </cell>
          <cell r="G67">
            <v>0.14782608695652175</v>
          </cell>
          <cell r="H67">
            <v>33</v>
          </cell>
          <cell r="I67">
            <v>4.7142857142857144</v>
          </cell>
          <cell r="J67">
            <v>154</v>
          </cell>
          <cell r="K67">
            <v>0</v>
          </cell>
          <cell r="L67">
            <v>2</v>
          </cell>
          <cell r="M67">
            <v>13</v>
          </cell>
          <cell r="N67">
            <v>8.4415584415584416E-2</v>
          </cell>
          <cell r="O67">
            <v>32</v>
          </cell>
          <cell r="P67">
            <v>4.5714285714285712</v>
          </cell>
          <cell r="Q67">
            <v>0.11612083568605308</v>
          </cell>
        </row>
        <row r="68">
          <cell r="A68">
            <v>1824</v>
          </cell>
          <cell r="B68" t="str">
            <v>AMBARES ET LAGRAVE</v>
          </cell>
          <cell r="C68">
            <v>54</v>
          </cell>
          <cell r="D68">
            <v>0</v>
          </cell>
          <cell r="E68">
            <v>0</v>
          </cell>
          <cell r="F68">
            <v>13</v>
          </cell>
          <cell r="G68">
            <v>0.24074074074074073</v>
          </cell>
          <cell r="H68">
            <v>3</v>
          </cell>
          <cell r="I68">
            <v>0.42857142857142855</v>
          </cell>
          <cell r="J68">
            <v>38</v>
          </cell>
          <cell r="K68">
            <v>0</v>
          </cell>
          <cell r="L68">
            <v>2</v>
          </cell>
          <cell r="M68">
            <v>5</v>
          </cell>
          <cell r="N68">
            <v>0.13157894736842105</v>
          </cell>
          <cell r="O68">
            <v>7</v>
          </cell>
          <cell r="P68">
            <v>1</v>
          </cell>
          <cell r="Q68">
            <v>0.18615984405458089</v>
          </cell>
        </row>
        <row r="69">
          <cell r="A69">
            <v>1853</v>
          </cell>
          <cell r="B69" t="str">
            <v>CENON</v>
          </cell>
          <cell r="C69">
            <v>176</v>
          </cell>
          <cell r="D69">
            <v>2</v>
          </cell>
          <cell r="E69">
            <v>2</v>
          </cell>
          <cell r="F69">
            <v>21</v>
          </cell>
          <cell r="G69">
            <v>0.11931818181818182</v>
          </cell>
          <cell r="H69">
            <v>31</v>
          </cell>
          <cell r="I69">
            <v>4.4285714285714288</v>
          </cell>
          <cell r="J69">
            <v>116</v>
          </cell>
          <cell r="K69">
            <v>0</v>
          </cell>
          <cell r="L69">
            <v>0</v>
          </cell>
          <cell r="M69">
            <v>8</v>
          </cell>
          <cell r="N69">
            <v>6.8965517241379309E-2</v>
          </cell>
          <cell r="O69">
            <v>26</v>
          </cell>
          <cell r="P69">
            <v>3.7142857142857144</v>
          </cell>
          <cell r="Q69">
            <v>9.4141849529780566E-2</v>
          </cell>
        </row>
        <row r="70">
          <cell r="A70">
            <v>43733</v>
          </cell>
          <cell r="B70" t="str">
            <v>DGA LOT ET GARONNE</v>
          </cell>
          <cell r="C70">
            <v>442</v>
          </cell>
          <cell r="D70">
            <v>3</v>
          </cell>
          <cell r="E70">
            <v>10</v>
          </cell>
          <cell r="F70">
            <v>53</v>
          </cell>
          <cell r="G70">
            <v>0.11990950226244344</v>
          </cell>
          <cell r="H70">
            <v>76</v>
          </cell>
          <cell r="I70">
            <v>10.857142857142858</v>
          </cell>
          <cell r="J70">
            <v>272</v>
          </cell>
          <cell r="K70">
            <v>2</v>
          </cell>
          <cell r="L70">
            <v>12</v>
          </cell>
          <cell r="M70">
            <v>33</v>
          </cell>
          <cell r="N70">
            <v>0.12132352941176471</v>
          </cell>
          <cell r="O70">
            <v>46</v>
          </cell>
          <cell r="P70">
            <v>6.5714285714285712</v>
          </cell>
          <cell r="Q70">
            <v>0.12061651583710407</v>
          </cell>
        </row>
        <row r="71">
          <cell r="A71">
            <v>51200</v>
          </cell>
          <cell r="B71" t="str">
            <v>Multisite AGEN</v>
          </cell>
          <cell r="C71">
            <v>240</v>
          </cell>
          <cell r="D71">
            <v>3</v>
          </cell>
          <cell r="E71">
            <v>8</v>
          </cell>
          <cell r="F71">
            <v>26</v>
          </cell>
          <cell r="G71">
            <v>0.10833333333333334</v>
          </cell>
          <cell r="H71">
            <v>44</v>
          </cell>
          <cell r="I71">
            <v>6.2857142857142856</v>
          </cell>
          <cell r="J71">
            <v>156</v>
          </cell>
          <cell r="K71">
            <v>2</v>
          </cell>
          <cell r="L71">
            <v>7</v>
          </cell>
          <cell r="M71">
            <v>15</v>
          </cell>
          <cell r="N71">
            <v>9.6153846153846159E-2</v>
          </cell>
          <cell r="O71">
            <v>31</v>
          </cell>
          <cell r="P71">
            <v>4.4285714285714288</v>
          </cell>
          <cell r="Q71">
            <v>0.10224358974358974</v>
          </cell>
        </row>
        <row r="72">
          <cell r="A72">
            <v>1200</v>
          </cell>
          <cell r="B72" t="str">
            <v>AGEN</v>
          </cell>
          <cell r="C72">
            <v>103</v>
          </cell>
          <cell r="D72">
            <v>1</v>
          </cell>
          <cell r="E72">
            <v>5</v>
          </cell>
          <cell r="F72">
            <v>12</v>
          </cell>
          <cell r="G72">
            <v>0.11650485436893204</v>
          </cell>
          <cell r="H72">
            <v>18</v>
          </cell>
          <cell r="I72">
            <v>2.5714285714285716</v>
          </cell>
          <cell r="J72">
            <v>68</v>
          </cell>
          <cell r="K72">
            <v>1</v>
          </cell>
          <cell r="L72">
            <v>6</v>
          </cell>
          <cell r="M72">
            <v>7</v>
          </cell>
          <cell r="N72">
            <v>0.10294117647058823</v>
          </cell>
          <cell r="O72">
            <v>13</v>
          </cell>
          <cell r="P72">
            <v>1.8571428571428572</v>
          </cell>
          <cell r="Q72">
            <v>0.10972301541976014</v>
          </cell>
        </row>
        <row r="73">
          <cell r="A73">
            <v>1236</v>
          </cell>
          <cell r="B73" t="str">
            <v>AGEN QUARTIER DE LA PORTE DU PIN</v>
          </cell>
          <cell r="C73">
            <v>61</v>
          </cell>
          <cell r="D73">
            <v>1</v>
          </cell>
          <cell r="E73">
            <v>2</v>
          </cell>
          <cell r="F73">
            <v>6</v>
          </cell>
          <cell r="G73">
            <v>9.8360655737704916E-2</v>
          </cell>
          <cell r="H73">
            <v>12</v>
          </cell>
          <cell r="I73">
            <v>1.7142857142857142</v>
          </cell>
          <cell r="J73">
            <v>37</v>
          </cell>
          <cell r="K73">
            <v>1</v>
          </cell>
          <cell r="L73">
            <v>1</v>
          </cell>
          <cell r="M73">
            <v>2</v>
          </cell>
          <cell r="N73">
            <v>5.4054054054054057E-2</v>
          </cell>
          <cell r="O73">
            <v>9</v>
          </cell>
          <cell r="P73">
            <v>1.2857142857142858</v>
          </cell>
          <cell r="Q73">
            <v>7.6207354895879487E-2</v>
          </cell>
        </row>
        <row r="74">
          <cell r="A74">
            <v>1237</v>
          </cell>
          <cell r="B74" t="str">
            <v>NERAC</v>
          </cell>
          <cell r="C74">
            <v>39</v>
          </cell>
          <cell r="D74">
            <v>1</v>
          </cell>
          <cell r="E74">
            <v>1</v>
          </cell>
          <cell r="F74">
            <v>4</v>
          </cell>
          <cell r="G74">
            <v>0.10256410256410256</v>
          </cell>
          <cell r="H74">
            <v>8</v>
          </cell>
          <cell r="I74">
            <v>1.1428571428571428</v>
          </cell>
          <cell r="J74">
            <v>24</v>
          </cell>
          <cell r="K74">
            <v>0</v>
          </cell>
          <cell r="L74">
            <v>0</v>
          </cell>
          <cell r="M74">
            <v>1</v>
          </cell>
          <cell r="N74">
            <v>4.1666666666666664E-2</v>
          </cell>
          <cell r="O74">
            <v>6</v>
          </cell>
          <cell r="P74">
            <v>0.8571428571428571</v>
          </cell>
          <cell r="Q74">
            <v>7.2115384615384609E-2</v>
          </cell>
        </row>
        <row r="75">
          <cell r="A75">
            <v>1240</v>
          </cell>
          <cell r="B75" t="str">
            <v>LE PASSAGE D'AGEN</v>
          </cell>
          <cell r="C75">
            <v>37</v>
          </cell>
          <cell r="D75">
            <v>0</v>
          </cell>
          <cell r="E75">
            <v>0</v>
          </cell>
          <cell r="F75">
            <v>4</v>
          </cell>
          <cell r="G75">
            <v>0.10810810810810811</v>
          </cell>
          <cell r="H75">
            <v>7</v>
          </cell>
          <cell r="I75">
            <v>1</v>
          </cell>
          <cell r="J75">
            <v>27</v>
          </cell>
          <cell r="K75">
            <v>0</v>
          </cell>
          <cell r="L75">
            <v>0</v>
          </cell>
          <cell r="M75">
            <v>5</v>
          </cell>
          <cell r="N75">
            <v>0.18518518518518517</v>
          </cell>
          <cell r="O75">
            <v>3</v>
          </cell>
          <cell r="P75">
            <v>0.42857142857142855</v>
          </cell>
          <cell r="Q75">
            <v>0.14664664664664664</v>
          </cell>
        </row>
        <row r="76">
          <cell r="A76">
            <v>51232</v>
          </cell>
          <cell r="B76" t="str">
            <v>Multisite MARMANDE</v>
          </cell>
          <cell r="C76">
            <v>116</v>
          </cell>
          <cell r="D76">
            <v>0</v>
          </cell>
          <cell r="E76">
            <v>2</v>
          </cell>
          <cell r="F76">
            <v>18</v>
          </cell>
          <cell r="G76">
            <v>0.15517241379310345</v>
          </cell>
          <cell r="H76">
            <v>16</v>
          </cell>
          <cell r="I76">
            <v>2.2857142857142856</v>
          </cell>
          <cell r="J76">
            <v>76</v>
          </cell>
          <cell r="K76">
            <v>0</v>
          </cell>
          <cell r="L76">
            <v>5</v>
          </cell>
          <cell r="M76">
            <v>13</v>
          </cell>
          <cell r="N76">
            <v>0.17105263157894737</v>
          </cell>
          <cell r="O76">
            <v>10</v>
          </cell>
          <cell r="P76">
            <v>1.4285714285714286</v>
          </cell>
          <cell r="Q76">
            <v>0.16311252268602541</v>
          </cell>
        </row>
        <row r="77">
          <cell r="A77">
            <v>1232</v>
          </cell>
          <cell r="B77" t="str">
            <v>MARMANDE</v>
          </cell>
          <cell r="C77">
            <v>85</v>
          </cell>
          <cell r="D77">
            <v>0</v>
          </cell>
          <cell r="E77">
            <v>2</v>
          </cell>
          <cell r="F77">
            <v>13</v>
          </cell>
          <cell r="G77">
            <v>0.15294117647058825</v>
          </cell>
          <cell r="H77">
            <v>12</v>
          </cell>
          <cell r="I77">
            <v>1.7142857142857142</v>
          </cell>
          <cell r="J77">
            <v>54</v>
          </cell>
          <cell r="K77">
            <v>0</v>
          </cell>
          <cell r="L77">
            <v>5</v>
          </cell>
          <cell r="M77">
            <v>10</v>
          </cell>
          <cell r="N77">
            <v>0.18518518518518517</v>
          </cell>
          <cell r="O77">
            <v>6</v>
          </cell>
          <cell r="P77">
            <v>0.8571428571428571</v>
          </cell>
          <cell r="Q77">
            <v>0.16906318082788671</v>
          </cell>
        </row>
        <row r="78">
          <cell r="A78">
            <v>1239</v>
          </cell>
          <cell r="B78" t="str">
            <v>TONNEINS</v>
          </cell>
          <cell r="C78">
            <v>31</v>
          </cell>
          <cell r="D78">
            <v>0</v>
          </cell>
          <cell r="E78">
            <v>0</v>
          </cell>
          <cell r="F78">
            <v>5</v>
          </cell>
          <cell r="G78">
            <v>0.16129032258064516</v>
          </cell>
          <cell r="H78">
            <v>4</v>
          </cell>
          <cell r="I78">
            <v>0.5714285714285714</v>
          </cell>
          <cell r="J78">
            <v>22</v>
          </cell>
          <cell r="K78">
            <v>0</v>
          </cell>
          <cell r="L78">
            <v>0</v>
          </cell>
          <cell r="M78">
            <v>3</v>
          </cell>
          <cell r="N78">
            <v>0.13636363636363635</v>
          </cell>
          <cell r="O78">
            <v>4</v>
          </cell>
          <cell r="P78">
            <v>0.5714285714285714</v>
          </cell>
          <cell r="Q78">
            <v>0.14882697947214074</v>
          </cell>
        </row>
        <row r="79">
          <cell r="A79">
            <v>1235</v>
          </cell>
          <cell r="B79" t="str">
            <v>VILLENEUVE SUR LOT</v>
          </cell>
          <cell r="C79">
            <v>86</v>
          </cell>
          <cell r="D79">
            <v>0</v>
          </cell>
          <cell r="E79">
            <v>0</v>
          </cell>
          <cell r="F79">
            <v>9</v>
          </cell>
          <cell r="G79">
            <v>0.10465116279069768</v>
          </cell>
          <cell r="H79">
            <v>16</v>
          </cell>
          <cell r="I79">
            <v>2.2857142857142856</v>
          </cell>
          <cell r="J79">
            <v>40</v>
          </cell>
          <cell r="K79">
            <v>0</v>
          </cell>
          <cell r="L79">
            <v>0</v>
          </cell>
          <cell r="M79">
            <v>5</v>
          </cell>
          <cell r="N79">
            <v>0.125</v>
          </cell>
          <cell r="O79">
            <v>7</v>
          </cell>
          <cell r="P79">
            <v>1</v>
          </cell>
          <cell r="Q79">
            <v>0.11482558139534885</v>
          </cell>
        </row>
        <row r="80">
          <cell r="A80">
            <v>43763</v>
          </cell>
          <cell r="B80" t="str">
            <v>DGA LANDES NORD</v>
          </cell>
          <cell r="C80">
            <v>435</v>
          </cell>
          <cell r="D80">
            <v>2</v>
          </cell>
          <cell r="E80">
            <v>7</v>
          </cell>
          <cell r="F80">
            <v>43</v>
          </cell>
          <cell r="G80">
            <v>9.8850574712643677E-2</v>
          </cell>
          <cell r="H80">
            <v>84</v>
          </cell>
          <cell r="I80">
            <v>12</v>
          </cell>
          <cell r="J80">
            <v>299</v>
          </cell>
          <cell r="K80">
            <v>0</v>
          </cell>
          <cell r="L80">
            <v>1</v>
          </cell>
          <cell r="M80">
            <v>30</v>
          </cell>
          <cell r="N80">
            <v>0.10033444816053512</v>
          </cell>
          <cell r="O80">
            <v>57</v>
          </cell>
          <cell r="P80">
            <v>8.1428571428571423</v>
          </cell>
          <cell r="Q80">
            <v>9.9592511436589398E-2</v>
          </cell>
        </row>
        <row r="81">
          <cell r="A81">
            <v>51734</v>
          </cell>
          <cell r="B81" t="str">
            <v>Multisite MONT DE MARSAN</v>
          </cell>
          <cell r="C81">
            <v>246</v>
          </cell>
          <cell r="D81">
            <v>0</v>
          </cell>
          <cell r="E81">
            <v>4</v>
          </cell>
          <cell r="F81">
            <v>16</v>
          </cell>
          <cell r="G81">
            <v>6.5040650406504072E-2</v>
          </cell>
          <cell r="H81">
            <v>56</v>
          </cell>
          <cell r="I81">
            <v>8</v>
          </cell>
          <cell r="J81">
            <v>166</v>
          </cell>
          <cell r="K81">
            <v>0</v>
          </cell>
          <cell r="L81">
            <v>0</v>
          </cell>
          <cell r="M81">
            <v>15</v>
          </cell>
          <cell r="N81">
            <v>9.036144578313253E-2</v>
          </cell>
          <cell r="O81">
            <v>34</v>
          </cell>
          <cell r="P81">
            <v>4.8571428571428568</v>
          </cell>
          <cell r="Q81">
            <v>7.7701048094818301E-2</v>
          </cell>
        </row>
        <row r="82">
          <cell r="A82">
            <v>1734</v>
          </cell>
          <cell r="B82" t="str">
            <v>MONT DE MARSAN</v>
          </cell>
          <cell r="C82">
            <v>165</v>
          </cell>
          <cell r="D82">
            <v>0</v>
          </cell>
          <cell r="E82">
            <v>2</v>
          </cell>
          <cell r="F82">
            <v>9</v>
          </cell>
          <cell r="G82">
            <v>5.4545454545454543E-2</v>
          </cell>
          <cell r="H82">
            <v>39</v>
          </cell>
          <cell r="I82">
            <v>5.5714285714285712</v>
          </cell>
          <cell r="J82">
            <v>112</v>
          </cell>
          <cell r="K82">
            <v>0</v>
          </cell>
          <cell r="L82">
            <v>0</v>
          </cell>
          <cell r="M82">
            <v>10</v>
          </cell>
          <cell r="N82">
            <v>8.9285714285714288E-2</v>
          </cell>
          <cell r="O82">
            <v>23</v>
          </cell>
          <cell r="P82">
            <v>3.2857142857142856</v>
          </cell>
          <cell r="Q82">
            <v>7.1915584415584419E-2</v>
          </cell>
        </row>
        <row r="83">
          <cell r="A83">
            <v>1739</v>
          </cell>
          <cell r="B83" t="str">
            <v>HAGETMAU</v>
          </cell>
          <cell r="C83">
            <v>43</v>
          </cell>
          <cell r="D83">
            <v>0</v>
          </cell>
          <cell r="E83">
            <v>1</v>
          </cell>
          <cell r="F83">
            <v>5</v>
          </cell>
          <cell r="G83">
            <v>0.11627906976744186</v>
          </cell>
          <cell r="H83">
            <v>8</v>
          </cell>
          <cell r="I83">
            <v>1.1428571428571428</v>
          </cell>
          <cell r="J83">
            <v>30</v>
          </cell>
          <cell r="K83">
            <v>0</v>
          </cell>
          <cell r="L83">
            <v>0</v>
          </cell>
          <cell r="M83">
            <v>3</v>
          </cell>
          <cell r="N83">
            <v>0.1</v>
          </cell>
          <cell r="O83">
            <v>6</v>
          </cell>
          <cell r="P83">
            <v>0.8571428571428571</v>
          </cell>
          <cell r="Q83">
            <v>0.10813953488372094</v>
          </cell>
        </row>
        <row r="84">
          <cell r="A84">
            <v>1748</v>
          </cell>
          <cell r="B84" t="str">
            <v>AIRE SUR L'ADOUR</v>
          </cell>
          <cell r="C84">
            <v>38</v>
          </cell>
          <cell r="D84">
            <v>0</v>
          </cell>
          <cell r="E84">
            <v>1</v>
          </cell>
          <cell r="F84">
            <v>2</v>
          </cell>
          <cell r="G84">
            <v>5.2631578947368418E-2</v>
          </cell>
          <cell r="H84">
            <v>10</v>
          </cell>
          <cell r="I84">
            <v>1.4285714285714286</v>
          </cell>
          <cell r="J84">
            <v>24</v>
          </cell>
          <cell r="K84">
            <v>0</v>
          </cell>
          <cell r="L84">
            <v>0</v>
          </cell>
          <cell r="M84">
            <v>2</v>
          </cell>
          <cell r="N84">
            <v>8.3333333333333329E-2</v>
          </cell>
          <cell r="O84">
            <v>5</v>
          </cell>
          <cell r="P84">
            <v>0.7142857142857143</v>
          </cell>
          <cell r="Q84">
            <v>6.7982456140350866E-2</v>
          </cell>
        </row>
        <row r="85">
          <cell r="A85">
            <v>51736</v>
          </cell>
          <cell r="B85" t="str">
            <v>Multisite MIMIZAN</v>
          </cell>
          <cell r="C85">
            <v>116</v>
          </cell>
          <cell r="D85">
            <v>2</v>
          </cell>
          <cell r="E85">
            <v>3</v>
          </cell>
          <cell r="F85">
            <v>22</v>
          </cell>
          <cell r="G85">
            <v>0.18965517241379309</v>
          </cell>
          <cell r="H85">
            <v>12</v>
          </cell>
          <cell r="I85">
            <v>1.7142857142857142</v>
          </cell>
          <cell r="J85">
            <v>82</v>
          </cell>
          <cell r="K85">
            <v>0</v>
          </cell>
          <cell r="L85">
            <v>1</v>
          </cell>
          <cell r="M85">
            <v>6</v>
          </cell>
          <cell r="N85">
            <v>7.3170731707317069E-2</v>
          </cell>
          <cell r="O85">
            <v>18</v>
          </cell>
          <cell r="P85">
            <v>2.5714285714285716</v>
          </cell>
          <cell r="Q85">
            <v>0.13141295206055509</v>
          </cell>
        </row>
        <row r="86">
          <cell r="A86">
            <v>1736</v>
          </cell>
          <cell r="B86" t="str">
            <v>MIMIZAN</v>
          </cell>
          <cell r="C86">
            <v>80</v>
          </cell>
          <cell r="D86">
            <v>2</v>
          </cell>
          <cell r="E86">
            <v>2</v>
          </cell>
          <cell r="F86">
            <v>20</v>
          </cell>
          <cell r="G86">
            <v>0.25</v>
          </cell>
          <cell r="H86">
            <v>4</v>
          </cell>
          <cell r="I86">
            <v>0.5714285714285714</v>
          </cell>
          <cell r="J86">
            <v>51</v>
          </cell>
          <cell r="K86">
            <v>0</v>
          </cell>
          <cell r="L86">
            <v>1</v>
          </cell>
          <cell r="M86">
            <v>5</v>
          </cell>
          <cell r="N86">
            <v>9.8039215686274508E-2</v>
          </cell>
          <cell r="O86">
            <v>10</v>
          </cell>
          <cell r="P86">
            <v>1.4285714285714286</v>
          </cell>
          <cell r="Q86">
            <v>0.17401960784313725</v>
          </cell>
        </row>
        <row r="87">
          <cell r="A87">
            <v>1744</v>
          </cell>
          <cell r="B87" t="str">
            <v>MORCENX</v>
          </cell>
          <cell r="C87">
            <v>36</v>
          </cell>
          <cell r="D87">
            <v>0</v>
          </cell>
          <cell r="E87">
            <v>1</v>
          </cell>
          <cell r="F87">
            <v>2</v>
          </cell>
          <cell r="G87">
            <v>5.5555555555555552E-2</v>
          </cell>
          <cell r="H87">
            <v>9</v>
          </cell>
          <cell r="I87">
            <v>1.2857142857142858</v>
          </cell>
          <cell r="J87">
            <v>31</v>
          </cell>
          <cell r="K87">
            <v>0</v>
          </cell>
          <cell r="L87">
            <v>0</v>
          </cell>
          <cell r="M87">
            <v>1</v>
          </cell>
          <cell r="N87">
            <v>3.2258064516129031E-2</v>
          </cell>
          <cell r="O87">
            <v>8</v>
          </cell>
          <cell r="P87">
            <v>1.1428571428571428</v>
          </cell>
          <cell r="Q87">
            <v>4.3906810035842292E-2</v>
          </cell>
        </row>
        <row r="88">
          <cell r="A88">
            <v>1741</v>
          </cell>
          <cell r="B88" t="str">
            <v>BISCARROSSE</v>
          </cell>
          <cell r="C88">
            <v>73</v>
          </cell>
          <cell r="D88">
            <v>0</v>
          </cell>
          <cell r="E88">
            <v>0</v>
          </cell>
          <cell r="F88">
            <v>5</v>
          </cell>
          <cell r="G88">
            <v>6.8493150684931503E-2</v>
          </cell>
          <cell r="H88">
            <v>17</v>
          </cell>
          <cell r="I88">
            <v>2.4285714285714284</v>
          </cell>
          <cell r="J88">
            <v>51</v>
          </cell>
          <cell r="K88">
            <v>0</v>
          </cell>
          <cell r="L88">
            <v>0</v>
          </cell>
          <cell r="M88">
            <v>9</v>
          </cell>
          <cell r="N88">
            <v>0.17647058823529413</v>
          </cell>
          <cell r="O88">
            <v>6</v>
          </cell>
          <cell r="P88">
            <v>0.8571428571428571</v>
          </cell>
          <cell r="Q88">
            <v>0.12248186946011282</v>
          </cell>
        </row>
        <row r="89">
          <cell r="A89">
            <v>43765</v>
          </cell>
          <cell r="B89" t="str">
            <v>DGA PAU PYRENEES</v>
          </cell>
          <cell r="C89">
            <v>1073</v>
          </cell>
          <cell r="D89">
            <v>1</v>
          </cell>
          <cell r="E89">
            <v>4</v>
          </cell>
          <cell r="F89">
            <v>87</v>
          </cell>
          <cell r="G89">
            <v>8.1081081081081086E-2</v>
          </cell>
          <cell r="H89">
            <v>225</v>
          </cell>
          <cell r="I89">
            <v>32.142857142857146</v>
          </cell>
          <cell r="J89">
            <v>672</v>
          </cell>
          <cell r="K89">
            <v>0</v>
          </cell>
          <cell r="L89">
            <v>0</v>
          </cell>
          <cell r="M89">
            <v>51</v>
          </cell>
          <cell r="N89">
            <v>7.5892857142857137E-2</v>
          </cell>
          <cell r="O89">
            <v>144</v>
          </cell>
          <cell r="P89">
            <v>20.571428571428573</v>
          </cell>
          <cell r="Q89">
            <v>7.8486969111969118E-2</v>
          </cell>
        </row>
        <row r="90">
          <cell r="A90">
            <v>53500</v>
          </cell>
          <cell r="B90" t="str">
            <v>Multisite PAU</v>
          </cell>
          <cell r="C90">
            <v>217</v>
          </cell>
          <cell r="D90">
            <v>1</v>
          </cell>
          <cell r="E90">
            <v>2</v>
          </cell>
          <cell r="F90">
            <v>18</v>
          </cell>
          <cell r="G90">
            <v>8.294930875576037E-2</v>
          </cell>
          <cell r="H90">
            <v>45</v>
          </cell>
          <cell r="I90">
            <v>6.4285714285714288</v>
          </cell>
          <cell r="J90">
            <v>140</v>
          </cell>
          <cell r="K90">
            <v>0</v>
          </cell>
          <cell r="L90">
            <v>0</v>
          </cell>
          <cell r="M90">
            <v>6</v>
          </cell>
          <cell r="N90">
            <v>4.2857142857142858E-2</v>
          </cell>
          <cell r="O90">
            <v>35</v>
          </cell>
          <cell r="P90">
            <v>5</v>
          </cell>
          <cell r="Q90">
            <v>6.2903225806451607E-2</v>
          </cell>
        </row>
        <row r="91">
          <cell r="A91">
            <v>3500</v>
          </cell>
          <cell r="B91" t="str">
            <v>PAU</v>
          </cell>
          <cell r="C91">
            <v>162</v>
          </cell>
          <cell r="D91">
            <v>1</v>
          </cell>
          <cell r="E91">
            <v>2</v>
          </cell>
          <cell r="F91">
            <v>13</v>
          </cell>
          <cell r="G91">
            <v>8.0246913580246909E-2</v>
          </cell>
          <cell r="H91">
            <v>34</v>
          </cell>
          <cell r="I91">
            <v>4.8571428571428568</v>
          </cell>
          <cell r="J91">
            <v>105</v>
          </cell>
          <cell r="K91">
            <v>0</v>
          </cell>
          <cell r="L91">
            <v>0</v>
          </cell>
          <cell r="M91">
            <v>3</v>
          </cell>
          <cell r="N91">
            <v>2.8571428571428571E-2</v>
          </cell>
          <cell r="O91">
            <v>28</v>
          </cell>
          <cell r="P91">
            <v>4</v>
          </cell>
          <cell r="Q91">
            <v>5.4409171075837738E-2</v>
          </cell>
        </row>
        <row r="92">
          <cell r="A92">
            <v>3536</v>
          </cell>
          <cell r="B92" t="str">
            <v>PAU CROIX DU PRINCE</v>
          </cell>
          <cell r="C92">
            <v>55</v>
          </cell>
          <cell r="D92">
            <v>0</v>
          </cell>
          <cell r="E92">
            <v>0</v>
          </cell>
          <cell r="F92">
            <v>5</v>
          </cell>
          <cell r="G92">
            <v>9.0909090909090912E-2</v>
          </cell>
          <cell r="H92">
            <v>11</v>
          </cell>
          <cell r="I92">
            <v>1.5714285714285714</v>
          </cell>
          <cell r="J92">
            <v>35</v>
          </cell>
          <cell r="K92">
            <v>0</v>
          </cell>
          <cell r="L92">
            <v>0</v>
          </cell>
          <cell r="M92">
            <v>3</v>
          </cell>
          <cell r="N92">
            <v>8.5714285714285715E-2</v>
          </cell>
          <cell r="O92">
            <v>8</v>
          </cell>
          <cell r="P92">
            <v>1.1428571428571428</v>
          </cell>
          <cell r="Q92">
            <v>8.8311688311688313E-2</v>
          </cell>
        </row>
        <row r="93">
          <cell r="A93">
            <v>3532</v>
          </cell>
          <cell r="B93" t="str">
            <v>OLORON SAINTE MARIE</v>
          </cell>
          <cell r="C93">
            <v>84</v>
          </cell>
          <cell r="D93">
            <v>0</v>
          </cell>
          <cell r="E93">
            <v>0</v>
          </cell>
          <cell r="F93">
            <v>8</v>
          </cell>
          <cell r="G93">
            <v>9.5238095238095233E-2</v>
          </cell>
          <cell r="H93">
            <v>17</v>
          </cell>
          <cell r="I93">
            <v>2.4285714285714284</v>
          </cell>
          <cell r="J93">
            <v>49</v>
          </cell>
          <cell r="K93">
            <v>0</v>
          </cell>
          <cell r="L93">
            <v>0</v>
          </cell>
          <cell r="M93">
            <v>6</v>
          </cell>
          <cell r="N93">
            <v>0.12244897959183673</v>
          </cell>
          <cell r="O93">
            <v>9</v>
          </cell>
          <cell r="P93">
            <v>1.2857142857142858</v>
          </cell>
          <cell r="Q93">
            <v>0.10884353741496598</v>
          </cell>
        </row>
        <row r="94">
          <cell r="A94">
            <v>53533</v>
          </cell>
          <cell r="B94" t="str">
            <v>Multisite ORTHEZ</v>
          </cell>
          <cell r="C94">
            <v>216</v>
          </cell>
          <cell r="D94">
            <v>0</v>
          </cell>
          <cell r="E94">
            <v>1</v>
          </cell>
          <cell r="F94">
            <v>21</v>
          </cell>
          <cell r="G94">
            <v>9.7222222222222224E-2</v>
          </cell>
          <cell r="H94">
            <v>42</v>
          </cell>
          <cell r="I94">
            <v>6</v>
          </cell>
          <cell r="J94">
            <v>136</v>
          </cell>
          <cell r="K94">
            <v>0</v>
          </cell>
          <cell r="L94">
            <v>0</v>
          </cell>
          <cell r="M94">
            <v>17</v>
          </cell>
          <cell r="N94">
            <v>0.125</v>
          </cell>
          <cell r="O94">
            <v>23</v>
          </cell>
          <cell r="P94">
            <v>3.2857142857142856</v>
          </cell>
          <cell r="Q94">
            <v>0.1111111111111111</v>
          </cell>
        </row>
        <row r="95">
          <cell r="A95">
            <v>3533</v>
          </cell>
          <cell r="B95" t="str">
            <v>ORTHEZ</v>
          </cell>
          <cell r="C95">
            <v>103</v>
          </cell>
          <cell r="D95">
            <v>0</v>
          </cell>
          <cell r="E95">
            <v>1</v>
          </cell>
          <cell r="F95">
            <v>10</v>
          </cell>
          <cell r="G95">
            <v>9.7087378640776698E-2</v>
          </cell>
          <cell r="H95">
            <v>20</v>
          </cell>
          <cell r="I95">
            <v>2.8571428571428572</v>
          </cell>
          <cell r="J95">
            <v>65</v>
          </cell>
          <cell r="K95">
            <v>0</v>
          </cell>
          <cell r="L95">
            <v>0</v>
          </cell>
          <cell r="M95">
            <v>8</v>
          </cell>
          <cell r="N95">
            <v>0.12307692307692308</v>
          </cell>
          <cell r="O95">
            <v>11</v>
          </cell>
          <cell r="P95">
            <v>1.5714285714285714</v>
          </cell>
          <cell r="Q95">
            <v>0.1100821508588499</v>
          </cell>
        </row>
        <row r="96">
          <cell r="A96">
            <v>3534</v>
          </cell>
          <cell r="B96" t="str">
            <v>SALIES DE BEARN</v>
          </cell>
          <cell r="C96">
            <v>49</v>
          </cell>
          <cell r="D96">
            <v>0</v>
          </cell>
          <cell r="E96">
            <v>0</v>
          </cell>
          <cell r="F96">
            <v>3</v>
          </cell>
          <cell r="G96">
            <v>6.1224489795918366E-2</v>
          </cell>
          <cell r="H96">
            <v>12</v>
          </cell>
          <cell r="I96">
            <v>1.7142857142857142</v>
          </cell>
          <cell r="J96">
            <v>34</v>
          </cell>
          <cell r="K96">
            <v>0</v>
          </cell>
          <cell r="L96">
            <v>0</v>
          </cell>
          <cell r="M96">
            <v>5</v>
          </cell>
          <cell r="N96">
            <v>0.14705882352941177</v>
          </cell>
          <cell r="O96">
            <v>5</v>
          </cell>
          <cell r="P96">
            <v>0.7142857142857143</v>
          </cell>
          <cell r="Q96">
            <v>0.10414165666266506</v>
          </cell>
        </row>
        <row r="97">
          <cell r="A97">
            <v>3537</v>
          </cell>
          <cell r="B97" t="str">
            <v>MOURENX</v>
          </cell>
          <cell r="C97">
            <v>64</v>
          </cell>
          <cell r="D97">
            <v>0</v>
          </cell>
          <cell r="E97">
            <v>0</v>
          </cell>
          <cell r="F97">
            <v>8</v>
          </cell>
          <cell r="G97">
            <v>0.125</v>
          </cell>
          <cell r="H97">
            <v>11</v>
          </cell>
          <cell r="I97">
            <v>1.5714285714285714</v>
          </cell>
          <cell r="J97">
            <v>37</v>
          </cell>
          <cell r="K97">
            <v>0</v>
          </cell>
          <cell r="L97">
            <v>0</v>
          </cell>
          <cell r="M97">
            <v>4</v>
          </cell>
          <cell r="N97">
            <v>0.10810810810810811</v>
          </cell>
          <cell r="O97">
            <v>7</v>
          </cell>
          <cell r="P97">
            <v>1</v>
          </cell>
          <cell r="Q97">
            <v>0.11655405405405406</v>
          </cell>
        </row>
        <row r="98">
          <cell r="A98">
            <v>3535</v>
          </cell>
          <cell r="B98" t="str">
            <v>PAU MERMOZ</v>
          </cell>
          <cell r="C98">
            <v>98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29</v>
          </cell>
          <cell r="I98">
            <v>4.1428571428571432</v>
          </cell>
          <cell r="J98">
            <v>67</v>
          </cell>
          <cell r="K98">
            <v>0</v>
          </cell>
          <cell r="L98">
            <v>0</v>
          </cell>
          <cell r="M98">
            <v>1</v>
          </cell>
          <cell r="N98">
            <v>1.4925373134328358E-2</v>
          </cell>
          <cell r="O98">
            <v>19</v>
          </cell>
          <cell r="P98">
            <v>2.7142857142857144</v>
          </cell>
          <cell r="Q98">
            <v>7.462686567164179E-3</v>
          </cell>
        </row>
        <row r="99">
          <cell r="A99">
            <v>53542</v>
          </cell>
          <cell r="B99" t="str">
            <v>Multisite LONS</v>
          </cell>
          <cell r="C99">
            <v>205</v>
          </cell>
          <cell r="D99">
            <v>0</v>
          </cell>
          <cell r="E99">
            <v>0</v>
          </cell>
          <cell r="F99">
            <v>16</v>
          </cell>
          <cell r="G99">
            <v>7.8048780487804878E-2</v>
          </cell>
          <cell r="H99">
            <v>44</v>
          </cell>
          <cell r="I99">
            <v>6.2857142857142856</v>
          </cell>
          <cell r="J99">
            <v>123</v>
          </cell>
          <cell r="K99">
            <v>0</v>
          </cell>
          <cell r="L99">
            <v>0</v>
          </cell>
          <cell r="M99">
            <v>8</v>
          </cell>
          <cell r="N99">
            <v>6.5040650406504072E-2</v>
          </cell>
          <cell r="O99">
            <v>28</v>
          </cell>
          <cell r="P99">
            <v>4</v>
          </cell>
          <cell r="Q99">
            <v>7.1544715447154475E-2</v>
          </cell>
        </row>
        <row r="100">
          <cell r="A100">
            <v>3539</v>
          </cell>
          <cell r="B100" t="str">
            <v>BILLERE</v>
          </cell>
          <cell r="C100">
            <v>81</v>
          </cell>
          <cell r="D100">
            <v>0</v>
          </cell>
          <cell r="E100">
            <v>0</v>
          </cell>
          <cell r="F100">
            <v>7</v>
          </cell>
          <cell r="G100">
            <v>8.6419753086419748E-2</v>
          </cell>
          <cell r="H100">
            <v>17</v>
          </cell>
          <cell r="I100">
            <v>2.4285714285714284</v>
          </cell>
          <cell r="J100">
            <v>49</v>
          </cell>
          <cell r="K100">
            <v>0</v>
          </cell>
          <cell r="L100">
            <v>0</v>
          </cell>
          <cell r="M100">
            <v>4</v>
          </cell>
          <cell r="N100">
            <v>8.1632653061224483E-2</v>
          </cell>
          <cell r="O100">
            <v>11</v>
          </cell>
          <cell r="P100">
            <v>1.5714285714285714</v>
          </cell>
          <cell r="Q100">
            <v>8.4026203073822109E-2</v>
          </cell>
        </row>
        <row r="101">
          <cell r="A101">
            <v>3542</v>
          </cell>
          <cell r="B101" t="str">
            <v>LONS COMEDIE</v>
          </cell>
          <cell r="C101">
            <v>124</v>
          </cell>
          <cell r="D101">
            <v>0</v>
          </cell>
          <cell r="E101">
            <v>0</v>
          </cell>
          <cell r="F101">
            <v>9</v>
          </cell>
          <cell r="G101">
            <v>7.2580645161290328E-2</v>
          </cell>
          <cell r="H101">
            <v>27</v>
          </cell>
          <cell r="I101">
            <v>3.8571428571428572</v>
          </cell>
          <cell r="J101">
            <v>74</v>
          </cell>
          <cell r="K101">
            <v>0</v>
          </cell>
          <cell r="L101">
            <v>0</v>
          </cell>
          <cell r="M101">
            <v>4</v>
          </cell>
          <cell r="N101">
            <v>5.4054054054054057E-2</v>
          </cell>
          <cell r="O101">
            <v>18</v>
          </cell>
          <cell r="P101">
            <v>2.5714285714285716</v>
          </cell>
          <cell r="Q101">
            <v>6.3317349607672185E-2</v>
          </cell>
        </row>
        <row r="102">
          <cell r="A102">
            <v>3543</v>
          </cell>
          <cell r="B102" t="str">
            <v>LESCAR L'EUROPE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</row>
        <row r="103">
          <cell r="A103">
            <v>53538</v>
          </cell>
          <cell r="B103" t="str">
            <v>Multisite PAU THIERS</v>
          </cell>
          <cell r="C103">
            <v>256</v>
          </cell>
          <cell r="D103">
            <v>0</v>
          </cell>
          <cell r="E103">
            <v>1</v>
          </cell>
          <cell r="F103">
            <v>24</v>
          </cell>
          <cell r="G103">
            <v>9.375E-2</v>
          </cell>
          <cell r="H103">
            <v>51</v>
          </cell>
          <cell r="I103">
            <v>7.2857142857142856</v>
          </cell>
          <cell r="J103">
            <v>158</v>
          </cell>
          <cell r="K103">
            <v>0</v>
          </cell>
          <cell r="L103">
            <v>0</v>
          </cell>
          <cell r="M103">
            <v>13</v>
          </cell>
          <cell r="N103">
            <v>8.2278481012658222E-2</v>
          </cell>
          <cell r="O103">
            <v>33</v>
          </cell>
          <cell r="P103">
            <v>4.7142857142857144</v>
          </cell>
          <cell r="Q103">
            <v>8.8014240506329111E-2</v>
          </cell>
        </row>
        <row r="104">
          <cell r="A104">
            <v>3538</v>
          </cell>
          <cell r="B104" t="str">
            <v>PAU THIERS</v>
          </cell>
          <cell r="C104">
            <v>106</v>
          </cell>
          <cell r="D104">
            <v>0</v>
          </cell>
          <cell r="E104">
            <v>1</v>
          </cell>
          <cell r="F104">
            <v>11</v>
          </cell>
          <cell r="G104">
            <v>0.10377358490566038</v>
          </cell>
          <cell r="H104">
            <v>20</v>
          </cell>
          <cell r="I104">
            <v>2.8571428571428572</v>
          </cell>
          <cell r="J104">
            <v>69</v>
          </cell>
          <cell r="K104">
            <v>0</v>
          </cell>
          <cell r="L104">
            <v>0</v>
          </cell>
          <cell r="M104">
            <v>9</v>
          </cell>
          <cell r="N104">
            <v>0.13043478260869565</v>
          </cell>
          <cell r="O104">
            <v>12</v>
          </cell>
          <cell r="P104">
            <v>1.7142857142857142</v>
          </cell>
          <cell r="Q104">
            <v>0.11710418375717802</v>
          </cell>
        </row>
        <row r="105">
          <cell r="A105">
            <v>3540</v>
          </cell>
          <cell r="B105" t="str">
            <v>NAY</v>
          </cell>
          <cell r="C105">
            <v>52</v>
          </cell>
          <cell r="D105">
            <v>0</v>
          </cell>
          <cell r="E105">
            <v>0</v>
          </cell>
          <cell r="F105">
            <v>6</v>
          </cell>
          <cell r="G105">
            <v>0.11538461538461539</v>
          </cell>
          <cell r="H105">
            <v>10</v>
          </cell>
          <cell r="I105">
            <v>1.4285714285714286</v>
          </cell>
          <cell r="J105">
            <v>35</v>
          </cell>
          <cell r="K105">
            <v>0</v>
          </cell>
          <cell r="L105">
            <v>0</v>
          </cell>
          <cell r="M105">
            <v>3</v>
          </cell>
          <cell r="N105">
            <v>8.5714285714285715E-2</v>
          </cell>
          <cell r="O105">
            <v>8</v>
          </cell>
          <cell r="P105">
            <v>1.1428571428571428</v>
          </cell>
          <cell r="Q105">
            <v>0.10054945054945055</v>
          </cell>
        </row>
        <row r="106">
          <cell r="A106">
            <v>3541</v>
          </cell>
          <cell r="B106" t="str">
            <v>PAU HERMES</v>
          </cell>
          <cell r="C106">
            <v>98</v>
          </cell>
          <cell r="D106">
            <v>0</v>
          </cell>
          <cell r="E106">
            <v>0</v>
          </cell>
          <cell r="F106">
            <v>7</v>
          </cell>
          <cell r="G106">
            <v>7.1428571428571425E-2</v>
          </cell>
          <cell r="H106">
            <v>22</v>
          </cell>
          <cell r="I106">
            <v>3.1428571428571428</v>
          </cell>
          <cell r="J106">
            <v>54</v>
          </cell>
          <cell r="K106">
            <v>0</v>
          </cell>
          <cell r="L106">
            <v>0</v>
          </cell>
          <cell r="M106">
            <v>1</v>
          </cell>
          <cell r="N106">
            <v>1.8518518518518517E-2</v>
          </cell>
          <cell r="O106">
            <v>15</v>
          </cell>
          <cell r="P106">
            <v>2.1428571428571428</v>
          </cell>
          <cell r="Q106">
            <v>4.4973544973544971E-2</v>
          </cell>
        </row>
        <row r="107">
          <cell r="A107">
            <v>43783</v>
          </cell>
          <cell r="B107" t="str">
            <v>DGA COTE BASQUE</v>
          </cell>
          <cell r="C107">
            <v>780</v>
          </cell>
          <cell r="D107">
            <v>5</v>
          </cell>
          <cell r="E107">
            <v>15</v>
          </cell>
          <cell r="F107">
            <v>77</v>
          </cell>
          <cell r="G107">
            <v>9.8717948717948714E-2</v>
          </cell>
          <cell r="H107">
            <v>150</v>
          </cell>
          <cell r="I107">
            <v>21.428571428571427</v>
          </cell>
          <cell r="J107">
            <v>463</v>
          </cell>
          <cell r="K107">
            <v>1</v>
          </cell>
          <cell r="L107">
            <v>7</v>
          </cell>
          <cell r="M107">
            <v>58</v>
          </cell>
          <cell r="N107">
            <v>0.12526997840172785</v>
          </cell>
          <cell r="O107">
            <v>77</v>
          </cell>
          <cell r="P107">
            <v>11</v>
          </cell>
          <cell r="Q107">
            <v>0.11199396355983829</v>
          </cell>
        </row>
        <row r="108">
          <cell r="A108">
            <v>51700</v>
          </cell>
          <cell r="B108" t="str">
            <v>Multisite BAYONNE</v>
          </cell>
          <cell r="C108">
            <v>249</v>
          </cell>
          <cell r="D108">
            <v>2</v>
          </cell>
          <cell r="E108">
            <v>4</v>
          </cell>
          <cell r="F108">
            <v>16</v>
          </cell>
          <cell r="G108">
            <v>6.4257028112449793E-2</v>
          </cell>
          <cell r="H108">
            <v>57</v>
          </cell>
          <cell r="I108">
            <v>8.1428571428571423</v>
          </cell>
          <cell r="J108">
            <v>145</v>
          </cell>
          <cell r="K108">
            <v>0</v>
          </cell>
          <cell r="L108">
            <v>5</v>
          </cell>
          <cell r="M108">
            <v>18</v>
          </cell>
          <cell r="N108">
            <v>0.12413793103448276</v>
          </cell>
          <cell r="O108">
            <v>25</v>
          </cell>
          <cell r="P108">
            <v>3.5714285714285716</v>
          </cell>
          <cell r="Q108">
            <v>9.4197479573466275E-2</v>
          </cell>
        </row>
        <row r="109">
          <cell r="A109">
            <v>1700</v>
          </cell>
          <cell r="B109" t="str">
            <v>BAYONNE</v>
          </cell>
          <cell r="C109">
            <v>147</v>
          </cell>
          <cell r="D109">
            <v>0</v>
          </cell>
          <cell r="E109">
            <v>1</v>
          </cell>
          <cell r="F109">
            <v>6</v>
          </cell>
          <cell r="G109">
            <v>4.0816326530612242E-2</v>
          </cell>
          <cell r="H109">
            <v>37</v>
          </cell>
          <cell r="I109">
            <v>5.2857142857142856</v>
          </cell>
          <cell r="J109">
            <v>79</v>
          </cell>
          <cell r="K109">
            <v>0</v>
          </cell>
          <cell r="L109">
            <v>2</v>
          </cell>
          <cell r="M109">
            <v>6</v>
          </cell>
          <cell r="N109">
            <v>7.5949367088607597E-2</v>
          </cell>
          <cell r="O109">
            <v>17</v>
          </cell>
          <cell r="P109">
            <v>2.4285714285714284</v>
          </cell>
          <cell r="Q109">
            <v>5.8382846809609923E-2</v>
          </cell>
        </row>
        <row r="110">
          <cell r="A110">
            <v>1737</v>
          </cell>
          <cell r="B110" t="str">
            <v>BAYONNE SAINT ESPRIT</v>
          </cell>
          <cell r="C110">
            <v>40</v>
          </cell>
          <cell r="D110">
            <v>0</v>
          </cell>
          <cell r="E110">
            <v>1</v>
          </cell>
          <cell r="F110">
            <v>7</v>
          </cell>
          <cell r="G110">
            <v>0.17499999999999999</v>
          </cell>
          <cell r="H110">
            <v>5</v>
          </cell>
          <cell r="I110">
            <v>0.7142857142857143</v>
          </cell>
          <cell r="J110">
            <v>26</v>
          </cell>
          <cell r="K110">
            <v>0</v>
          </cell>
          <cell r="L110">
            <v>2</v>
          </cell>
          <cell r="M110">
            <v>4</v>
          </cell>
          <cell r="N110">
            <v>0.15384615384615385</v>
          </cell>
          <cell r="O110">
            <v>4</v>
          </cell>
          <cell r="P110">
            <v>0.5714285714285714</v>
          </cell>
          <cell r="Q110">
            <v>0.16442307692307692</v>
          </cell>
        </row>
        <row r="111">
          <cell r="A111">
            <v>1747</v>
          </cell>
          <cell r="B111" t="str">
            <v>BAYONNE CITE DU PALAIS</v>
          </cell>
          <cell r="C111">
            <v>62</v>
          </cell>
          <cell r="D111">
            <v>2</v>
          </cell>
          <cell r="E111">
            <v>2</v>
          </cell>
          <cell r="F111">
            <v>3</v>
          </cell>
          <cell r="G111">
            <v>4.8387096774193547E-2</v>
          </cell>
          <cell r="H111">
            <v>15</v>
          </cell>
          <cell r="I111">
            <v>2.1428571428571428</v>
          </cell>
          <cell r="J111">
            <v>40</v>
          </cell>
          <cell r="K111">
            <v>0</v>
          </cell>
          <cell r="L111">
            <v>1</v>
          </cell>
          <cell r="M111">
            <v>8</v>
          </cell>
          <cell r="N111">
            <v>0.2</v>
          </cell>
          <cell r="O111">
            <v>4</v>
          </cell>
          <cell r="P111">
            <v>0.5714285714285714</v>
          </cell>
          <cell r="Q111">
            <v>0.12419354838709679</v>
          </cell>
        </row>
        <row r="112">
          <cell r="A112">
            <v>51731</v>
          </cell>
          <cell r="B112" t="str">
            <v>Multisite BIARRITZ</v>
          </cell>
          <cell r="C112">
            <v>149</v>
          </cell>
          <cell r="D112">
            <v>1</v>
          </cell>
          <cell r="E112">
            <v>5</v>
          </cell>
          <cell r="F112">
            <v>13</v>
          </cell>
          <cell r="G112">
            <v>8.7248322147651006E-2</v>
          </cell>
          <cell r="H112">
            <v>31</v>
          </cell>
          <cell r="I112">
            <v>4.4285714285714288</v>
          </cell>
          <cell r="J112">
            <v>86</v>
          </cell>
          <cell r="K112">
            <v>0</v>
          </cell>
          <cell r="L112">
            <v>0</v>
          </cell>
          <cell r="M112">
            <v>7</v>
          </cell>
          <cell r="N112">
            <v>8.1395348837209308E-2</v>
          </cell>
          <cell r="O112">
            <v>18</v>
          </cell>
          <cell r="P112">
            <v>2.5714285714285716</v>
          </cell>
          <cell r="Q112">
            <v>8.4321835492430164E-2</v>
          </cell>
        </row>
        <row r="113">
          <cell r="A113">
            <v>1731</v>
          </cell>
          <cell r="B113" t="str">
            <v>BIARRITZ</v>
          </cell>
          <cell r="C113">
            <v>112</v>
          </cell>
          <cell r="D113">
            <v>1</v>
          </cell>
          <cell r="E113">
            <v>3</v>
          </cell>
          <cell r="F113">
            <v>8</v>
          </cell>
          <cell r="G113">
            <v>7.1428571428571425E-2</v>
          </cell>
          <cell r="H113">
            <v>25</v>
          </cell>
          <cell r="I113">
            <v>3.5714285714285716</v>
          </cell>
          <cell r="J113">
            <v>59</v>
          </cell>
          <cell r="K113">
            <v>0</v>
          </cell>
          <cell r="L113">
            <v>0</v>
          </cell>
          <cell r="M113">
            <v>3</v>
          </cell>
          <cell r="N113">
            <v>5.0847457627118647E-2</v>
          </cell>
          <cell r="O113">
            <v>15</v>
          </cell>
          <cell r="P113">
            <v>2.1428571428571428</v>
          </cell>
          <cell r="Q113">
            <v>6.1138014527845036E-2</v>
          </cell>
        </row>
        <row r="114">
          <cell r="A114">
            <v>1749</v>
          </cell>
          <cell r="B114" t="str">
            <v>BIARRITZ SAINT CHARLES</v>
          </cell>
          <cell r="C114">
            <v>37</v>
          </cell>
          <cell r="D114">
            <v>0</v>
          </cell>
          <cell r="E114">
            <v>2</v>
          </cell>
          <cell r="F114">
            <v>5</v>
          </cell>
          <cell r="G114">
            <v>0.13513513513513514</v>
          </cell>
          <cell r="H114">
            <v>6</v>
          </cell>
          <cell r="I114">
            <v>0.8571428571428571</v>
          </cell>
          <cell r="J114">
            <v>27</v>
          </cell>
          <cell r="K114">
            <v>0</v>
          </cell>
          <cell r="L114">
            <v>0</v>
          </cell>
          <cell r="M114">
            <v>4</v>
          </cell>
          <cell r="N114">
            <v>0.14814814814814814</v>
          </cell>
          <cell r="O114">
            <v>4</v>
          </cell>
          <cell r="P114">
            <v>0.5714285714285714</v>
          </cell>
          <cell r="Q114">
            <v>0.14164164164164164</v>
          </cell>
        </row>
        <row r="115">
          <cell r="A115">
            <v>51735</v>
          </cell>
          <cell r="B115" t="str">
            <v>Multisite ST JEAN DE LUZ</v>
          </cell>
          <cell r="C115">
            <v>165</v>
          </cell>
          <cell r="D115">
            <v>1</v>
          </cell>
          <cell r="E115">
            <v>5</v>
          </cell>
          <cell r="F115">
            <v>20</v>
          </cell>
          <cell r="G115">
            <v>0.12121212121212122</v>
          </cell>
          <cell r="H115">
            <v>28</v>
          </cell>
          <cell r="I115">
            <v>4</v>
          </cell>
          <cell r="J115">
            <v>103</v>
          </cell>
          <cell r="K115">
            <v>1</v>
          </cell>
          <cell r="L115">
            <v>1</v>
          </cell>
          <cell r="M115">
            <v>13</v>
          </cell>
          <cell r="N115">
            <v>0.12621359223300971</v>
          </cell>
          <cell r="O115">
            <v>17</v>
          </cell>
          <cell r="P115">
            <v>2.4285714285714284</v>
          </cell>
          <cell r="Q115">
            <v>0.12371285672256546</v>
          </cell>
        </row>
        <row r="116">
          <cell r="A116">
            <v>1733</v>
          </cell>
          <cell r="B116" t="str">
            <v>HENDAYE</v>
          </cell>
          <cell r="C116">
            <v>38</v>
          </cell>
          <cell r="D116">
            <v>1</v>
          </cell>
          <cell r="E116">
            <v>5</v>
          </cell>
          <cell r="F116">
            <v>13</v>
          </cell>
          <cell r="G116">
            <v>0.34210526315789475</v>
          </cell>
          <cell r="H116">
            <v>0</v>
          </cell>
          <cell r="I116">
            <v>0</v>
          </cell>
          <cell r="J116">
            <v>34</v>
          </cell>
          <cell r="K116">
            <v>0</v>
          </cell>
          <cell r="L116">
            <v>0</v>
          </cell>
          <cell r="M116">
            <v>5</v>
          </cell>
          <cell r="N116">
            <v>0.14705882352941177</v>
          </cell>
          <cell r="O116">
            <v>5</v>
          </cell>
          <cell r="P116">
            <v>0.7142857142857143</v>
          </cell>
          <cell r="Q116">
            <v>0.24458204334365324</v>
          </cell>
        </row>
        <row r="117">
          <cell r="A117">
            <v>1735</v>
          </cell>
          <cell r="B117" t="str">
            <v>ST JEAN DE LUZ</v>
          </cell>
          <cell r="C117">
            <v>127</v>
          </cell>
          <cell r="D117">
            <v>0</v>
          </cell>
          <cell r="E117">
            <v>0</v>
          </cell>
          <cell r="F117">
            <v>7</v>
          </cell>
          <cell r="G117">
            <v>5.5118110236220472E-2</v>
          </cell>
          <cell r="H117">
            <v>30</v>
          </cell>
          <cell r="I117">
            <v>4.2857142857142856</v>
          </cell>
          <cell r="J117">
            <v>69</v>
          </cell>
          <cell r="K117">
            <v>1</v>
          </cell>
          <cell r="L117">
            <v>1</v>
          </cell>
          <cell r="M117">
            <v>8</v>
          </cell>
          <cell r="N117">
            <v>0.11594202898550725</v>
          </cell>
          <cell r="O117">
            <v>13</v>
          </cell>
          <cell r="P117">
            <v>1.8571428571428572</v>
          </cell>
          <cell r="Q117">
            <v>8.553006961086386E-2</v>
          </cell>
        </row>
        <row r="118">
          <cell r="A118">
            <v>51738</v>
          </cell>
          <cell r="B118" t="str">
            <v>Multisite ANGLET</v>
          </cell>
          <cell r="C118">
            <v>168</v>
          </cell>
          <cell r="D118">
            <v>1</v>
          </cell>
          <cell r="E118">
            <v>1</v>
          </cell>
          <cell r="F118">
            <v>23</v>
          </cell>
          <cell r="G118">
            <v>0.13690476190476192</v>
          </cell>
          <cell r="H118">
            <v>26</v>
          </cell>
          <cell r="I118">
            <v>3.7142857142857144</v>
          </cell>
          <cell r="J118">
            <v>98</v>
          </cell>
          <cell r="K118">
            <v>0</v>
          </cell>
          <cell r="L118">
            <v>1</v>
          </cell>
          <cell r="M118">
            <v>16</v>
          </cell>
          <cell r="N118">
            <v>0.16326530612244897</v>
          </cell>
          <cell r="O118">
            <v>13</v>
          </cell>
          <cell r="P118">
            <v>1.8571428571428572</v>
          </cell>
          <cell r="Q118">
            <v>0.15008503401360546</v>
          </cell>
        </row>
        <row r="119">
          <cell r="A119">
            <v>1738</v>
          </cell>
          <cell r="B119" t="str">
            <v>ANGLET</v>
          </cell>
          <cell r="C119">
            <v>93</v>
          </cell>
          <cell r="D119">
            <v>1</v>
          </cell>
          <cell r="E119">
            <v>1</v>
          </cell>
          <cell r="F119">
            <v>17</v>
          </cell>
          <cell r="G119">
            <v>0.18279569892473119</v>
          </cell>
          <cell r="H119">
            <v>10</v>
          </cell>
          <cell r="I119">
            <v>1.4285714285714286</v>
          </cell>
          <cell r="J119">
            <v>60</v>
          </cell>
          <cell r="K119">
            <v>0</v>
          </cell>
          <cell r="L119">
            <v>0</v>
          </cell>
          <cell r="M119">
            <v>10</v>
          </cell>
          <cell r="N119">
            <v>0.16666666666666666</v>
          </cell>
          <cell r="O119">
            <v>8</v>
          </cell>
          <cell r="P119">
            <v>1.1428571428571428</v>
          </cell>
          <cell r="Q119">
            <v>0.17473118279569894</v>
          </cell>
        </row>
        <row r="120">
          <cell r="A120">
            <v>1754</v>
          </cell>
          <cell r="B120" t="str">
            <v>ANGLET ERDIAN</v>
          </cell>
          <cell r="C120">
            <v>36</v>
          </cell>
          <cell r="D120">
            <v>0</v>
          </cell>
          <cell r="E120">
            <v>0</v>
          </cell>
          <cell r="F120">
            <v>1</v>
          </cell>
          <cell r="G120">
            <v>2.7777777777777776E-2</v>
          </cell>
          <cell r="H120">
            <v>10</v>
          </cell>
          <cell r="I120">
            <v>1.4285714285714286</v>
          </cell>
          <cell r="J120">
            <v>19</v>
          </cell>
          <cell r="K120">
            <v>0</v>
          </cell>
          <cell r="L120">
            <v>1</v>
          </cell>
          <cell r="M120">
            <v>2</v>
          </cell>
          <cell r="N120">
            <v>0.10526315789473684</v>
          </cell>
          <cell r="O120">
            <v>4</v>
          </cell>
          <cell r="P120">
            <v>0.5714285714285714</v>
          </cell>
          <cell r="Q120">
            <v>6.6520467836257313E-2</v>
          </cell>
        </row>
        <row r="121">
          <cell r="A121">
            <v>1755</v>
          </cell>
          <cell r="B121" t="str">
            <v>USTARITZ</v>
          </cell>
          <cell r="C121">
            <v>39</v>
          </cell>
          <cell r="D121">
            <v>0</v>
          </cell>
          <cell r="E121">
            <v>0</v>
          </cell>
          <cell r="F121">
            <v>5</v>
          </cell>
          <cell r="G121">
            <v>0.12820512820512819</v>
          </cell>
          <cell r="H121">
            <v>7</v>
          </cell>
          <cell r="I121">
            <v>1</v>
          </cell>
          <cell r="J121">
            <v>19</v>
          </cell>
          <cell r="K121">
            <v>0</v>
          </cell>
          <cell r="L121">
            <v>0</v>
          </cell>
          <cell r="M121">
            <v>4</v>
          </cell>
          <cell r="N121">
            <v>0.21052631578947367</v>
          </cell>
          <cell r="O121">
            <v>2</v>
          </cell>
          <cell r="P121">
            <v>0.2857142857142857</v>
          </cell>
          <cell r="Q121">
            <v>0.16936572199730093</v>
          </cell>
        </row>
        <row r="122">
          <cell r="A122">
            <v>1743</v>
          </cell>
          <cell r="B122" t="str">
            <v>CAMBO LES BAINS</v>
          </cell>
          <cell r="C122">
            <v>49</v>
          </cell>
          <cell r="D122">
            <v>0</v>
          </cell>
          <cell r="E122">
            <v>0</v>
          </cell>
          <cell r="F122">
            <v>5</v>
          </cell>
          <cell r="G122">
            <v>0.10204081632653061</v>
          </cell>
          <cell r="H122">
            <v>10</v>
          </cell>
          <cell r="I122">
            <v>1.4285714285714286</v>
          </cell>
          <cell r="J122">
            <v>31</v>
          </cell>
          <cell r="K122">
            <v>0</v>
          </cell>
          <cell r="L122">
            <v>0</v>
          </cell>
          <cell r="M122">
            <v>4</v>
          </cell>
          <cell r="N122">
            <v>0.12903225806451613</v>
          </cell>
          <cell r="O122">
            <v>5</v>
          </cell>
          <cell r="P122">
            <v>0.7142857142857143</v>
          </cell>
          <cell r="Q122">
            <v>0.11553653719552337</v>
          </cell>
        </row>
        <row r="123">
          <cell r="A123">
            <v>43787</v>
          </cell>
          <cell r="B123" t="str">
            <v>DGA LANDES SUD</v>
          </cell>
          <cell r="C123">
            <v>460</v>
          </cell>
          <cell r="D123">
            <v>0</v>
          </cell>
          <cell r="E123">
            <v>3</v>
          </cell>
          <cell r="F123">
            <v>50</v>
          </cell>
          <cell r="G123">
            <v>0.10869565217391304</v>
          </cell>
          <cell r="H123">
            <v>84</v>
          </cell>
          <cell r="I123">
            <v>12</v>
          </cell>
          <cell r="J123">
            <v>311</v>
          </cell>
          <cell r="K123">
            <v>0</v>
          </cell>
          <cell r="L123">
            <v>5</v>
          </cell>
          <cell r="M123">
            <v>45</v>
          </cell>
          <cell r="N123">
            <v>0.14469453376205788</v>
          </cell>
          <cell r="O123">
            <v>46</v>
          </cell>
          <cell r="P123">
            <v>6.5714285714285712</v>
          </cell>
          <cell r="Q123">
            <v>0.12669509296798545</v>
          </cell>
        </row>
        <row r="124">
          <cell r="A124">
            <v>51732</v>
          </cell>
          <cell r="B124" t="str">
            <v>Multisite DAX</v>
          </cell>
          <cell r="C124">
            <v>231</v>
          </cell>
          <cell r="D124">
            <v>0</v>
          </cell>
          <cell r="E124">
            <v>2</v>
          </cell>
          <cell r="F124">
            <v>28</v>
          </cell>
          <cell r="G124">
            <v>0.12121212121212122</v>
          </cell>
          <cell r="H124">
            <v>39</v>
          </cell>
          <cell r="I124">
            <v>5.5714285714285712</v>
          </cell>
          <cell r="J124">
            <v>156</v>
          </cell>
          <cell r="K124">
            <v>0</v>
          </cell>
          <cell r="L124">
            <v>3</v>
          </cell>
          <cell r="M124">
            <v>24</v>
          </cell>
          <cell r="N124">
            <v>0.15384615384615385</v>
          </cell>
          <cell r="O124">
            <v>22</v>
          </cell>
          <cell r="P124">
            <v>3.1428571428571428</v>
          </cell>
          <cell r="Q124">
            <v>0.13752913752913754</v>
          </cell>
        </row>
        <row r="125">
          <cell r="A125">
            <v>1732</v>
          </cell>
          <cell r="B125" t="str">
            <v>DAX</v>
          </cell>
          <cell r="C125">
            <v>142</v>
          </cell>
          <cell r="D125">
            <v>0</v>
          </cell>
          <cell r="E125">
            <v>2</v>
          </cell>
          <cell r="F125">
            <v>21</v>
          </cell>
          <cell r="G125">
            <v>0.14788732394366197</v>
          </cell>
          <cell r="H125">
            <v>21</v>
          </cell>
          <cell r="I125">
            <v>3</v>
          </cell>
          <cell r="J125">
            <v>94</v>
          </cell>
          <cell r="K125">
            <v>0</v>
          </cell>
          <cell r="L125">
            <v>1</v>
          </cell>
          <cell r="M125">
            <v>17</v>
          </cell>
          <cell r="N125">
            <v>0.18085106382978725</v>
          </cell>
          <cell r="O125">
            <v>11</v>
          </cell>
          <cell r="P125">
            <v>1.5714285714285714</v>
          </cell>
          <cell r="Q125">
            <v>0.16436919388672461</v>
          </cell>
        </row>
        <row r="126">
          <cell r="A126">
            <v>1742</v>
          </cell>
          <cell r="B126" t="str">
            <v>PEYREHORADE</v>
          </cell>
          <cell r="C126">
            <v>37</v>
          </cell>
          <cell r="D126">
            <v>0</v>
          </cell>
          <cell r="E126">
            <v>0</v>
          </cell>
          <cell r="F126">
            <v>3</v>
          </cell>
          <cell r="G126">
            <v>8.1081081081081086E-2</v>
          </cell>
          <cell r="H126">
            <v>8</v>
          </cell>
          <cell r="I126">
            <v>1.1428571428571428</v>
          </cell>
          <cell r="J126">
            <v>27</v>
          </cell>
          <cell r="K126">
            <v>0</v>
          </cell>
          <cell r="L126">
            <v>2</v>
          </cell>
          <cell r="M126">
            <v>4</v>
          </cell>
          <cell r="N126">
            <v>0.14814814814814814</v>
          </cell>
          <cell r="O126">
            <v>4</v>
          </cell>
          <cell r="P126">
            <v>0.5714285714285714</v>
          </cell>
          <cell r="Q126">
            <v>0.11461461461461461</v>
          </cell>
        </row>
        <row r="127">
          <cell r="A127">
            <v>1745</v>
          </cell>
          <cell r="B127" t="str">
            <v>SAINT PAUL LES DAX</v>
          </cell>
          <cell r="C127">
            <v>52</v>
          </cell>
          <cell r="D127">
            <v>0</v>
          </cell>
          <cell r="E127">
            <v>0</v>
          </cell>
          <cell r="F127">
            <v>4</v>
          </cell>
          <cell r="G127">
            <v>7.6923076923076927E-2</v>
          </cell>
          <cell r="H127">
            <v>12</v>
          </cell>
          <cell r="I127">
            <v>1.7142857142857142</v>
          </cell>
          <cell r="J127">
            <v>35</v>
          </cell>
          <cell r="K127">
            <v>0</v>
          </cell>
          <cell r="L127">
            <v>0</v>
          </cell>
          <cell r="M127">
            <v>3</v>
          </cell>
          <cell r="N127">
            <v>8.5714285714285715E-2</v>
          </cell>
          <cell r="O127">
            <v>8</v>
          </cell>
          <cell r="P127">
            <v>1.1428571428571428</v>
          </cell>
          <cell r="Q127">
            <v>8.1318681318681321E-2</v>
          </cell>
        </row>
        <row r="128">
          <cell r="A128">
            <v>51746</v>
          </cell>
          <cell r="B128" t="str">
            <v>Multisite CAPBRETON</v>
          </cell>
          <cell r="C128">
            <v>229</v>
          </cell>
          <cell r="D128">
            <v>0</v>
          </cell>
          <cell r="E128">
            <v>1</v>
          </cell>
          <cell r="F128">
            <v>22</v>
          </cell>
          <cell r="G128">
            <v>9.606986899563319E-2</v>
          </cell>
          <cell r="H128">
            <v>45</v>
          </cell>
          <cell r="I128">
            <v>6.4285714285714288</v>
          </cell>
          <cell r="J128">
            <v>156</v>
          </cell>
          <cell r="K128">
            <v>0</v>
          </cell>
          <cell r="L128">
            <v>2</v>
          </cell>
          <cell r="M128">
            <v>21</v>
          </cell>
          <cell r="N128">
            <v>0.13461538461538461</v>
          </cell>
          <cell r="O128">
            <v>25</v>
          </cell>
          <cell r="P128">
            <v>3.5714285714285716</v>
          </cell>
          <cell r="Q128">
            <v>0.1153426268055089</v>
          </cell>
        </row>
        <row r="129">
          <cell r="A129">
            <v>1740</v>
          </cell>
          <cell r="B129" t="str">
            <v>TARNOS</v>
          </cell>
          <cell r="C129">
            <v>71</v>
          </cell>
          <cell r="D129">
            <v>0</v>
          </cell>
          <cell r="E129">
            <v>1</v>
          </cell>
          <cell r="F129">
            <v>4</v>
          </cell>
          <cell r="G129">
            <v>5.6338028169014086E-2</v>
          </cell>
          <cell r="H129">
            <v>17</v>
          </cell>
          <cell r="I129">
            <v>2.4285714285714284</v>
          </cell>
          <cell r="J129">
            <v>53</v>
          </cell>
          <cell r="K129">
            <v>0</v>
          </cell>
          <cell r="L129">
            <v>1</v>
          </cell>
          <cell r="M129">
            <v>7</v>
          </cell>
          <cell r="N129">
            <v>0.13207547169811321</v>
          </cell>
          <cell r="O129">
            <v>9</v>
          </cell>
          <cell r="P129">
            <v>1.2857142857142858</v>
          </cell>
          <cell r="Q129">
            <v>9.4206749933563649E-2</v>
          </cell>
        </row>
        <row r="130">
          <cell r="A130">
            <v>1746</v>
          </cell>
          <cell r="B130" t="str">
            <v>CAPBRETON</v>
          </cell>
          <cell r="C130">
            <v>88</v>
          </cell>
          <cell r="D130">
            <v>0</v>
          </cell>
          <cell r="E130">
            <v>0</v>
          </cell>
          <cell r="F130">
            <v>1</v>
          </cell>
          <cell r="G130">
            <v>1.1363636363636364E-2</v>
          </cell>
          <cell r="H130">
            <v>25</v>
          </cell>
          <cell r="I130">
            <v>3.5714285714285716</v>
          </cell>
          <cell r="J130">
            <v>58</v>
          </cell>
          <cell r="K130">
            <v>0</v>
          </cell>
          <cell r="L130">
            <v>0</v>
          </cell>
          <cell r="M130">
            <v>13</v>
          </cell>
          <cell r="N130">
            <v>0.22413793103448276</v>
          </cell>
          <cell r="O130">
            <v>4</v>
          </cell>
          <cell r="P130">
            <v>0.5714285714285714</v>
          </cell>
          <cell r="Q130">
            <v>0.11775078369905956</v>
          </cell>
        </row>
        <row r="131">
          <cell r="A131">
            <v>1753</v>
          </cell>
          <cell r="B131" t="str">
            <v>SAINT VINCENT DE TYROSSE</v>
          </cell>
          <cell r="C131">
            <v>70</v>
          </cell>
          <cell r="D131">
            <v>0</v>
          </cell>
          <cell r="E131">
            <v>0</v>
          </cell>
          <cell r="F131">
            <v>17</v>
          </cell>
          <cell r="G131">
            <v>0.24285714285714285</v>
          </cell>
          <cell r="H131">
            <v>4</v>
          </cell>
          <cell r="I131">
            <v>0.5714285714285714</v>
          </cell>
          <cell r="J131">
            <v>45</v>
          </cell>
          <cell r="K131">
            <v>0</v>
          </cell>
          <cell r="L131">
            <v>1</v>
          </cell>
          <cell r="M131">
            <v>1</v>
          </cell>
          <cell r="N131">
            <v>2.2222222222222223E-2</v>
          </cell>
          <cell r="O131">
            <v>13</v>
          </cell>
          <cell r="P131">
            <v>1.8571428571428572</v>
          </cell>
          <cell r="Q131">
            <v>0.13253968253968254</v>
          </cell>
        </row>
        <row r="132">
          <cell r="A132">
            <v>43804</v>
          </cell>
          <cell r="B132" t="str">
            <v>DGA VIENNE</v>
          </cell>
          <cell r="C132">
            <v>700</v>
          </cell>
          <cell r="D132">
            <v>1</v>
          </cell>
          <cell r="E132">
            <v>8</v>
          </cell>
          <cell r="F132">
            <v>74</v>
          </cell>
          <cell r="G132">
            <v>0.10571428571428572</v>
          </cell>
          <cell r="H132">
            <v>129</v>
          </cell>
          <cell r="I132">
            <v>18.428571428571427</v>
          </cell>
          <cell r="J132">
            <v>419</v>
          </cell>
          <cell r="K132">
            <v>2</v>
          </cell>
          <cell r="L132">
            <v>6</v>
          </cell>
          <cell r="M132">
            <v>48</v>
          </cell>
          <cell r="N132">
            <v>0.11455847255369929</v>
          </cell>
          <cell r="O132">
            <v>74</v>
          </cell>
          <cell r="P132">
            <v>10.571428571428571</v>
          </cell>
          <cell r="Q132">
            <v>0.1101363791339925</v>
          </cell>
        </row>
        <row r="133">
          <cell r="A133">
            <v>57800</v>
          </cell>
          <cell r="B133" t="str">
            <v>Multisite POITIERS</v>
          </cell>
          <cell r="C133">
            <v>311</v>
          </cell>
          <cell r="D133">
            <v>0</v>
          </cell>
          <cell r="E133">
            <v>2</v>
          </cell>
          <cell r="F133">
            <v>35</v>
          </cell>
          <cell r="G133">
            <v>0.11254019292604502</v>
          </cell>
          <cell r="H133">
            <v>56</v>
          </cell>
          <cell r="I133">
            <v>8</v>
          </cell>
          <cell r="J133">
            <v>167</v>
          </cell>
          <cell r="K133">
            <v>0</v>
          </cell>
          <cell r="L133">
            <v>4</v>
          </cell>
          <cell r="M133">
            <v>19</v>
          </cell>
          <cell r="N133">
            <v>0.11377245508982035</v>
          </cell>
          <cell r="O133">
            <v>30</v>
          </cell>
          <cell r="P133">
            <v>4.2857142857142856</v>
          </cell>
          <cell r="Q133">
            <v>0.11315632400793268</v>
          </cell>
        </row>
        <row r="134">
          <cell r="A134">
            <v>7800</v>
          </cell>
          <cell r="B134" t="str">
            <v>POITIERS</v>
          </cell>
          <cell r="C134">
            <v>249</v>
          </cell>
          <cell r="D134">
            <v>0</v>
          </cell>
          <cell r="E134">
            <v>2</v>
          </cell>
          <cell r="F134">
            <v>27</v>
          </cell>
          <cell r="G134">
            <v>0.10843373493975904</v>
          </cell>
          <cell r="H134">
            <v>46</v>
          </cell>
          <cell r="I134">
            <v>6.5714285714285712</v>
          </cell>
          <cell r="J134">
            <v>122</v>
          </cell>
          <cell r="K134">
            <v>0</v>
          </cell>
          <cell r="L134">
            <v>4</v>
          </cell>
          <cell r="M134">
            <v>10</v>
          </cell>
          <cell r="N134">
            <v>8.1967213114754092E-2</v>
          </cell>
          <cell r="O134">
            <v>26</v>
          </cell>
          <cell r="P134">
            <v>3.7142857142857144</v>
          </cell>
          <cell r="Q134">
            <v>9.5200474027256565E-2</v>
          </cell>
        </row>
        <row r="135">
          <cell r="A135">
            <v>7803</v>
          </cell>
          <cell r="B135" t="str">
            <v>POITIERS BOURBEAU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</row>
        <row r="136">
          <cell r="A136">
            <v>7839</v>
          </cell>
          <cell r="B136" t="str">
            <v>POITIERS LIBERATION</v>
          </cell>
          <cell r="C136">
            <v>62</v>
          </cell>
          <cell r="D136">
            <v>0</v>
          </cell>
          <cell r="E136">
            <v>0</v>
          </cell>
          <cell r="F136">
            <v>8</v>
          </cell>
          <cell r="G136">
            <v>0.12903225806451613</v>
          </cell>
          <cell r="H136">
            <v>10</v>
          </cell>
          <cell r="I136">
            <v>1.4285714285714286</v>
          </cell>
          <cell r="J136">
            <v>45</v>
          </cell>
          <cell r="K136">
            <v>0</v>
          </cell>
          <cell r="L136">
            <v>0</v>
          </cell>
          <cell r="M136">
            <v>9</v>
          </cell>
          <cell r="N136">
            <v>0.2</v>
          </cell>
          <cell r="O136">
            <v>5</v>
          </cell>
          <cell r="P136">
            <v>0.7142857142857143</v>
          </cell>
          <cell r="Q136">
            <v>0.16451612903225807</v>
          </cell>
        </row>
        <row r="137">
          <cell r="A137">
            <v>7831</v>
          </cell>
          <cell r="B137" t="str">
            <v>CHATELLERAULT</v>
          </cell>
          <cell r="C137">
            <v>136</v>
          </cell>
          <cell r="D137">
            <v>1</v>
          </cell>
          <cell r="E137">
            <v>3</v>
          </cell>
          <cell r="F137">
            <v>15</v>
          </cell>
          <cell r="G137">
            <v>0.11029411764705882</v>
          </cell>
          <cell r="H137">
            <v>25</v>
          </cell>
          <cell r="I137">
            <v>3.5714285714285716</v>
          </cell>
          <cell r="J137">
            <v>110</v>
          </cell>
          <cell r="K137">
            <v>1</v>
          </cell>
          <cell r="L137">
            <v>1</v>
          </cell>
          <cell r="M137">
            <v>10</v>
          </cell>
          <cell r="N137">
            <v>9.0909090909090912E-2</v>
          </cell>
          <cell r="O137">
            <v>22</v>
          </cell>
          <cell r="P137">
            <v>3.1428571428571428</v>
          </cell>
          <cell r="Q137">
            <v>0.10060160427807487</v>
          </cell>
        </row>
        <row r="138">
          <cell r="A138">
            <v>57836</v>
          </cell>
          <cell r="B138" t="str">
            <v>Multisite POITIERS PROVENCE</v>
          </cell>
          <cell r="C138">
            <v>253</v>
          </cell>
          <cell r="D138">
            <v>0</v>
          </cell>
          <cell r="E138">
            <v>3</v>
          </cell>
          <cell r="F138">
            <v>24</v>
          </cell>
          <cell r="G138">
            <v>9.4861660079051377E-2</v>
          </cell>
          <cell r="H138">
            <v>50</v>
          </cell>
          <cell r="I138">
            <v>7.1428571428571432</v>
          </cell>
          <cell r="J138">
            <v>143</v>
          </cell>
          <cell r="K138">
            <v>1</v>
          </cell>
          <cell r="L138">
            <v>1</v>
          </cell>
          <cell r="M138">
            <v>19</v>
          </cell>
          <cell r="N138">
            <v>0.13286713286713286</v>
          </cell>
          <cell r="O138">
            <v>23</v>
          </cell>
          <cell r="P138">
            <v>3.2857142857142856</v>
          </cell>
          <cell r="Q138">
            <v>0.11386439647309213</v>
          </cell>
        </row>
        <row r="139">
          <cell r="A139">
            <v>7802</v>
          </cell>
          <cell r="B139" t="str">
            <v>NEUVILLE DE POITOU</v>
          </cell>
          <cell r="C139">
            <v>45</v>
          </cell>
          <cell r="D139">
            <v>0</v>
          </cell>
          <cell r="E139">
            <v>0</v>
          </cell>
          <cell r="F139">
            <v>2</v>
          </cell>
          <cell r="G139">
            <v>4.4444444444444446E-2</v>
          </cell>
          <cell r="H139">
            <v>12</v>
          </cell>
          <cell r="I139">
            <v>1.7142857142857142</v>
          </cell>
          <cell r="J139">
            <v>31</v>
          </cell>
          <cell r="K139">
            <v>0</v>
          </cell>
          <cell r="L139">
            <v>0</v>
          </cell>
          <cell r="M139">
            <v>4</v>
          </cell>
          <cell r="N139">
            <v>0.12903225806451613</v>
          </cell>
          <cell r="O139">
            <v>5</v>
          </cell>
          <cell r="P139">
            <v>0.7142857142857143</v>
          </cell>
          <cell r="Q139">
            <v>8.6738351254480289E-2</v>
          </cell>
        </row>
        <row r="140">
          <cell r="A140">
            <v>7832</v>
          </cell>
          <cell r="B140" t="str">
            <v>POITIERS BEAULIEU</v>
          </cell>
          <cell r="C140">
            <v>130</v>
          </cell>
          <cell r="D140">
            <v>0</v>
          </cell>
          <cell r="E140">
            <v>1</v>
          </cell>
          <cell r="F140">
            <v>14</v>
          </cell>
          <cell r="G140">
            <v>0.1076923076923077</v>
          </cell>
          <cell r="H140">
            <v>24</v>
          </cell>
          <cell r="I140">
            <v>3.4285714285714284</v>
          </cell>
          <cell r="J140">
            <v>63</v>
          </cell>
          <cell r="K140">
            <v>1</v>
          </cell>
          <cell r="L140">
            <v>1</v>
          </cell>
          <cell r="M140">
            <v>8</v>
          </cell>
          <cell r="N140">
            <v>0.12698412698412698</v>
          </cell>
          <cell r="O140">
            <v>11</v>
          </cell>
          <cell r="P140">
            <v>1.5714285714285714</v>
          </cell>
          <cell r="Q140">
            <v>0.11733821733821734</v>
          </cell>
        </row>
        <row r="141">
          <cell r="A141">
            <v>7836</v>
          </cell>
          <cell r="B141" t="str">
            <v>POITIERS PROVENCE</v>
          </cell>
          <cell r="C141">
            <v>78</v>
          </cell>
          <cell r="D141">
            <v>0</v>
          </cell>
          <cell r="E141">
            <v>2</v>
          </cell>
          <cell r="F141">
            <v>8</v>
          </cell>
          <cell r="G141">
            <v>0.10256410256410256</v>
          </cell>
          <cell r="H141">
            <v>15</v>
          </cell>
          <cell r="I141">
            <v>2.1428571428571428</v>
          </cell>
          <cell r="J141">
            <v>49</v>
          </cell>
          <cell r="K141">
            <v>0</v>
          </cell>
          <cell r="L141">
            <v>0</v>
          </cell>
          <cell r="M141">
            <v>7</v>
          </cell>
          <cell r="N141">
            <v>0.14285714285714285</v>
          </cell>
          <cell r="O141">
            <v>8</v>
          </cell>
          <cell r="P141">
            <v>1.1428571428571428</v>
          </cell>
          <cell r="Q141">
            <v>0.1227106227106227</v>
          </cell>
        </row>
        <row r="142">
          <cell r="A142">
            <v>43812</v>
          </cell>
          <cell r="B142" t="str">
            <v>DGA PAYS ROCHELAIS DEUX SEVRES</v>
          </cell>
          <cell r="C142">
            <v>865</v>
          </cell>
          <cell r="D142">
            <v>5</v>
          </cell>
          <cell r="E142">
            <v>11</v>
          </cell>
          <cell r="F142">
            <v>104</v>
          </cell>
          <cell r="G142">
            <v>0.12023121387283237</v>
          </cell>
          <cell r="H142">
            <v>147</v>
          </cell>
          <cell r="I142">
            <v>21</v>
          </cell>
          <cell r="J142">
            <v>480</v>
          </cell>
          <cell r="K142">
            <v>6</v>
          </cell>
          <cell r="L142">
            <v>13</v>
          </cell>
          <cell r="M142">
            <v>60</v>
          </cell>
          <cell r="N142">
            <v>0.125</v>
          </cell>
          <cell r="O142">
            <v>80</v>
          </cell>
          <cell r="P142">
            <v>11.428571428571429</v>
          </cell>
          <cell r="Q142">
            <v>0.12261560693641618</v>
          </cell>
        </row>
        <row r="143">
          <cell r="A143">
            <v>55131</v>
          </cell>
          <cell r="B143" t="str">
            <v>Multisite BRESSUIRE</v>
          </cell>
          <cell r="C143">
            <v>122</v>
          </cell>
          <cell r="D143">
            <v>2</v>
          </cell>
          <cell r="E143">
            <v>2</v>
          </cell>
          <cell r="F143">
            <v>7</v>
          </cell>
          <cell r="G143">
            <v>5.737704918032787E-2</v>
          </cell>
          <cell r="H143">
            <v>29</v>
          </cell>
          <cell r="I143">
            <v>4.1428571428571432</v>
          </cell>
          <cell r="J143">
            <v>84</v>
          </cell>
          <cell r="K143">
            <v>1</v>
          </cell>
          <cell r="L143">
            <v>4</v>
          </cell>
          <cell r="M143">
            <v>7</v>
          </cell>
          <cell r="N143">
            <v>8.3333333333333329E-2</v>
          </cell>
          <cell r="O143">
            <v>18</v>
          </cell>
          <cell r="P143">
            <v>2.5714285714285716</v>
          </cell>
          <cell r="Q143">
            <v>7.0355191256830596E-2</v>
          </cell>
        </row>
        <row r="144">
          <cell r="A144">
            <v>5131</v>
          </cell>
          <cell r="B144" t="str">
            <v>BRESSUIRE</v>
          </cell>
          <cell r="C144">
            <v>47</v>
          </cell>
          <cell r="D144">
            <v>2</v>
          </cell>
          <cell r="E144">
            <v>2</v>
          </cell>
          <cell r="F144">
            <v>4</v>
          </cell>
          <cell r="G144">
            <v>8.5106382978723402E-2</v>
          </cell>
          <cell r="H144">
            <v>10</v>
          </cell>
          <cell r="I144">
            <v>1.4285714285714286</v>
          </cell>
          <cell r="J144">
            <v>33</v>
          </cell>
          <cell r="K144">
            <v>1</v>
          </cell>
          <cell r="L144">
            <v>1</v>
          </cell>
          <cell r="M144">
            <v>2</v>
          </cell>
          <cell r="N144">
            <v>6.0606060606060608E-2</v>
          </cell>
          <cell r="O144">
            <v>8</v>
          </cell>
          <cell r="P144">
            <v>1.1428571428571428</v>
          </cell>
          <cell r="Q144">
            <v>7.2856221792392012E-2</v>
          </cell>
        </row>
        <row r="145">
          <cell r="A145">
            <v>5139</v>
          </cell>
          <cell r="B145" t="str">
            <v>THOUARS</v>
          </cell>
          <cell r="C145">
            <v>34</v>
          </cell>
          <cell r="D145">
            <v>0</v>
          </cell>
          <cell r="E145">
            <v>0</v>
          </cell>
          <cell r="F145">
            <v>1</v>
          </cell>
          <cell r="G145">
            <v>2.9411764705882353E-2</v>
          </cell>
          <cell r="H145">
            <v>9</v>
          </cell>
          <cell r="I145">
            <v>1.2857142857142858</v>
          </cell>
          <cell r="J145">
            <v>25</v>
          </cell>
          <cell r="K145">
            <v>0</v>
          </cell>
          <cell r="L145">
            <v>1</v>
          </cell>
          <cell r="M145">
            <v>3</v>
          </cell>
          <cell r="N145">
            <v>0.12</v>
          </cell>
          <cell r="O145">
            <v>5</v>
          </cell>
          <cell r="P145">
            <v>0.7142857142857143</v>
          </cell>
          <cell r="Q145">
            <v>7.4705882352941178E-2</v>
          </cell>
        </row>
        <row r="146">
          <cell r="A146">
            <v>7834</v>
          </cell>
          <cell r="B146" t="str">
            <v>PARTHENAY</v>
          </cell>
          <cell r="C146">
            <v>41</v>
          </cell>
          <cell r="D146">
            <v>0</v>
          </cell>
          <cell r="E146">
            <v>0</v>
          </cell>
          <cell r="F146">
            <v>2</v>
          </cell>
          <cell r="G146">
            <v>4.878048780487805E-2</v>
          </cell>
          <cell r="H146">
            <v>10</v>
          </cell>
          <cell r="I146">
            <v>1.4285714285714286</v>
          </cell>
          <cell r="J146">
            <v>26</v>
          </cell>
          <cell r="K146">
            <v>0</v>
          </cell>
          <cell r="L146">
            <v>2</v>
          </cell>
          <cell r="M146">
            <v>2</v>
          </cell>
          <cell r="N146">
            <v>7.6923076923076927E-2</v>
          </cell>
          <cell r="O146">
            <v>6</v>
          </cell>
          <cell r="P146">
            <v>0.8571428571428571</v>
          </cell>
          <cell r="Q146">
            <v>6.2851782363977482E-2</v>
          </cell>
        </row>
        <row r="147">
          <cell r="A147">
            <v>57833</v>
          </cell>
          <cell r="B147" t="str">
            <v>Multisite NIORT</v>
          </cell>
          <cell r="C147">
            <v>181</v>
          </cell>
          <cell r="D147">
            <v>0</v>
          </cell>
          <cell r="E147">
            <v>1</v>
          </cell>
          <cell r="F147">
            <v>12</v>
          </cell>
          <cell r="G147">
            <v>6.6298342541436461E-2</v>
          </cell>
          <cell r="H147">
            <v>41</v>
          </cell>
          <cell r="I147">
            <v>5.8571428571428568</v>
          </cell>
          <cell r="J147">
            <v>115</v>
          </cell>
          <cell r="K147">
            <v>0</v>
          </cell>
          <cell r="L147">
            <v>1</v>
          </cell>
          <cell r="M147">
            <v>13</v>
          </cell>
          <cell r="N147">
            <v>0.11304347826086956</v>
          </cell>
          <cell r="O147">
            <v>21</v>
          </cell>
          <cell r="P147">
            <v>3</v>
          </cell>
          <cell r="Q147">
            <v>8.967091040115302E-2</v>
          </cell>
        </row>
        <row r="148">
          <cell r="A148">
            <v>7833</v>
          </cell>
          <cell r="B148" t="str">
            <v>NIORT</v>
          </cell>
          <cell r="C148">
            <v>126</v>
          </cell>
          <cell r="D148">
            <v>0</v>
          </cell>
          <cell r="E148">
            <v>1</v>
          </cell>
          <cell r="F148">
            <v>10</v>
          </cell>
          <cell r="G148">
            <v>7.9365079365079361E-2</v>
          </cell>
          <cell r="H148">
            <v>27</v>
          </cell>
          <cell r="I148">
            <v>3.8571428571428572</v>
          </cell>
          <cell r="J148">
            <v>76</v>
          </cell>
          <cell r="K148">
            <v>0</v>
          </cell>
          <cell r="L148">
            <v>1</v>
          </cell>
          <cell r="M148">
            <v>9</v>
          </cell>
          <cell r="N148">
            <v>0.11842105263157894</v>
          </cell>
          <cell r="O148">
            <v>14</v>
          </cell>
          <cell r="P148">
            <v>2</v>
          </cell>
          <cell r="Q148">
            <v>9.8893065998329144E-2</v>
          </cell>
        </row>
        <row r="149">
          <cell r="A149">
            <v>7835</v>
          </cell>
          <cell r="B149" t="str">
            <v>SAINT MAIXENT L'ECOLE</v>
          </cell>
          <cell r="C149">
            <v>39</v>
          </cell>
          <cell r="D149">
            <v>0</v>
          </cell>
          <cell r="E149">
            <v>0</v>
          </cell>
          <cell r="F149">
            <v>2</v>
          </cell>
          <cell r="G149">
            <v>5.128205128205128E-2</v>
          </cell>
          <cell r="H149">
            <v>10</v>
          </cell>
          <cell r="I149">
            <v>1.4285714285714286</v>
          </cell>
          <cell r="J149">
            <v>26</v>
          </cell>
          <cell r="K149">
            <v>0</v>
          </cell>
          <cell r="L149">
            <v>0</v>
          </cell>
          <cell r="M149">
            <v>3</v>
          </cell>
          <cell r="N149">
            <v>0.11538461538461539</v>
          </cell>
          <cell r="O149">
            <v>5</v>
          </cell>
          <cell r="P149">
            <v>0.7142857142857143</v>
          </cell>
          <cell r="Q149">
            <v>8.3333333333333343E-2</v>
          </cell>
        </row>
        <row r="150">
          <cell r="A150">
            <v>7837</v>
          </cell>
          <cell r="B150" t="str">
            <v>MELLE</v>
          </cell>
          <cell r="C150">
            <v>16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5</v>
          </cell>
          <cell r="I150">
            <v>0.7142857142857143</v>
          </cell>
          <cell r="J150">
            <v>13</v>
          </cell>
          <cell r="K150">
            <v>0</v>
          </cell>
          <cell r="L150">
            <v>0</v>
          </cell>
          <cell r="M150">
            <v>1</v>
          </cell>
          <cell r="N150">
            <v>7.6923076923076927E-2</v>
          </cell>
          <cell r="O150">
            <v>3</v>
          </cell>
          <cell r="P150">
            <v>0.42857142857142855</v>
          </cell>
          <cell r="Q150">
            <v>3.8461538461538464E-2</v>
          </cell>
        </row>
        <row r="151">
          <cell r="A151">
            <v>58100</v>
          </cell>
          <cell r="B151" t="str">
            <v>Multisite LA ROCHELLE</v>
          </cell>
          <cell r="C151">
            <v>287</v>
          </cell>
          <cell r="D151">
            <v>1</v>
          </cell>
          <cell r="E151">
            <v>3</v>
          </cell>
          <cell r="F151">
            <v>47</v>
          </cell>
          <cell r="G151">
            <v>0.16376306620209058</v>
          </cell>
          <cell r="H151">
            <v>37</v>
          </cell>
          <cell r="I151">
            <v>5.2857142857142856</v>
          </cell>
          <cell r="J151">
            <v>144</v>
          </cell>
          <cell r="K151">
            <v>0</v>
          </cell>
          <cell r="L151">
            <v>2</v>
          </cell>
          <cell r="M151">
            <v>20</v>
          </cell>
          <cell r="N151">
            <v>0.1388888888888889</v>
          </cell>
          <cell r="O151">
            <v>22</v>
          </cell>
          <cell r="P151">
            <v>3.1428571428571428</v>
          </cell>
          <cell r="Q151">
            <v>0.15132597754548974</v>
          </cell>
        </row>
        <row r="152">
          <cell r="A152">
            <v>8100</v>
          </cell>
          <cell r="B152" t="str">
            <v>LA ROCHELLE</v>
          </cell>
          <cell r="C152">
            <v>171</v>
          </cell>
          <cell r="D152">
            <v>0</v>
          </cell>
          <cell r="E152">
            <v>1</v>
          </cell>
          <cell r="F152">
            <v>21</v>
          </cell>
          <cell r="G152">
            <v>0.12280701754385964</v>
          </cell>
          <cell r="H152">
            <v>29</v>
          </cell>
          <cell r="I152">
            <v>4.1428571428571432</v>
          </cell>
          <cell r="J152">
            <v>79</v>
          </cell>
          <cell r="K152">
            <v>0</v>
          </cell>
          <cell r="L152">
            <v>2</v>
          </cell>
          <cell r="M152">
            <v>15</v>
          </cell>
          <cell r="N152">
            <v>0.189873417721519</v>
          </cell>
          <cell r="O152">
            <v>8</v>
          </cell>
          <cell r="P152">
            <v>1.1428571428571428</v>
          </cell>
          <cell r="Q152">
            <v>0.15634021763268932</v>
          </cell>
        </row>
        <row r="153">
          <cell r="A153">
            <v>8146</v>
          </cell>
          <cell r="B153" t="str">
            <v>LA ROCHELLE BEL AIR</v>
          </cell>
          <cell r="C153">
            <v>61</v>
          </cell>
          <cell r="D153">
            <v>1</v>
          </cell>
          <cell r="E153">
            <v>1</v>
          </cell>
          <cell r="F153">
            <v>14</v>
          </cell>
          <cell r="G153">
            <v>0.22950819672131148</v>
          </cell>
          <cell r="H153">
            <v>4</v>
          </cell>
          <cell r="I153">
            <v>0.5714285714285714</v>
          </cell>
          <cell r="J153">
            <v>39</v>
          </cell>
          <cell r="K153">
            <v>0</v>
          </cell>
          <cell r="L153">
            <v>0</v>
          </cell>
          <cell r="M153">
            <v>3</v>
          </cell>
          <cell r="N153">
            <v>7.6923076923076927E-2</v>
          </cell>
          <cell r="O153">
            <v>9</v>
          </cell>
          <cell r="P153">
            <v>1.2857142857142858</v>
          </cell>
          <cell r="Q153">
            <v>0.15321563682219419</v>
          </cell>
        </row>
        <row r="154">
          <cell r="A154">
            <v>8150</v>
          </cell>
          <cell r="B154" t="str">
            <v>LA ROCHELLE MARCHE</v>
          </cell>
          <cell r="C154">
            <v>55</v>
          </cell>
          <cell r="D154">
            <v>0</v>
          </cell>
          <cell r="E154">
            <v>1</v>
          </cell>
          <cell r="F154">
            <v>12</v>
          </cell>
          <cell r="G154">
            <v>0.21818181818181817</v>
          </cell>
          <cell r="H154">
            <v>4</v>
          </cell>
          <cell r="I154">
            <v>0.5714285714285714</v>
          </cell>
          <cell r="J154">
            <v>26</v>
          </cell>
          <cell r="K154">
            <v>0</v>
          </cell>
          <cell r="L154">
            <v>0</v>
          </cell>
          <cell r="M154">
            <v>2</v>
          </cell>
          <cell r="N154">
            <v>7.6923076923076927E-2</v>
          </cell>
          <cell r="O154">
            <v>6</v>
          </cell>
          <cell r="P154">
            <v>0.8571428571428571</v>
          </cell>
          <cell r="Q154">
            <v>0.14755244755244756</v>
          </cell>
        </row>
        <row r="155">
          <cell r="A155">
            <v>58143</v>
          </cell>
          <cell r="B155" t="str">
            <v>Multisite AYTRE</v>
          </cell>
          <cell r="C155">
            <v>236</v>
          </cell>
          <cell r="D155">
            <v>1</v>
          </cell>
          <cell r="E155">
            <v>4</v>
          </cell>
          <cell r="F155">
            <v>35</v>
          </cell>
          <cell r="G155">
            <v>0.14830508474576271</v>
          </cell>
          <cell r="H155">
            <v>34</v>
          </cell>
          <cell r="I155">
            <v>4.8571428571428568</v>
          </cell>
          <cell r="J155">
            <v>112</v>
          </cell>
          <cell r="K155">
            <v>4</v>
          </cell>
          <cell r="L155">
            <v>5</v>
          </cell>
          <cell r="M155">
            <v>16</v>
          </cell>
          <cell r="N155">
            <v>0.14285714285714285</v>
          </cell>
          <cell r="O155">
            <v>17</v>
          </cell>
          <cell r="P155">
            <v>2.4285714285714284</v>
          </cell>
          <cell r="Q155">
            <v>0.14558111380145278</v>
          </cell>
        </row>
        <row r="156">
          <cell r="A156">
            <v>8143</v>
          </cell>
          <cell r="B156" t="str">
            <v>AYTRE</v>
          </cell>
          <cell r="C156">
            <v>70</v>
          </cell>
          <cell r="D156">
            <v>0</v>
          </cell>
          <cell r="E156">
            <v>2</v>
          </cell>
          <cell r="F156">
            <v>10</v>
          </cell>
          <cell r="G156">
            <v>0.14285714285714285</v>
          </cell>
          <cell r="H156">
            <v>11</v>
          </cell>
          <cell r="I156">
            <v>1.5714285714285714</v>
          </cell>
          <cell r="J156">
            <v>46</v>
          </cell>
          <cell r="K156">
            <v>0</v>
          </cell>
          <cell r="L156">
            <v>0</v>
          </cell>
          <cell r="M156">
            <v>5</v>
          </cell>
          <cell r="N156">
            <v>0.10869565217391304</v>
          </cell>
          <cell r="O156">
            <v>9</v>
          </cell>
          <cell r="P156">
            <v>1.2857142857142858</v>
          </cell>
          <cell r="Q156">
            <v>0.12577639751552794</v>
          </cell>
        </row>
        <row r="157">
          <cell r="A157">
            <v>8145</v>
          </cell>
          <cell r="B157" t="str">
            <v>MARANS</v>
          </cell>
          <cell r="C157">
            <v>31</v>
          </cell>
          <cell r="D157">
            <v>1</v>
          </cell>
          <cell r="E157">
            <v>1</v>
          </cell>
          <cell r="F157">
            <v>2</v>
          </cell>
          <cell r="G157">
            <v>6.4516129032258063E-2</v>
          </cell>
          <cell r="H157">
            <v>7</v>
          </cell>
          <cell r="I157">
            <v>1</v>
          </cell>
          <cell r="J157">
            <v>21</v>
          </cell>
          <cell r="K157">
            <v>4</v>
          </cell>
          <cell r="L157">
            <v>4</v>
          </cell>
          <cell r="M157">
            <v>8</v>
          </cell>
          <cell r="N157">
            <v>0.38095238095238093</v>
          </cell>
          <cell r="O157">
            <v>0</v>
          </cell>
          <cell r="P157">
            <v>0</v>
          </cell>
          <cell r="Q157">
            <v>0.2227342549923195</v>
          </cell>
        </row>
        <row r="158">
          <cell r="A158">
            <v>8152</v>
          </cell>
          <cell r="B158" t="str">
            <v>PERIGNY</v>
          </cell>
          <cell r="C158">
            <v>62</v>
          </cell>
          <cell r="D158">
            <v>0</v>
          </cell>
          <cell r="E158">
            <v>0</v>
          </cell>
          <cell r="F158">
            <v>7</v>
          </cell>
          <cell r="G158">
            <v>0.11290322580645161</v>
          </cell>
          <cell r="H158">
            <v>11</v>
          </cell>
          <cell r="I158">
            <v>1.5714285714285714</v>
          </cell>
          <cell r="J158">
            <v>26</v>
          </cell>
          <cell r="K158">
            <v>0</v>
          </cell>
          <cell r="L158">
            <v>1</v>
          </cell>
          <cell r="M158">
            <v>3</v>
          </cell>
          <cell r="N158">
            <v>0.11538461538461539</v>
          </cell>
          <cell r="O158">
            <v>5</v>
          </cell>
          <cell r="P158">
            <v>0.7142857142857143</v>
          </cell>
          <cell r="Q158">
            <v>0.11414392059553349</v>
          </cell>
        </row>
        <row r="159">
          <cell r="A159">
            <v>8153</v>
          </cell>
          <cell r="B159" t="str">
            <v>LA ROCHELLE LES MINIMES</v>
          </cell>
          <cell r="C159">
            <v>73</v>
          </cell>
          <cell r="D159">
            <v>0</v>
          </cell>
          <cell r="E159">
            <v>1</v>
          </cell>
          <cell r="F159">
            <v>16</v>
          </cell>
          <cell r="G159">
            <v>0.21917808219178081</v>
          </cell>
          <cell r="H159">
            <v>6</v>
          </cell>
          <cell r="I159">
            <v>0.8571428571428571</v>
          </cell>
          <cell r="J159">
            <v>19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6</v>
          </cell>
          <cell r="P159">
            <v>0.8571428571428571</v>
          </cell>
          <cell r="Q159">
            <v>0.1095890410958904</v>
          </cell>
        </row>
        <row r="160">
          <cell r="A160">
            <v>8148</v>
          </cell>
          <cell r="B160" t="str">
            <v>SAINT MARTIN DE RE</v>
          </cell>
          <cell r="C160">
            <v>39</v>
          </cell>
          <cell r="D160">
            <v>1</v>
          </cell>
          <cell r="E160">
            <v>1</v>
          </cell>
          <cell r="F160">
            <v>3</v>
          </cell>
          <cell r="G160">
            <v>7.6923076923076927E-2</v>
          </cell>
          <cell r="H160">
            <v>9</v>
          </cell>
          <cell r="I160">
            <v>1.2857142857142858</v>
          </cell>
          <cell r="J160">
            <v>25</v>
          </cell>
          <cell r="K160">
            <v>1</v>
          </cell>
          <cell r="L160">
            <v>1</v>
          </cell>
          <cell r="M160">
            <v>4</v>
          </cell>
          <cell r="N160">
            <v>0.16</v>
          </cell>
          <cell r="O160">
            <v>4</v>
          </cell>
          <cell r="P160">
            <v>0.5714285714285714</v>
          </cell>
          <cell r="Q160">
            <v>0.11846153846153847</v>
          </cell>
        </row>
        <row r="161">
          <cell r="A161">
            <v>43816</v>
          </cell>
          <cell r="B161" t="str">
            <v>DGA CHARENTE MARITIME SUD</v>
          </cell>
          <cell r="C161">
            <v>455</v>
          </cell>
          <cell r="D161">
            <v>2</v>
          </cell>
          <cell r="E161">
            <v>2</v>
          </cell>
          <cell r="F161">
            <v>52</v>
          </cell>
          <cell r="G161">
            <v>0.11428571428571428</v>
          </cell>
          <cell r="H161">
            <v>80</v>
          </cell>
          <cell r="I161">
            <v>11.428571428571429</v>
          </cell>
          <cell r="J161">
            <v>334</v>
          </cell>
          <cell r="K161">
            <v>6</v>
          </cell>
          <cell r="L161">
            <v>6</v>
          </cell>
          <cell r="M161">
            <v>48</v>
          </cell>
          <cell r="N161">
            <v>0.1437125748502994</v>
          </cell>
          <cell r="O161">
            <v>49</v>
          </cell>
          <cell r="P161">
            <v>7</v>
          </cell>
          <cell r="Q161">
            <v>0.12899914456800685</v>
          </cell>
        </row>
        <row r="162">
          <cell r="A162">
            <v>8131</v>
          </cell>
          <cell r="B162" t="str">
            <v>JONZAC</v>
          </cell>
          <cell r="C162">
            <v>45</v>
          </cell>
          <cell r="D162">
            <v>0</v>
          </cell>
          <cell r="E162">
            <v>0</v>
          </cell>
          <cell r="F162">
            <v>7</v>
          </cell>
          <cell r="G162">
            <v>0.15555555555555556</v>
          </cell>
          <cell r="H162">
            <v>7</v>
          </cell>
          <cell r="I162">
            <v>1</v>
          </cell>
          <cell r="J162">
            <v>32</v>
          </cell>
          <cell r="K162">
            <v>0</v>
          </cell>
          <cell r="L162">
            <v>0</v>
          </cell>
          <cell r="M162">
            <v>7</v>
          </cell>
          <cell r="N162">
            <v>0.21875</v>
          </cell>
          <cell r="O162">
            <v>3</v>
          </cell>
          <cell r="P162">
            <v>0.42857142857142855</v>
          </cell>
          <cell r="Q162">
            <v>0.18715277777777778</v>
          </cell>
        </row>
        <row r="163">
          <cell r="A163">
            <v>58134</v>
          </cell>
          <cell r="B163" t="str">
            <v>Multisite ROCHEFORT SUR MER</v>
          </cell>
          <cell r="C163">
            <v>162</v>
          </cell>
          <cell r="D163">
            <v>1</v>
          </cell>
          <cell r="E163">
            <v>1</v>
          </cell>
          <cell r="F163">
            <v>15</v>
          </cell>
          <cell r="G163">
            <v>9.2592592592592587E-2</v>
          </cell>
          <cell r="H163">
            <v>32</v>
          </cell>
          <cell r="I163">
            <v>4.5714285714285712</v>
          </cell>
          <cell r="J163">
            <v>102</v>
          </cell>
          <cell r="K163">
            <v>5</v>
          </cell>
          <cell r="L163">
            <v>5</v>
          </cell>
          <cell r="M163">
            <v>17</v>
          </cell>
          <cell r="N163">
            <v>0.16666666666666666</v>
          </cell>
          <cell r="O163">
            <v>13</v>
          </cell>
          <cell r="P163">
            <v>1.8571428571428572</v>
          </cell>
          <cell r="Q163">
            <v>0.12962962962962962</v>
          </cell>
        </row>
        <row r="164">
          <cell r="A164">
            <v>8134</v>
          </cell>
          <cell r="B164" t="str">
            <v>ROCHEFORT SUR MER</v>
          </cell>
          <cell r="C164">
            <v>90</v>
          </cell>
          <cell r="D164">
            <v>1</v>
          </cell>
          <cell r="E164">
            <v>1</v>
          </cell>
          <cell r="F164">
            <v>9</v>
          </cell>
          <cell r="G164">
            <v>0.1</v>
          </cell>
          <cell r="H164">
            <v>18</v>
          </cell>
          <cell r="I164">
            <v>2.5714285714285716</v>
          </cell>
          <cell r="J164">
            <v>58</v>
          </cell>
          <cell r="K164">
            <v>5</v>
          </cell>
          <cell r="L164">
            <v>5</v>
          </cell>
          <cell r="M164">
            <v>13</v>
          </cell>
          <cell r="N164">
            <v>0.22413793103448276</v>
          </cell>
          <cell r="O164">
            <v>4</v>
          </cell>
          <cell r="P164">
            <v>0.5714285714285714</v>
          </cell>
          <cell r="Q164">
            <v>0.16206896551724137</v>
          </cell>
        </row>
        <row r="165">
          <cell r="A165">
            <v>8137</v>
          </cell>
          <cell r="B165" t="str">
            <v>SURGERES</v>
          </cell>
          <cell r="C165">
            <v>40</v>
          </cell>
          <cell r="D165">
            <v>0</v>
          </cell>
          <cell r="E165">
            <v>0</v>
          </cell>
          <cell r="F165">
            <v>4</v>
          </cell>
          <cell r="G165">
            <v>0.1</v>
          </cell>
          <cell r="H165">
            <v>8</v>
          </cell>
          <cell r="I165">
            <v>1.1428571428571428</v>
          </cell>
          <cell r="J165">
            <v>22</v>
          </cell>
          <cell r="K165">
            <v>0</v>
          </cell>
          <cell r="L165">
            <v>0</v>
          </cell>
          <cell r="M165">
            <v>1</v>
          </cell>
          <cell r="N165">
            <v>4.5454545454545456E-2</v>
          </cell>
          <cell r="O165">
            <v>6</v>
          </cell>
          <cell r="P165">
            <v>0.8571428571428571</v>
          </cell>
          <cell r="Q165">
            <v>7.2727272727272724E-2</v>
          </cell>
        </row>
        <row r="166">
          <cell r="A166">
            <v>8142</v>
          </cell>
          <cell r="B166" t="str">
            <v>SAINT PIERRE D'OLERON</v>
          </cell>
          <cell r="C166">
            <v>32</v>
          </cell>
          <cell r="D166">
            <v>0</v>
          </cell>
          <cell r="E166">
            <v>0</v>
          </cell>
          <cell r="F166">
            <v>2</v>
          </cell>
          <cell r="G166">
            <v>6.25E-2</v>
          </cell>
          <cell r="H166">
            <v>8</v>
          </cell>
          <cell r="I166">
            <v>1.1428571428571428</v>
          </cell>
          <cell r="J166">
            <v>22</v>
          </cell>
          <cell r="K166">
            <v>0</v>
          </cell>
          <cell r="L166">
            <v>0</v>
          </cell>
          <cell r="M166">
            <v>3</v>
          </cell>
          <cell r="N166">
            <v>0.13636363636363635</v>
          </cell>
          <cell r="O166">
            <v>4</v>
          </cell>
          <cell r="P166">
            <v>0.5714285714285714</v>
          </cell>
          <cell r="Q166">
            <v>9.9431818181818177E-2</v>
          </cell>
        </row>
        <row r="167">
          <cell r="A167">
            <v>58135</v>
          </cell>
          <cell r="B167" t="str">
            <v>Multisite SAINTES</v>
          </cell>
          <cell r="C167">
            <v>77</v>
          </cell>
          <cell r="D167">
            <v>0</v>
          </cell>
          <cell r="E167">
            <v>0</v>
          </cell>
          <cell r="F167">
            <v>8</v>
          </cell>
          <cell r="G167">
            <v>0.1038961038961039</v>
          </cell>
          <cell r="H167">
            <v>15</v>
          </cell>
          <cell r="I167">
            <v>2.1428571428571428</v>
          </cell>
          <cell r="J167">
            <v>80</v>
          </cell>
          <cell r="K167">
            <v>1</v>
          </cell>
          <cell r="L167">
            <v>1</v>
          </cell>
          <cell r="M167">
            <v>10</v>
          </cell>
          <cell r="N167">
            <v>0.125</v>
          </cell>
          <cell r="O167">
            <v>14</v>
          </cell>
          <cell r="P167">
            <v>2</v>
          </cell>
          <cell r="Q167">
            <v>0.11444805194805195</v>
          </cell>
        </row>
        <row r="168">
          <cell r="A168">
            <v>8135</v>
          </cell>
          <cell r="B168" t="str">
            <v>SAINTES</v>
          </cell>
          <cell r="C168">
            <v>43</v>
          </cell>
          <cell r="D168">
            <v>0</v>
          </cell>
          <cell r="E168">
            <v>0</v>
          </cell>
          <cell r="F168">
            <v>7</v>
          </cell>
          <cell r="G168">
            <v>0.16279069767441862</v>
          </cell>
          <cell r="H168">
            <v>6</v>
          </cell>
          <cell r="I168">
            <v>0.8571428571428571</v>
          </cell>
          <cell r="J168">
            <v>44</v>
          </cell>
          <cell r="K168">
            <v>0</v>
          </cell>
          <cell r="L168">
            <v>0</v>
          </cell>
          <cell r="M168">
            <v>6</v>
          </cell>
          <cell r="N168">
            <v>0.13636363636363635</v>
          </cell>
          <cell r="O168">
            <v>7</v>
          </cell>
          <cell r="P168">
            <v>1</v>
          </cell>
          <cell r="Q168">
            <v>0.14957716701902748</v>
          </cell>
        </row>
        <row r="169">
          <cell r="A169">
            <v>8160</v>
          </cell>
          <cell r="B169" t="str">
            <v>SAINTES RECOUVRANCE</v>
          </cell>
          <cell r="C169">
            <v>34</v>
          </cell>
          <cell r="D169">
            <v>0</v>
          </cell>
          <cell r="E169">
            <v>0</v>
          </cell>
          <cell r="F169">
            <v>1</v>
          </cell>
          <cell r="G169">
            <v>2.9411764705882353E-2</v>
          </cell>
          <cell r="H169">
            <v>9</v>
          </cell>
          <cell r="I169">
            <v>1.2857142857142858</v>
          </cell>
          <cell r="J169">
            <v>36</v>
          </cell>
          <cell r="K169">
            <v>1</v>
          </cell>
          <cell r="L169">
            <v>1</v>
          </cell>
          <cell r="M169">
            <v>4</v>
          </cell>
          <cell r="N169">
            <v>0.1111111111111111</v>
          </cell>
          <cell r="O169">
            <v>7</v>
          </cell>
          <cell r="P169">
            <v>1</v>
          </cell>
          <cell r="Q169">
            <v>7.0261437908496732E-2</v>
          </cell>
        </row>
        <row r="170">
          <cell r="A170">
            <v>8136</v>
          </cell>
          <cell r="B170" t="str">
            <v>SAINT JEAN D'ANGELY</v>
          </cell>
          <cell r="C170">
            <v>45</v>
          </cell>
          <cell r="D170">
            <v>0</v>
          </cell>
          <cell r="E170">
            <v>0</v>
          </cell>
          <cell r="F170">
            <v>3</v>
          </cell>
          <cell r="G170">
            <v>6.6666666666666666E-2</v>
          </cell>
          <cell r="H170">
            <v>11</v>
          </cell>
          <cell r="I170">
            <v>1.5714285714285714</v>
          </cell>
          <cell r="J170">
            <v>29</v>
          </cell>
          <cell r="K170">
            <v>0</v>
          </cell>
          <cell r="L170">
            <v>0</v>
          </cell>
          <cell r="M170">
            <v>4</v>
          </cell>
          <cell r="N170">
            <v>0.13793103448275862</v>
          </cell>
          <cell r="O170">
            <v>5</v>
          </cell>
          <cell r="P170">
            <v>0.7142857142857143</v>
          </cell>
          <cell r="Q170">
            <v>0.10229885057471264</v>
          </cell>
        </row>
        <row r="171">
          <cell r="A171">
            <v>8139</v>
          </cell>
          <cell r="B171" t="str">
            <v>MATHA</v>
          </cell>
          <cell r="C171">
            <v>28</v>
          </cell>
          <cell r="D171">
            <v>0</v>
          </cell>
          <cell r="E171">
            <v>0</v>
          </cell>
          <cell r="F171">
            <v>3</v>
          </cell>
          <cell r="G171">
            <v>0.10714285714285714</v>
          </cell>
          <cell r="H171">
            <v>6</v>
          </cell>
          <cell r="I171">
            <v>0.8571428571428571</v>
          </cell>
          <cell r="J171">
            <v>21</v>
          </cell>
          <cell r="K171">
            <v>0</v>
          </cell>
          <cell r="L171">
            <v>0</v>
          </cell>
          <cell r="M171">
            <v>2</v>
          </cell>
          <cell r="N171">
            <v>9.5238095238095233E-2</v>
          </cell>
          <cell r="O171">
            <v>5</v>
          </cell>
          <cell r="P171">
            <v>0.7142857142857143</v>
          </cell>
          <cell r="Q171">
            <v>0.10119047619047619</v>
          </cell>
        </row>
        <row r="172">
          <cell r="A172">
            <v>8140</v>
          </cell>
          <cell r="B172" t="str">
            <v>ROYAN</v>
          </cell>
          <cell r="C172">
            <v>98</v>
          </cell>
          <cell r="D172">
            <v>1</v>
          </cell>
          <cell r="E172">
            <v>1</v>
          </cell>
          <cell r="F172">
            <v>16</v>
          </cell>
          <cell r="G172">
            <v>0.16326530612244897</v>
          </cell>
          <cell r="H172">
            <v>13</v>
          </cell>
          <cell r="I172">
            <v>1.8571428571428572</v>
          </cell>
          <cell r="J172">
            <v>70</v>
          </cell>
          <cell r="K172">
            <v>0</v>
          </cell>
          <cell r="L172">
            <v>0</v>
          </cell>
          <cell r="M172">
            <v>8</v>
          </cell>
          <cell r="N172">
            <v>0.11428571428571428</v>
          </cell>
          <cell r="O172">
            <v>13</v>
          </cell>
          <cell r="P172">
            <v>1.8571428571428572</v>
          </cell>
          <cell r="Q172">
            <v>0.13877551020408163</v>
          </cell>
        </row>
        <row r="173">
          <cell r="A173">
            <v>43874</v>
          </cell>
          <cell r="B173" t="str">
            <v>DGA CHARENTE</v>
          </cell>
          <cell r="C173">
            <v>490</v>
          </cell>
          <cell r="D173">
            <v>1</v>
          </cell>
          <cell r="E173">
            <v>2</v>
          </cell>
          <cell r="F173">
            <v>59</v>
          </cell>
          <cell r="G173">
            <v>0.12040816326530612</v>
          </cell>
          <cell r="H173">
            <v>84</v>
          </cell>
          <cell r="I173">
            <v>12</v>
          </cell>
          <cell r="J173">
            <v>406</v>
          </cell>
          <cell r="K173">
            <v>0</v>
          </cell>
          <cell r="L173">
            <v>4</v>
          </cell>
          <cell r="M173">
            <v>50</v>
          </cell>
          <cell r="N173">
            <v>0.12315270935960591</v>
          </cell>
          <cell r="O173">
            <v>68</v>
          </cell>
          <cell r="P173">
            <v>9.7142857142857135</v>
          </cell>
          <cell r="Q173">
            <v>0.12178043631245603</v>
          </cell>
        </row>
        <row r="174">
          <cell r="A174">
            <v>55200</v>
          </cell>
          <cell r="B174" t="str">
            <v>Multisite ANGOULEME</v>
          </cell>
          <cell r="C174">
            <v>187</v>
          </cell>
          <cell r="D174">
            <v>0</v>
          </cell>
          <cell r="E174">
            <v>0</v>
          </cell>
          <cell r="F174">
            <v>25</v>
          </cell>
          <cell r="G174">
            <v>0.13368983957219252</v>
          </cell>
          <cell r="H174">
            <v>30</v>
          </cell>
          <cell r="I174">
            <v>4.2857142857142856</v>
          </cell>
          <cell r="J174">
            <v>139</v>
          </cell>
          <cell r="K174">
            <v>0</v>
          </cell>
          <cell r="L174">
            <v>0</v>
          </cell>
          <cell r="M174">
            <v>12</v>
          </cell>
          <cell r="N174">
            <v>8.6330935251798566E-2</v>
          </cell>
          <cell r="O174">
            <v>29</v>
          </cell>
          <cell r="P174">
            <v>4.1428571428571432</v>
          </cell>
          <cell r="Q174">
            <v>0.11001038741199554</v>
          </cell>
        </row>
        <row r="175">
          <cell r="A175">
            <v>5200</v>
          </cell>
          <cell r="B175" t="str">
            <v>ANGOULEME</v>
          </cell>
          <cell r="C175">
            <v>145</v>
          </cell>
          <cell r="D175">
            <v>0</v>
          </cell>
          <cell r="E175">
            <v>0</v>
          </cell>
          <cell r="F175">
            <v>19</v>
          </cell>
          <cell r="G175">
            <v>0.1310344827586207</v>
          </cell>
          <cell r="H175">
            <v>24</v>
          </cell>
          <cell r="I175">
            <v>3.4285714285714284</v>
          </cell>
          <cell r="J175">
            <v>102</v>
          </cell>
          <cell r="K175">
            <v>0</v>
          </cell>
          <cell r="L175">
            <v>0</v>
          </cell>
          <cell r="M175">
            <v>8</v>
          </cell>
          <cell r="N175">
            <v>7.8431372549019607E-2</v>
          </cell>
          <cell r="O175">
            <v>22</v>
          </cell>
          <cell r="P175">
            <v>3.1428571428571428</v>
          </cell>
          <cell r="Q175">
            <v>0.10473292765382015</v>
          </cell>
        </row>
        <row r="176">
          <cell r="A176">
            <v>5237</v>
          </cell>
          <cell r="B176" t="str">
            <v>RUELLE</v>
          </cell>
          <cell r="C176">
            <v>42</v>
          </cell>
          <cell r="D176">
            <v>0</v>
          </cell>
          <cell r="E176">
            <v>0</v>
          </cell>
          <cell r="F176">
            <v>6</v>
          </cell>
          <cell r="G176">
            <v>0.14285714285714285</v>
          </cell>
          <cell r="H176">
            <v>7</v>
          </cell>
          <cell r="I176">
            <v>1</v>
          </cell>
          <cell r="J176">
            <v>37</v>
          </cell>
          <cell r="K176">
            <v>0</v>
          </cell>
          <cell r="L176">
            <v>0</v>
          </cell>
          <cell r="M176">
            <v>4</v>
          </cell>
          <cell r="N176">
            <v>0.10810810810810811</v>
          </cell>
          <cell r="O176">
            <v>7</v>
          </cell>
          <cell r="P176">
            <v>1</v>
          </cell>
          <cell r="Q176">
            <v>0.12548262548262548</v>
          </cell>
        </row>
        <row r="177">
          <cell r="A177">
            <v>5243</v>
          </cell>
          <cell r="B177" t="str">
            <v>ANGOULEME SAINT CYBARD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</row>
        <row r="178">
          <cell r="A178">
            <v>5231</v>
          </cell>
          <cell r="B178" t="str">
            <v>BARBEZIEUX</v>
          </cell>
          <cell r="C178">
            <v>23</v>
          </cell>
          <cell r="D178">
            <v>0</v>
          </cell>
          <cell r="E178">
            <v>0</v>
          </cell>
          <cell r="F178">
            <v>3</v>
          </cell>
          <cell r="G178">
            <v>0.13043478260869565</v>
          </cell>
          <cell r="H178">
            <v>4</v>
          </cell>
          <cell r="I178">
            <v>0.5714285714285714</v>
          </cell>
          <cell r="J178">
            <v>27</v>
          </cell>
          <cell r="K178">
            <v>0</v>
          </cell>
          <cell r="L178">
            <v>0</v>
          </cell>
          <cell r="M178">
            <v>2</v>
          </cell>
          <cell r="N178">
            <v>7.407407407407407E-2</v>
          </cell>
          <cell r="O178">
            <v>6</v>
          </cell>
          <cell r="P178">
            <v>0.8571428571428571</v>
          </cell>
          <cell r="Q178">
            <v>0.10225442834138486</v>
          </cell>
        </row>
        <row r="179">
          <cell r="A179">
            <v>5234</v>
          </cell>
          <cell r="B179" t="str">
            <v>RUFFEC</v>
          </cell>
          <cell r="C179">
            <v>47</v>
          </cell>
          <cell r="D179">
            <v>0</v>
          </cell>
          <cell r="E179">
            <v>0</v>
          </cell>
          <cell r="F179">
            <v>5</v>
          </cell>
          <cell r="G179">
            <v>0.10638297872340426</v>
          </cell>
          <cell r="H179">
            <v>9</v>
          </cell>
          <cell r="I179">
            <v>1.2857142857142858</v>
          </cell>
          <cell r="J179">
            <v>37</v>
          </cell>
          <cell r="K179">
            <v>0</v>
          </cell>
          <cell r="L179">
            <v>0</v>
          </cell>
          <cell r="M179">
            <v>7</v>
          </cell>
          <cell r="N179">
            <v>0.1891891891891892</v>
          </cell>
          <cell r="O179">
            <v>4</v>
          </cell>
          <cell r="P179">
            <v>0.5714285714285714</v>
          </cell>
          <cell r="Q179">
            <v>0.14778608395629672</v>
          </cell>
        </row>
        <row r="180">
          <cell r="A180">
            <v>5236</v>
          </cell>
          <cell r="B180" t="str">
            <v>ANGOULEME VICTOR HUGO</v>
          </cell>
          <cell r="C180">
            <v>74</v>
          </cell>
          <cell r="D180">
            <v>0</v>
          </cell>
          <cell r="E180">
            <v>1</v>
          </cell>
          <cell r="F180">
            <v>9</v>
          </cell>
          <cell r="G180">
            <v>0.12162162162162163</v>
          </cell>
          <cell r="H180">
            <v>13</v>
          </cell>
          <cell r="I180">
            <v>1.8571428571428572</v>
          </cell>
          <cell r="J180">
            <v>60</v>
          </cell>
          <cell r="K180">
            <v>0</v>
          </cell>
          <cell r="L180">
            <v>3</v>
          </cell>
          <cell r="M180">
            <v>6</v>
          </cell>
          <cell r="N180">
            <v>0.1</v>
          </cell>
          <cell r="O180">
            <v>12</v>
          </cell>
          <cell r="P180">
            <v>1.7142857142857142</v>
          </cell>
          <cell r="Q180">
            <v>0.11081081081081082</v>
          </cell>
        </row>
        <row r="181">
          <cell r="A181">
            <v>58138</v>
          </cell>
          <cell r="B181" t="str">
            <v>Multisite COGNAC</v>
          </cell>
          <cell r="C181">
            <v>159</v>
          </cell>
          <cell r="D181">
            <v>1</v>
          </cell>
          <cell r="E181">
            <v>1</v>
          </cell>
          <cell r="F181">
            <v>17</v>
          </cell>
          <cell r="G181">
            <v>0.1069182389937107</v>
          </cell>
          <cell r="H181">
            <v>30</v>
          </cell>
          <cell r="I181">
            <v>4.2857142857142856</v>
          </cell>
          <cell r="J181">
            <v>143</v>
          </cell>
          <cell r="K181">
            <v>0</v>
          </cell>
          <cell r="L181">
            <v>1</v>
          </cell>
          <cell r="M181">
            <v>23</v>
          </cell>
          <cell r="N181">
            <v>0.16083916083916083</v>
          </cell>
          <cell r="O181">
            <v>19</v>
          </cell>
          <cell r="P181">
            <v>2.7142857142857144</v>
          </cell>
          <cell r="Q181">
            <v>0.13387869991643575</v>
          </cell>
        </row>
        <row r="182">
          <cell r="A182">
            <v>5232</v>
          </cell>
          <cell r="B182" t="str">
            <v>JARNAC</v>
          </cell>
          <cell r="C182">
            <v>29</v>
          </cell>
          <cell r="D182">
            <v>0</v>
          </cell>
          <cell r="E182">
            <v>0</v>
          </cell>
          <cell r="F182">
            <v>1</v>
          </cell>
          <cell r="G182">
            <v>3.4482758620689655E-2</v>
          </cell>
          <cell r="H182">
            <v>8</v>
          </cell>
          <cell r="I182">
            <v>1.1428571428571428</v>
          </cell>
          <cell r="J182">
            <v>30</v>
          </cell>
          <cell r="K182">
            <v>0</v>
          </cell>
          <cell r="L182">
            <v>0</v>
          </cell>
          <cell r="M182">
            <v>1</v>
          </cell>
          <cell r="N182">
            <v>3.3333333333333333E-2</v>
          </cell>
          <cell r="O182">
            <v>8</v>
          </cell>
          <cell r="P182">
            <v>1.1428571428571428</v>
          </cell>
          <cell r="Q182">
            <v>3.3908045977011497E-2</v>
          </cell>
        </row>
        <row r="183">
          <cell r="A183">
            <v>5240</v>
          </cell>
          <cell r="B183" t="str">
            <v>ROUILLAC</v>
          </cell>
          <cell r="C183">
            <v>24</v>
          </cell>
          <cell r="D183">
            <v>0</v>
          </cell>
          <cell r="E183">
            <v>0</v>
          </cell>
          <cell r="F183">
            <v>7</v>
          </cell>
          <cell r="G183">
            <v>0.29166666666666669</v>
          </cell>
          <cell r="H183">
            <v>0</v>
          </cell>
          <cell r="I183">
            <v>0</v>
          </cell>
          <cell r="J183">
            <v>25</v>
          </cell>
          <cell r="K183">
            <v>0</v>
          </cell>
          <cell r="L183">
            <v>0</v>
          </cell>
          <cell r="M183">
            <v>14</v>
          </cell>
          <cell r="N183">
            <v>0.44</v>
          </cell>
          <cell r="O183">
            <v>0</v>
          </cell>
          <cell r="P183">
            <v>0</v>
          </cell>
          <cell r="Q183">
            <v>0.36583333333333334</v>
          </cell>
        </row>
        <row r="184">
          <cell r="A184">
            <v>8138</v>
          </cell>
          <cell r="B184" t="str">
            <v>COGNAC</v>
          </cell>
          <cell r="C184">
            <v>106</v>
          </cell>
          <cell r="D184">
            <v>1</v>
          </cell>
          <cell r="E184">
            <v>1</v>
          </cell>
          <cell r="F184">
            <v>9</v>
          </cell>
          <cell r="G184">
            <v>8.4905660377358486E-2</v>
          </cell>
          <cell r="H184">
            <v>22</v>
          </cell>
          <cell r="I184">
            <v>3.1428571428571428</v>
          </cell>
          <cell r="J184">
            <v>88</v>
          </cell>
          <cell r="K184">
            <v>0</v>
          </cell>
          <cell r="L184">
            <v>1</v>
          </cell>
          <cell r="M184">
            <v>8</v>
          </cell>
          <cell r="N184">
            <v>9.0909090909090912E-2</v>
          </cell>
          <cell r="O184">
            <v>18</v>
          </cell>
          <cell r="P184">
            <v>2.5714285714285716</v>
          </cell>
          <cell r="Q184">
            <v>8.7907375643224706E-2</v>
          </cell>
        </row>
        <row r="185">
          <cell r="A185">
            <v>43747</v>
          </cell>
          <cell r="B185" t="str">
            <v>DGA DORDOGNE</v>
          </cell>
          <cell r="C185">
            <v>451</v>
          </cell>
          <cell r="D185">
            <v>1</v>
          </cell>
          <cell r="E185">
            <v>6</v>
          </cell>
          <cell r="F185">
            <v>35</v>
          </cell>
          <cell r="G185">
            <v>7.7605321507760533E-2</v>
          </cell>
          <cell r="H185">
            <v>96</v>
          </cell>
          <cell r="I185">
            <v>13.714285714285714</v>
          </cell>
          <cell r="J185">
            <v>292</v>
          </cell>
          <cell r="K185">
            <v>0</v>
          </cell>
          <cell r="L185">
            <v>4</v>
          </cell>
          <cell r="M185">
            <v>28</v>
          </cell>
          <cell r="N185">
            <v>9.5890410958904104E-2</v>
          </cell>
          <cell r="O185">
            <v>57</v>
          </cell>
          <cell r="P185">
            <v>8.1428571428571423</v>
          </cell>
          <cell r="Q185">
            <v>8.6747866233332319E-2</v>
          </cell>
        </row>
        <row r="186">
          <cell r="A186">
            <v>5233</v>
          </cell>
          <cell r="B186" t="str">
            <v>PERIGUEUX</v>
          </cell>
          <cell r="C186">
            <v>174</v>
          </cell>
          <cell r="D186">
            <v>0</v>
          </cell>
          <cell r="E186">
            <v>2</v>
          </cell>
          <cell r="F186">
            <v>12</v>
          </cell>
          <cell r="G186">
            <v>6.8965517241379309E-2</v>
          </cell>
          <cell r="H186">
            <v>39</v>
          </cell>
          <cell r="I186">
            <v>5.5714285714285712</v>
          </cell>
          <cell r="J186">
            <v>113</v>
          </cell>
          <cell r="K186">
            <v>0</v>
          </cell>
          <cell r="L186">
            <v>2</v>
          </cell>
          <cell r="M186">
            <v>14</v>
          </cell>
          <cell r="N186">
            <v>0.12389380530973451</v>
          </cell>
          <cell r="O186">
            <v>19</v>
          </cell>
          <cell r="P186">
            <v>2.7142857142857144</v>
          </cell>
          <cell r="Q186">
            <v>9.642966127555691E-2</v>
          </cell>
        </row>
        <row r="187">
          <cell r="A187">
            <v>55235</v>
          </cell>
          <cell r="B187" t="str">
            <v>Multisite BERGERAC</v>
          </cell>
          <cell r="C187">
            <v>173</v>
          </cell>
          <cell r="D187">
            <v>1</v>
          </cell>
          <cell r="E187">
            <v>4</v>
          </cell>
          <cell r="F187">
            <v>18</v>
          </cell>
          <cell r="G187">
            <v>0.10404624277456648</v>
          </cell>
          <cell r="H187">
            <v>33</v>
          </cell>
          <cell r="I187">
            <v>4.7142857142857144</v>
          </cell>
          <cell r="J187">
            <v>114</v>
          </cell>
          <cell r="K187">
            <v>0</v>
          </cell>
          <cell r="L187">
            <v>2</v>
          </cell>
          <cell r="M187">
            <v>12</v>
          </cell>
          <cell r="N187">
            <v>0.10526315789473684</v>
          </cell>
          <cell r="O187">
            <v>22</v>
          </cell>
          <cell r="P187">
            <v>3.1428571428571428</v>
          </cell>
          <cell r="Q187">
            <v>0.10465470033465166</v>
          </cell>
        </row>
        <row r="188">
          <cell r="A188">
            <v>1849</v>
          </cell>
          <cell r="B188" t="str">
            <v>STE FOY LA GRANDE</v>
          </cell>
          <cell r="C188">
            <v>50</v>
          </cell>
          <cell r="D188">
            <v>0</v>
          </cell>
          <cell r="E188">
            <v>2</v>
          </cell>
          <cell r="F188">
            <v>4</v>
          </cell>
          <cell r="G188">
            <v>0.08</v>
          </cell>
          <cell r="H188">
            <v>11</v>
          </cell>
          <cell r="I188">
            <v>1.5714285714285714</v>
          </cell>
          <cell r="J188">
            <v>40</v>
          </cell>
          <cell r="K188">
            <v>0</v>
          </cell>
          <cell r="L188">
            <v>0</v>
          </cell>
          <cell r="M188">
            <v>2</v>
          </cell>
          <cell r="N188">
            <v>0.05</v>
          </cell>
          <cell r="O188">
            <v>10</v>
          </cell>
          <cell r="P188">
            <v>1.4285714285714286</v>
          </cell>
          <cell r="Q188">
            <v>6.5000000000000002E-2</v>
          </cell>
        </row>
        <row r="189">
          <cell r="A189">
            <v>5235</v>
          </cell>
          <cell r="B189" t="str">
            <v>BERGERAC</v>
          </cell>
          <cell r="C189">
            <v>103</v>
          </cell>
          <cell r="D189">
            <v>0</v>
          </cell>
          <cell r="E189">
            <v>1</v>
          </cell>
          <cell r="F189">
            <v>8</v>
          </cell>
          <cell r="G189">
            <v>7.7669902912621352E-2</v>
          </cell>
          <cell r="H189">
            <v>22</v>
          </cell>
          <cell r="I189">
            <v>3.1428571428571428</v>
          </cell>
          <cell r="J189">
            <v>67</v>
          </cell>
          <cell r="K189">
            <v>0</v>
          </cell>
          <cell r="L189">
            <v>2</v>
          </cell>
          <cell r="M189">
            <v>10</v>
          </cell>
          <cell r="N189">
            <v>0.14925373134328357</v>
          </cell>
          <cell r="O189">
            <v>10</v>
          </cell>
          <cell r="P189">
            <v>1.4285714285714286</v>
          </cell>
          <cell r="Q189">
            <v>0.11346181712795246</v>
          </cell>
        </row>
        <row r="190">
          <cell r="A190">
            <v>5239</v>
          </cell>
          <cell r="B190" t="str">
            <v>MUSSIDAN</v>
          </cell>
          <cell r="C190">
            <v>20</v>
          </cell>
          <cell r="D190">
            <v>1</v>
          </cell>
          <cell r="E190">
            <v>1</v>
          </cell>
          <cell r="F190">
            <v>6</v>
          </cell>
          <cell r="G190">
            <v>0.3</v>
          </cell>
          <cell r="H190">
            <v>0</v>
          </cell>
          <cell r="I190">
            <v>0</v>
          </cell>
          <cell r="J190">
            <v>7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3</v>
          </cell>
          <cell r="P190">
            <v>0.42857142857142855</v>
          </cell>
          <cell r="Q190">
            <v>0.15</v>
          </cell>
        </row>
        <row r="191">
          <cell r="A191">
            <v>5238</v>
          </cell>
          <cell r="B191" t="str">
            <v>SARLAT</v>
          </cell>
          <cell r="C191">
            <v>52</v>
          </cell>
          <cell r="D191">
            <v>0</v>
          </cell>
          <cell r="E191">
            <v>0</v>
          </cell>
          <cell r="F191">
            <v>2</v>
          </cell>
          <cell r="G191">
            <v>3.8461538461538464E-2</v>
          </cell>
          <cell r="H191">
            <v>14</v>
          </cell>
          <cell r="I191">
            <v>2</v>
          </cell>
          <cell r="J191">
            <v>34</v>
          </cell>
          <cell r="K191">
            <v>0</v>
          </cell>
          <cell r="L191">
            <v>0</v>
          </cell>
          <cell r="M191">
            <v>1</v>
          </cell>
          <cell r="N191">
            <v>2.9411764705882353E-2</v>
          </cell>
          <cell r="O191">
            <v>9</v>
          </cell>
          <cell r="P191">
            <v>1.2857142857142858</v>
          </cell>
          <cell r="Q191">
            <v>3.3936651583710412E-2</v>
          </cell>
        </row>
        <row r="192">
          <cell r="A192">
            <v>5241</v>
          </cell>
          <cell r="B192" t="str">
            <v>NONTRON</v>
          </cell>
          <cell r="C192">
            <v>52</v>
          </cell>
          <cell r="D192">
            <v>0</v>
          </cell>
          <cell r="E192">
            <v>0</v>
          </cell>
          <cell r="F192">
            <v>3</v>
          </cell>
          <cell r="G192">
            <v>5.7692307692307696E-2</v>
          </cell>
          <cell r="H192">
            <v>13</v>
          </cell>
          <cell r="I192">
            <v>1.8571428571428572</v>
          </cell>
          <cell r="J192">
            <v>31</v>
          </cell>
          <cell r="K192">
            <v>0</v>
          </cell>
          <cell r="L192">
            <v>0</v>
          </cell>
          <cell r="M192">
            <v>1</v>
          </cell>
          <cell r="N192">
            <v>3.2258064516129031E-2</v>
          </cell>
          <cell r="O192">
            <v>8</v>
          </cell>
          <cell r="P192">
            <v>1.1428571428571428</v>
          </cell>
          <cell r="Q192">
            <v>4.4975186104218363E-2</v>
          </cell>
        </row>
        <row r="193">
          <cell r="A193">
            <v>43864</v>
          </cell>
          <cell r="B193" t="str">
            <v>DGA HT VIENNE CREUSE</v>
          </cell>
          <cell r="C193">
            <v>670</v>
          </cell>
          <cell r="D193">
            <v>1</v>
          </cell>
          <cell r="E193">
            <v>8</v>
          </cell>
          <cell r="F193">
            <v>66</v>
          </cell>
          <cell r="G193">
            <v>9.8507462686567168E-2</v>
          </cell>
          <cell r="H193">
            <v>129</v>
          </cell>
          <cell r="I193">
            <v>18.428571428571427</v>
          </cell>
          <cell r="J193">
            <v>411</v>
          </cell>
          <cell r="K193">
            <v>1</v>
          </cell>
          <cell r="L193">
            <v>4</v>
          </cell>
          <cell r="M193">
            <v>57</v>
          </cell>
          <cell r="N193">
            <v>0.13868613138686131</v>
          </cell>
          <cell r="O193">
            <v>63</v>
          </cell>
          <cell r="P193">
            <v>9</v>
          </cell>
          <cell r="Q193">
            <v>0.11859679703671425</v>
          </cell>
        </row>
        <row r="194">
          <cell r="A194">
            <v>6700</v>
          </cell>
          <cell r="B194" t="str">
            <v>LIMOGES</v>
          </cell>
          <cell r="C194">
            <v>275</v>
          </cell>
          <cell r="D194">
            <v>0</v>
          </cell>
          <cell r="E194">
            <v>5</v>
          </cell>
          <cell r="F194">
            <v>24</v>
          </cell>
          <cell r="G194">
            <v>8.727272727272728E-2</v>
          </cell>
          <cell r="H194">
            <v>56</v>
          </cell>
          <cell r="I194">
            <v>8</v>
          </cell>
          <cell r="J194">
            <v>139</v>
          </cell>
          <cell r="K194">
            <v>0</v>
          </cell>
          <cell r="L194">
            <v>1</v>
          </cell>
          <cell r="M194">
            <v>25</v>
          </cell>
          <cell r="N194">
            <v>0.17985611510791366</v>
          </cell>
          <cell r="O194">
            <v>16</v>
          </cell>
          <cell r="P194">
            <v>2.2857142857142856</v>
          </cell>
          <cell r="Q194">
            <v>0.13356442119032047</v>
          </cell>
        </row>
        <row r="195">
          <cell r="A195">
            <v>6731</v>
          </cell>
          <cell r="B195" t="str">
            <v>AUBUSSON</v>
          </cell>
          <cell r="C195">
            <v>34</v>
          </cell>
          <cell r="D195">
            <v>0</v>
          </cell>
          <cell r="E195">
            <v>0</v>
          </cell>
          <cell r="F195">
            <v>7</v>
          </cell>
          <cell r="G195">
            <v>0.20588235294117646</v>
          </cell>
          <cell r="H195">
            <v>3</v>
          </cell>
          <cell r="I195">
            <v>0.42857142857142855</v>
          </cell>
          <cell r="J195">
            <v>28</v>
          </cell>
          <cell r="K195">
            <v>1</v>
          </cell>
          <cell r="L195">
            <v>3</v>
          </cell>
          <cell r="M195">
            <v>11</v>
          </cell>
          <cell r="N195">
            <v>0.39285714285714285</v>
          </cell>
          <cell r="O195">
            <v>0</v>
          </cell>
          <cell r="P195">
            <v>0</v>
          </cell>
          <cell r="Q195">
            <v>0.29936974789915966</v>
          </cell>
        </row>
        <row r="196">
          <cell r="A196">
            <v>56733</v>
          </cell>
          <cell r="B196" t="str">
            <v>Multisite GUERET</v>
          </cell>
          <cell r="C196">
            <v>91</v>
          </cell>
          <cell r="D196">
            <v>0</v>
          </cell>
          <cell r="E196">
            <v>0</v>
          </cell>
          <cell r="F196">
            <v>13</v>
          </cell>
          <cell r="G196">
            <v>0.14285714285714285</v>
          </cell>
          <cell r="H196">
            <v>14</v>
          </cell>
          <cell r="I196">
            <v>2</v>
          </cell>
          <cell r="J196">
            <v>66</v>
          </cell>
          <cell r="K196">
            <v>0</v>
          </cell>
          <cell r="L196">
            <v>0</v>
          </cell>
          <cell r="M196">
            <v>8</v>
          </cell>
          <cell r="N196">
            <v>0.12121212121212122</v>
          </cell>
          <cell r="O196">
            <v>12</v>
          </cell>
          <cell r="P196">
            <v>1.7142857142857142</v>
          </cell>
          <cell r="Q196">
            <v>0.13203463203463203</v>
          </cell>
        </row>
        <row r="197">
          <cell r="A197">
            <v>6733</v>
          </cell>
          <cell r="B197" t="str">
            <v>GUERET</v>
          </cell>
          <cell r="C197">
            <v>55</v>
          </cell>
          <cell r="D197">
            <v>0</v>
          </cell>
          <cell r="E197">
            <v>0</v>
          </cell>
          <cell r="F197">
            <v>4</v>
          </cell>
          <cell r="G197">
            <v>7.2727272727272724E-2</v>
          </cell>
          <cell r="H197">
            <v>12</v>
          </cell>
          <cell r="I197">
            <v>1.7142857142857142</v>
          </cell>
          <cell r="J197">
            <v>43</v>
          </cell>
          <cell r="K197">
            <v>0</v>
          </cell>
          <cell r="L197">
            <v>0</v>
          </cell>
          <cell r="M197">
            <v>6</v>
          </cell>
          <cell r="N197">
            <v>0.13953488372093023</v>
          </cell>
          <cell r="O197">
            <v>7</v>
          </cell>
          <cell r="P197">
            <v>1</v>
          </cell>
          <cell r="Q197">
            <v>0.10613107822410148</v>
          </cell>
        </row>
        <row r="198">
          <cell r="A198">
            <v>6739</v>
          </cell>
          <cell r="B198" t="str">
            <v>LA SOUTERRAINE</v>
          </cell>
          <cell r="C198">
            <v>36</v>
          </cell>
          <cell r="D198">
            <v>0</v>
          </cell>
          <cell r="E198">
            <v>0</v>
          </cell>
          <cell r="F198">
            <v>9</v>
          </cell>
          <cell r="G198">
            <v>0.25</v>
          </cell>
          <cell r="H198">
            <v>2</v>
          </cell>
          <cell r="I198">
            <v>0.2857142857142857</v>
          </cell>
          <cell r="J198">
            <v>23</v>
          </cell>
          <cell r="K198">
            <v>0</v>
          </cell>
          <cell r="L198">
            <v>0</v>
          </cell>
          <cell r="M198">
            <v>2</v>
          </cell>
          <cell r="N198">
            <v>8.6956521739130432E-2</v>
          </cell>
          <cell r="O198">
            <v>5</v>
          </cell>
          <cell r="P198">
            <v>0.7142857142857143</v>
          </cell>
          <cell r="Q198">
            <v>0.16847826086956522</v>
          </cell>
        </row>
        <row r="199">
          <cell r="A199">
            <v>56734</v>
          </cell>
          <cell r="B199" t="str">
            <v>Multisite ST JUNIEN</v>
          </cell>
          <cell r="C199">
            <v>86</v>
          </cell>
          <cell r="D199">
            <v>1</v>
          </cell>
          <cell r="E199">
            <v>2</v>
          </cell>
          <cell r="F199">
            <v>13</v>
          </cell>
          <cell r="G199">
            <v>0.15116279069767441</v>
          </cell>
          <cell r="H199">
            <v>12</v>
          </cell>
          <cell r="I199">
            <v>1.7142857142857142</v>
          </cell>
          <cell r="J199">
            <v>68</v>
          </cell>
          <cell r="K199">
            <v>0</v>
          </cell>
          <cell r="L199">
            <v>0</v>
          </cell>
          <cell r="M199">
            <v>5</v>
          </cell>
          <cell r="N199">
            <v>7.3529411764705885E-2</v>
          </cell>
          <cell r="O199">
            <v>15</v>
          </cell>
          <cell r="P199">
            <v>2.1428571428571428</v>
          </cell>
          <cell r="Q199">
            <v>0.11234610123119015</v>
          </cell>
        </row>
        <row r="200">
          <cell r="A200">
            <v>6734</v>
          </cell>
          <cell r="B200" t="str">
            <v>SAINT JUNIEN</v>
          </cell>
          <cell r="C200">
            <v>41</v>
          </cell>
          <cell r="D200">
            <v>0</v>
          </cell>
          <cell r="E200">
            <v>0</v>
          </cell>
          <cell r="F200">
            <v>7</v>
          </cell>
          <cell r="G200">
            <v>0.17073170731707318</v>
          </cell>
          <cell r="H200">
            <v>5</v>
          </cell>
          <cell r="I200">
            <v>0.7142857142857143</v>
          </cell>
          <cell r="J200">
            <v>35</v>
          </cell>
          <cell r="K200">
            <v>0</v>
          </cell>
          <cell r="L200">
            <v>0</v>
          </cell>
          <cell r="M200">
            <v>4</v>
          </cell>
          <cell r="N200">
            <v>0.11428571428571428</v>
          </cell>
          <cell r="O200">
            <v>7</v>
          </cell>
          <cell r="P200">
            <v>1</v>
          </cell>
          <cell r="Q200">
            <v>0.14250871080139374</v>
          </cell>
        </row>
        <row r="201">
          <cell r="A201">
            <v>6737</v>
          </cell>
          <cell r="B201" t="str">
            <v>CONFOLENS</v>
          </cell>
          <cell r="C201">
            <v>24</v>
          </cell>
          <cell r="D201">
            <v>1</v>
          </cell>
          <cell r="E201">
            <v>1</v>
          </cell>
          <cell r="F201">
            <v>5</v>
          </cell>
          <cell r="G201">
            <v>0.20833333333333334</v>
          </cell>
          <cell r="H201">
            <v>2</v>
          </cell>
          <cell r="I201">
            <v>0.2857142857142857</v>
          </cell>
          <cell r="J201">
            <v>17</v>
          </cell>
          <cell r="K201">
            <v>0</v>
          </cell>
          <cell r="L201">
            <v>0</v>
          </cell>
          <cell r="M201">
            <v>1</v>
          </cell>
          <cell r="N201">
            <v>5.8823529411764705E-2</v>
          </cell>
          <cell r="O201">
            <v>4</v>
          </cell>
          <cell r="P201">
            <v>0.5714285714285714</v>
          </cell>
          <cell r="Q201">
            <v>0.13357843137254902</v>
          </cell>
        </row>
        <row r="202">
          <cell r="A202">
            <v>6740</v>
          </cell>
          <cell r="B202" t="str">
            <v>BELLAC</v>
          </cell>
          <cell r="C202">
            <v>21</v>
          </cell>
          <cell r="D202">
            <v>0</v>
          </cell>
          <cell r="E202">
            <v>1</v>
          </cell>
          <cell r="F202">
            <v>1</v>
          </cell>
          <cell r="G202">
            <v>4.7619047619047616E-2</v>
          </cell>
          <cell r="H202">
            <v>6</v>
          </cell>
          <cell r="I202">
            <v>0.8571428571428571</v>
          </cell>
          <cell r="J202">
            <v>16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5</v>
          </cell>
          <cell r="P202">
            <v>0.7142857142857143</v>
          </cell>
          <cell r="Q202">
            <v>2.3809523809523808E-2</v>
          </cell>
        </row>
        <row r="203">
          <cell r="A203">
            <v>56738</v>
          </cell>
          <cell r="B203" t="str">
            <v>Multisite LIMOGES PL CARMES</v>
          </cell>
          <cell r="C203">
            <v>184</v>
          </cell>
          <cell r="D203">
            <v>0</v>
          </cell>
          <cell r="E203">
            <v>1</v>
          </cell>
          <cell r="F203">
            <v>9</v>
          </cell>
          <cell r="G203">
            <v>4.8913043478260872E-2</v>
          </cell>
          <cell r="H203">
            <v>45</v>
          </cell>
          <cell r="I203">
            <v>6.4285714285714288</v>
          </cell>
          <cell r="J203">
            <v>110</v>
          </cell>
          <cell r="K203">
            <v>0</v>
          </cell>
          <cell r="L203">
            <v>0</v>
          </cell>
          <cell r="M203">
            <v>8</v>
          </cell>
          <cell r="N203">
            <v>7.2727272727272724E-2</v>
          </cell>
          <cell r="O203">
            <v>24</v>
          </cell>
          <cell r="P203">
            <v>3.4285714285714284</v>
          </cell>
          <cell r="Q203">
            <v>6.0820158102766794E-2</v>
          </cell>
        </row>
        <row r="204">
          <cell r="A204">
            <v>6738</v>
          </cell>
          <cell r="B204" t="str">
            <v>LIMOGES LES CARMES</v>
          </cell>
          <cell r="C204">
            <v>98</v>
          </cell>
          <cell r="D204">
            <v>0</v>
          </cell>
          <cell r="E204">
            <v>0</v>
          </cell>
          <cell r="F204">
            <v>6</v>
          </cell>
          <cell r="G204">
            <v>6.1224489795918366E-2</v>
          </cell>
          <cell r="H204">
            <v>23</v>
          </cell>
          <cell r="I204">
            <v>3.2857142857142856</v>
          </cell>
          <cell r="J204">
            <v>49</v>
          </cell>
          <cell r="K204">
            <v>0</v>
          </cell>
          <cell r="L204">
            <v>0</v>
          </cell>
          <cell r="M204">
            <v>6</v>
          </cell>
          <cell r="N204">
            <v>0.12244897959183673</v>
          </cell>
          <cell r="O204">
            <v>9</v>
          </cell>
          <cell r="P204">
            <v>1.2857142857142858</v>
          </cell>
          <cell r="Q204">
            <v>9.1836734693877542E-2</v>
          </cell>
        </row>
        <row r="205">
          <cell r="A205">
            <v>6743</v>
          </cell>
          <cell r="B205" t="str">
            <v>ST YRIEIX LA PERCHE</v>
          </cell>
          <cell r="C205">
            <v>29</v>
          </cell>
          <cell r="D205">
            <v>0</v>
          </cell>
          <cell r="E205">
            <v>0</v>
          </cell>
          <cell r="F205">
            <v>1</v>
          </cell>
          <cell r="G205">
            <v>3.4482758620689655E-2</v>
          </cell>
          <cell r="H205">
            <v>8</v>
          </cell>
          <cell r="I205">
            <v>1.1428571428571428</v>
          </cell>
          <cell r="J205">
            <v>22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7</v>
          </cell>
          <cell r="P205">
            <v>1</v>
          </cell>
          <cell r="Q205">
            <v>1.7241379310344827E-2</v>
          </cell>
        </row>
        <row r="206">
          <cell r="A206">
            <v>6748</v>
          </cell>
          <cell r="B206" t="str">
            <v>LIMOGES PONT NEUF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</row>
        <row r="207">
          <cell r="A207">
            <v>6750</v>
          </cell>
          <cell r="B207" t="str">
            <v>LIMOGES CARNOT</v>
          </cell>
          <cell r="C207">
            <v>57</v>
          </cell>
          <cell r="D207">
            <v>0</v>
          </cell>
          <cell r="E207">
            <v>1</v>
          </cell>
          <cell r="F207">
            <v>2</v>
          </cell>
          <cell r="G207">
            <v>3.5087719298245612E-2</v>
          </cell>
          <cell r="H207">
            <v>15</v>
          </cell>
          <cell r="I207">
            <v>2.1428571428571428</v>
          </cell>
          <cell r="J207">
            <v>39</v>
          </cell>
          <cell r="K207">
            <v>0</v>
          </cell>
          <cell r="L207">
            <v>0</v>
          </cell>
          <cell r="M207">
            <v>2</v>
          </cell>
          <cell r="N207">
            <v>5.128205128205128E-2</v>
          </cell>
          <cell r="O207">
            <v>10</v>
          </cell>
          <cell r="P207">
            <v>1.4285714285714286</v>
          </cell>
          <cell r="Q207">
            <v>4.3184885290148446E-2</v>
          </cell>
        </row>
        <row r="208">
          <cell r="A208">
            <v>43866</v>
          </cell>
          <cell r="B208" t="str">
            <v>DGA CORREZE</v>
          </cell>
          <cell r="C208">
            <v>369</v>
          </cell>
          <cell r="D208">
            <v>1</v>
          </cell>
          <cell r="E208">
            <v>5</v>
          </cell>
          <cell r="F208">
            <v>40</v>
          </cell>
          <cell r="G208">
            <v>0.10840108401084012</v>
          </cell>
          <cell r="H208">
            <v>68</v>
          </cell>
          <cell r="I208">
            <v>9.7142857142857135</v>
          </cell>
          <cell r="J208">
            <v>230</v>
          </cell>
          <cell r="K208">
            <v>0</v>
          </cell>
          <cell r="L208">
            <v>1</v>
          </cell>
          <cell r="M208">
            <v>31</v>
          </cell>
          <cell r="N208">
            <v>0.13478260869565217</v>
          </cell>
          <cell r="O208">
            <v>36</v>
          </cell>
          <cell r="P208">
            <v>5.1428571428571432</v>
          </cell>
          <cell r="Q208">
            <v>0.12159184635324614</v>
          </cell>
        </row>
        <row r="209">
          <cell r="A209">
            <v>6732</v>
          </cell>
          <cell r="B209" t="str">
            <v>BRIVE</v>
          </cell>
          <cell r="C209">
            <v>119</v>
          </cell>
          <cell r="D209">
            <v>0</v>
          </cell>
          <cell r="E209">
            <v>1</v>
          </cell>
          <cell r="F209">
            <v>12</v>
          </cell>
          <cell r="G209">
            <v>0.10084033613445378</v>
          </cell>
          <cell r="H209">
            <v>23</v>
          </cell>
          <cell r="I209">
            <v>3.2857142857142856</v>
          </cell>
          <cell r="J209">
            <v>75</v>
          </cell>
          <cell r="K209">
            <v>0</v>
          </cell>
          <cell r="L209">
            <v>0</v>
          </cell>
          <cell r="M209">
            <v>3</v>
          </cell>
          <cell r="N209">
            <v>0.04</v>
          </cell>
          <cell r="O209">
            <v>19</v>
          </cell>
          <cell r="P209">
            <v>2.7142857142857144</v>
          </cell>
          <cell r="Q209">
            <v>7.0420168067226896E-2</v>
          </cell>
        </row>
        <row r="210">
          <cell r="A210">
            <v>6735</v>
          </cell>
          <cell r="B210" t="str">
            <v>TULLE</v>
          </cell>
          <cell r="C210">
            <v>70</v>
          </cell>
          <cell r="D210">
            <v>0</v>
          </cell>
          <cell r="E210">
            <v>2</v>
          </cell>
          <cell r="F210">
            <v>11</v>
          </cell>
          <cell r="G210">
            <v>0.15714285714285714</v>
          </cell>
          <cell r="H210">
            <v>10</v>
          </cell>
          <cell r="I210">
            <v>1.4285714285714286</v>
          </cell>
          <cell r="J210">
            <v>46</v>
          </cell>
          <cell r="K210">
            <v>0</v>
          </cell>
          <cell r="L210">
            <v>1</v>
          </cell>
          <cell r="M210">
            <v>9</v>
          </cell>
          <cell r="N210">
            <v>0.19565217391304349</v>
          </cell>
          <cell r="O210">
            <v>5</v>
          </cell>
          <cell r="P210">
            <v>0.7142857142857143</v>
          </cell>
          <cell r="Q210">
            <v>0.1763975155279503</v>
          </cell>
        </row>
        <row r="211">
          <cell r="A211">
            <v>6736</v>
          </cell>
          <cell r="B211" t="str">
            <v>USSEL</v>
          </cell>
          <cell r="C211">
            <v>32</v>
          </cell>
          <cell r="D211">
            <v>1</v>
          </cell>
          <cell r="E211">
            <v>2</v>
          </cell>
          <cell r="F211">
            <v>4</v>
          </cell>
          <cell r="G211">
            <v>0.125</v>
          </cell>
          <cell r="H211">
            <v>6</v>
          </cell>
          <cell r="I211">
            <v>0.8571428571428571</v>
          </cell>
          <cell r="J211">
            <v>21</v>
          </cell>
          <cell r="K211">
            <v>0</v>
          </cell>
          <cell r="L211">
            <v>0</v>
          </cell>
          <cell r="M211">
            <v>4</v>
          </cell>
          <cell r="N211">
            <v>0.19047619047619047</v>
          </cell>
          <cell r="O211">
            <v>3</v>
          </cell>
          <cell r="P211">
            <v>0.42857142857142855</v>
          </cell>
          <cell r="Q211">
            <v>0.15773809523809523</v>
          </cell>
        </row>
        <row r="212">
          <cell r="A212">
            <v>56741</v>
          </cell>
          <cell r="B212" t="str">
            <v>Multisite OBJAT</v>
          </cell>
          <cell r="C212">
            <v>125</v>
          </cell>
          <cell r="D212">
            <v>0</v>
          </cell>
          <cell r="E212">
            <v>0</v>
          </cell>
          <cell r="F212">
            <v>10</v>
          </cell>
          <cell r="G212">
            <v>0.08</v>
          </cell>
          <cell r="H212">
            <v>27</v>
          </cell>
          <cell r="I212">
            <v>3.8571428571428572</v>
          </cell>
          <cell r="J212">
            <v>73</v>
          </cell>
          <cell r="K212">
            <v>0</v>
          </cell>
          <cell r="L212">
            <v>0</v>
          </cell>
          <cell r="M212">
            <v>13</v>
          </cell>
          <cell r="N212">
            <v>0.17808219178082191</v>
          </cell>
          <cell r="O212">
            <v>9</v>
          </cell>
          <cell r="P212">
            <v>1.2857142857142858</v>
          </cell>
          <cell r="Q212">
            <v>0.12904109589041096</v>
          </cell>
        </row>
        <row r="213">
          <cell r="A213">
            <v>6741</v>
          </cell>
          <cell r="B213" t="str">
            <v>OBJAT</v>
          </cell>
          <cell r="C213">
            <v>30</v>
          </cell>
          <cell r="D213">
            <v>0</v>
          </cell>
          <cell r="E213">
            <v>0</v>
          </cell>
          <cell r="F213">
            <v>2</v>
          </cell>
          <cell r="G213">
            <v>6.6666666666666666E-2</v>
          </cell>
          <cell r="H213">
            <v>7</v>
          </cell>
          <cell r="I213">
            <v>1</v>
          </cell>
          <cell r="J213">
            <v>21</v>
          </cell>
          <cell r="K213">
            <v>0</v>
          </cell>
          <cell r="L213">
            <v>0</v>
          </cell>
          <cell r="M213">
            <v>2</v>
          </cell>
          <cell r="N213">
            <v>9.5238095238095233E-2</v>
          </cell>
          <cell r="O213">
            <v>5</v>
          </cell>
          <cell r="P213">
            <v>0.7142857142857143</v>
          </cell>
          <cell r="Q213">
            <v>8.0952380952380942E-2</v>
          </cell>
        </row>
        <row r="214">
          <cell r="A214">
            <v>6745</v>
          </cell>
          <cell r="B214" t="str">
            <v>TERRASSON</v>
          </cell>
          <cell r="C214">
            <v>37</v>
          </cell>
          <cell r="D214">
            <v>0</v>
          </cell>
          <cell r="E214">
            <v>0</v>
          </cell>
          <cell r="F214">
            <v>4</v>
          </cell>
          <cell r="G214">
            <v>0.10810810810810811</v>
          </cell>
          <cell r="H214">
            <v>7</v>
          </cell>
          <cell r="I214">
            <v>1</v>
          </cell>
          <cell r="J214">
            <v>30</v>
          </cell>
          <cell r="K214">
            <v>0</v>
          </cell>
          <cell r="L214">
            <v>0</v>
          </cell>
          <cell r="M214">
            <v>11</v>
          </cell>
          <cell r="N214">
            <v>0.36666666666666664</v>
          </cell>
          <cell r="O214">
            <v>0</v>
          </cell>
          <cell r="P214">
            <v>0</v>
          </cell>
          <cell r="Q214">
            <v>0.23738738738738738</v>
          </cell>
        </row>
        <row r="215">
          <cell r="A215">
            <v>6751</v>
          </cell>
          <cell r="B215" t="str">
            <v>MALEMORT</v>
          </cell>
          <cell r="C215">
            <v>58</v>
          </cell>
          <cell r="D215">
            <v>0</v>
          </cell>
          <cell r="E215">
            <v>0</v>
          </cell>
          <cell r="F215">
            <v>4</v>
          </cell>
          <cell r="G215">
            <v>6.8965517241379309E-2</v>
          </cell>
          <cell r="H215">
            <v>13</v>
          </cell>
          <cell r="I215">
            <v>1.8571428571428572</v>
          </cell>
          <cell r="J215">
            <v>22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7</v>
          </cell>
          <cell r="P215">
            <v>1</v>
          </cell>
          <cell r="Q215">
            <v>3.4482758620689655E-2</v>
          </cell>
        </row>
        <row r="216">
          <cell r="A216">
            <v>6742</v>
          </cell>
          <cell r="B216" t="str">
            <v>EGLETONS</v>
          </cell>
          <cell r="C216">
            <v>23</v>
          </cell>
          <cell r="D216">
            <v>0</v>
          </cell>
          <cell r="E216">
            <v>0</v>
          </cell>
          <cell r="F216">
            <v>3</v>
          </cell>
          <cell r="G216">
            <v>0.13043478260869565</v>
          </cell>
          <cell r="H216">
            <v>4</v>
          </cell>
          <cell r="I216">
            <v>0.5714285714285714</v>
          </cell>
          <cell r="J216">
            <v>15</v>
          </cell>
          <cell r="K216">
            <v>0</v>
          </cell>
          <cell r="L216">
            <v>0</v>
          </cell>
          <cell r="M216">
            <v>2</v>
          </cell>
          <cell r="N216">
            <v>0.13333333333333333</v>
          </cell>
          <cell r="O216">
            <v>3</v>
          </cell>
          <cell r="P216">
            <v>0.42857142857142855</v>
          </cell>
          <cell r="Q216">
            <v>0.13188405797101449</v>
          </cell>
        </row>
      </sheetData>
      <sheetData sheetId="3" refreshError="1">
        <row r="1">
          <cell r="A1">
            <v>0.12720000000000001</v>
          </cell>
          <cell r="B1">
            <v>7</v>
          </cell>
          <cell r="C1">
            <v>4</v>
          </cell>
          <cell r="D1">
            <v>10</v>
          </cell>
          <cell r="E1">
            <v>11</v>
          </cell>
          <cell r="F1">
            <v>12</v>
          </cell>
          <cell r="J1">
            <v>5</v>
          </cell>
          <cell r="K1">
            <v>14</v>
          </cell>
          <cell r="L1">
            <v>15</v>
          </cell>
          <cell r="M1">
            <v>16</v>
          </cell>
        </row>
        <row r="4">
          <cell r="B4" t="str">
            <v>Du lundi 2 janvier 2018 au vendredi 30 mars 2018
Objectif 29% (plafond à 44% pour chaque critère)</v>
          </cell>
          <cell r="C4" t="str">
            <v>Animations DDR Etape 1</v>
          </cell>
          <cell r="J4" t="str">
            <v>Animations DDR Etape 1</v>
          </cell>
        </row>
        <row r="5">
          <cell r="B5" t="str">
            <v>Point de Passage (Q) Etape 1 = 12,72%</v>
          </cell>
          <cell r="C5" t="str">
            <v>Banque Principale</v>
          </cell>
          <cell r="J5" t="str">
            <v>Banque Principale</v>
          </cell>
        </row>
        <row r="6">
          <cell r="B6" t="str">
            <v>Résultats au 08/02/18</v>
          </cell>
          <cell r="C6" t="str">
            <v>Solution Conso (K€)</v>
          </cell>
          <cell r="J6" t="str">
            <v>Cartes de Paiement</v>
          </cell>
        </row>
        <row r="7">
          <cell r="A7" t="str">
            <v>Unité</v>
          </cell>
          <cell r="B7" t="str">
            <v>Libellé</v>
          </cell>
          <cell r="C7" t="str">
            <v>OBJ
Annuel</v>
          </cell>
          <cell r="D7" t="str">
            <v>Prod
Veille</v>
          </cell>
          <cell r="E7" t="str">
            <v>Prod
Sem
en cours</v>
          </cell>
          <cell r="F7" t="str">
            <v>Prod
Etape 1</v>
          </cell>
          <cell r="G7" t="str">
            <v>Taux
Etape 1</v>
          </cell>
          <cell r="H7" t="str">
            <v>RàF
Etape 1</v>
          </cell>
          <cell r="I7" t="str">
            <v>Rythme
Hebdo
Requis</v>
          </cell>
          <cell r="J7" t="str">
            <v>OBJ
Annuel</v>
          </cell>
          <cell r="K7" t="str">
            <v>Prod
Veille</v>
          </cell>
          <cell r="L7" t="str">
            <v>Prod
Sem
en cours</v>
          </cell>
          <cell r="M7" t="str">
            <v>Prod
Etape 1</v>
          </cell>
          <cell r="N7" t="str">
            <v>Taux
Etape 1</v>
          </cell>
          <cell r="O7" t="str">
            <v>RàF
Etape 1</v>
          </cell>
          <cell r="P7" t="str">
            <v>Rythme
Hebdo
Requis</v>
          </cell>
          <cell r="Q7" t="str">
            <v>Taux
Moyen
Fil Rouge 2
Etape 1</v>
          </cell>
        </row>
        <row r="8">
          <cell r="A8">
            <v>69014</v>
          </cell>
          <cell r="B8" t="str">
            <v>Banque de Proximité</v>
          </cell>
          <cell r="C8">
            <v>2549219</v>
          </cell>
          <cell r="D8">
            <v>10181.74</v>
          </cell>
          <cell r="E8">
            <v>38710.07</v>
          </cell>
          <cell r="F8">
            <v>288587.99</v>
          </cell>
          <cell r="G8">
            <v>0.11320643302909636</v>
          </cell>
          <cell r="H8">
            <v>450686</v>
          </cell>
          <cell r="I8">
            <v>64383.714285714283</v>
          </cell>
          <cell r="J8">
            <v>642700</v>
          </cell>
          <cell r="K8">
            <v>1869</v>
          </cell>
          <cell r="L8">
            <v>8375</v>
          </cell>
          <cell r="M8">
            <v>59879</v>
          </cell>
          <cell r="N8">
            <v>9.3167885483118093E-2</v>
          </cell>
          <cell r="O8">
            <v>126504</v>
          </cell>
          <cell r="P8">
            <v>18072</v>
          </cell>
          <cell r="Q8">
            <v>0.10318715925610722</v>
          </cell>
        </row>
        <row r="9">
          <cell r="A9">
            <v>43003</v>
          </cell>
          <cell r="B9" t="str">
            <v>RSO DdR du Sud Ouest</v>
          </cell>
          <cell r="C9">
            <v>200500</v>
          </cell>
          <cell r="D9">
            <v>817.65</v>
          </cell>
          <cell r="E9">
            <v>3279.56</v>
          </cell>
          <cell r="F9">
            <v>22163.01</v>
          </cell>
          <cell r="G9">
            <v>0.11053870324189526</v>
          </cell>
          <cell r="H9">
            <v>35982</v>
          </cell>
          <cell r="I9">
            <v>5140.2857142857147</v>
          </cell>
          <cell r="J9">
            <v>39918</v>
          </cell>
          <cell r="K9">
            <v>98</v>
          </cell>
          <cell r="L9">
            <v>518</v>
          </cell>
          <cell r="M9">
            <v>3689</v>
          </cell>
          <cell r="N9">
            <v>9.2414449621724529E-2</v>
          </cell>
          <cell r="O9">
            <v>7888</v>
          </cell>
          <cell r="P9">
            <v>1126.8571428571429</v>
          </cell>
          <cell r="Q9">
            <v>0.10147657643180989</v>
          </cell>
        </row>
        <row r="10">
          <cell r="A10">
            <v>43700</v>
          </cell>
          <cell r="B10" t="str">
            <v>RSO DR Gironde</v>
          </cell>
          <cell r="C10">
            <v>72800</v>
          </cell>
          <cell r="D10">
            <v>266.52999999999997</v>
          </cell>
          <cell r="E10">
            <v>936.31</v>
          </cell>
          <cell r="F10">
            <v>8546.2000000000007</v>
          </cell>
          <cell r="G10">
            <v>0.11739285714285715</v>
          </cell>
          <cell r="H10">
            <v>12566</v>
          </cell>
          <cell r="I10">
            <v>1795.1428571428571</v>
          </cell>
          <cell r="J10">
            <v>14087</v>
          </cell>
          <cell r="K10">
            <v>34</v>
          </cell>
          <cell r="L10">
            <v>170</v>
          </cell>
          <cell r="M10">
            <v>1236</v>
          </cell>
          <cell r="N10">
            <v>8.7740469936821178E-2</v>
          </cell>
          <cell r="O10">
            <v>2850</v>
          </cell>
          <cell r="P10">
            <v>407.14285714285717</v>
          </cell>
          <cell r="Q10">
            <v>0.10256666353983916</v>
          </cell>
        </row>
        <row r="11">
          <cell r="A11">
            <v>43780</v>
          </cell>
          <cell r="B11" t="str">
            <v>RSO DR Sud Aquitaine</v>
          </cell>
          <cell r="C11">
            <v>52800</v>
          </cell>
          <cell r="D11">
            <v>238.76</v>
          </cell>
          <cell r="E11">
            <v>1056.53</v>
          </cell>
          <cell r="F11">
            <v>5894.29</v>
          </cell>
          <cell r="G11">
            <v>0.1116342803030303</v>
          </cell>
          <cell r="H11">
            <v>9418</v>
          </cell>
          <cell r="I11">
            <v>1345.4285714285713</v>
          </cell>
          <cell r="J11">
            <v>10708</v>
          </cell>
          <cell r="K11">
            <v>28</v>
          </cell>
          <cell r="L11">
            <v>138</v>
          </cell>
          <cell r="M11">
            <v>949</v>
          </cell>
          <cell r="N11">
            <v>8.8625326858423614E-2</v>
          </cell>
          <cell r="O11">
            <v>2157</v>
          </cell>
          <cell r="P11">
            <v>308.14285714285717</v>
          </cell>
          <cell r="Q11">
            <v>0.10012980358072696</v>
          </cell>
        </row>
        <row r="12">
          <cell r="A12">
            <v>43801</v>
          </cell>
          <cell r="B12" t="str">
            <v>RSO DR Poitou Charentes</v>
          </cell>
          <cell r="C12">
            <v>44100</v>
          </cell>
          <cell r="D12">
            <v>197.46</v>
          </cell>
          <cell r="E12">
            <v>639.35</v>
          </cell>
          <cell r="F12">
            <v>4490.2700000000004</v>
          </cell>
          <cell r="G12">
            <v>0.1018201814058957</v>
          </cell>
          <cell r="H12">
            <v>8299</v>
          </cell>
          <cell r="I12">
            <v>1185.5714285714287</v>
          </cell>
          <cell r="J12">
            <v>9369</v>
          </cell>
          <cell r="K12">
            <v>26</v>
          </cell>
          <cell r="L12">
            <v>120</v>
          </cell>
          <cell r="M12">
            <v>915</v>
          </cell>
          <cell r="N12">
            <v>9.7662504002561643E-2</v>
          </cell>
          <cell r="O12">
            <v>1803</v>
          </cell>
          <cell r="P12">
            <v>257.57142857142856</v>
          </cell>
          <cell r="Q12">
            <v>9.9741342704228672E-2</v>
          </cell>
        </row>
        <row r="13">
          <cell r="A13">
            <v>43861</v>
          </cell>
          <cell r="B13" t="str">
            <v>RSO DR Limousin Dordogne</v>
          </cell>
          <cell r="C13">
            <v>28300</v>
          </cell>
          <cell r="D13">
            <v>114.9</v>
          </cell>
          <cell r="E13">
            <v>599.88</v>
          </cell>
          <cell r="F13">
            <v>3007.24</v>
          </cell>
          <cell r="G13">
            <v>0.10626289752650175</v>
          </cell>
          <cell r="H13">
            <v>5200</v>
          </cell>
          <cell r="I13">
            <v>742.85714285714289</v>
          </cell>
          <cell r="J13">
            <v>5215</v>
          </cell>
          <cell r="K13">
            <v>10</v>
          </cell>
          <cell r="L13">
            <v>72</v>
          </cell>
          <cell r="M13">
            <v>491</v>
          </cell>
          <cell r="N13">
            <v>9.415148609779482E-2</v>
          </cell>
          <cell r="O13">
            <v>1022</v>
          </cell>
          <cell r="P13">
            <v>146</v>
          </cell>
          <cell r="Q13">
            <v>0.10020719181214829</v>
          </cell>
        </row>
        <row r="14">
          <cell r="A14">
            <v>43703</v>
          </cell>
          <cell r="B14" t="str">
            <v>DGA BORDEAUX CENTRE</v>
          </cell>
          <cell r="C14">
            <v>18000</v>
          </cell>
          <cell r="D14">
            <v>90</v>
          </cell>
          <cell r="E14">
            <v>247.1</v>
          </cell>
          <cell r="F14">
            <v>2810.04</v>
          </cell>
          <cell r="G14">
            <v>0.15611333333333333</v>
          </cell>
          <cell r="H14">
            <v>2410</v>
          </cell>
          <cell r="I14">
            <v>344.28571428571428</v>
          </cell>
          <cell r="J14">
            <v>3547</v>
          </cell>
          <cell r="K14">
            <v>12</v>
          </cell>
          <cell r="L14">
            <v>51</v>
          </cell>
          <cell r="M14">
            <v>336</v>
          </cell>
          <cell r="N14">
            <v>9.4727939103467718E-2</v>
          </cell>
          <cell r="O14">
            <v>693</v>
          </cell>
          <cell r="P14">
            <v>99</v>
          </cell>
          <cell r="Q14">
            <v>0.12542063621840052</v>
          </cell>
        </row>
        <row r="15">
          <cell r="A15">
            <v>51800</v>
          </cell>
          <cell r="B15" t="str">
            <v>Multisite BORDEAUX</v>
          </cell>
          <cell r="C15">
            <v>7605</v>
          </cell>
          <cell r="D15">
            <v>28</v>
          </cell>
          <cell r="E15">
            <v>106.3</v>
          </cell>
          <cell r="F15">
            <v>1493.5</v>
          </cell>
          <cell r="G15">
            <v>0.19638395792241947</v>
          </cell>
          <cell r="H15">
            <v>712</v>
          </cell>
          <cell r="I15">
            <v>101.71428571428571</v>
          </cell>
          <cell r="J15">
            <v>1404</v>
          </cell>
          <cell r="K15">
            <v>3</v>
          </cell>
          <cell r="L15">
            <v>15</v>
          </cell>
          <cell r="M15">
            <v>112</v>
          </cell>
          <cell r="N15">
            <v>7.9772079772079771E-2</v>
          </cell>
          <cell r="O15">
            <v>296</v>
          </cell>
          <cell r="P15">
            <v>42.285714285714285</v>
          </cell>
          <cell r="Q15">
            <v>0.13807801884724963</v>
          </cell>
        </row>
        <row r="16">
          <cell r="A16">
            <v>1800</v>
          </cell>
          <cell r="B16" t="str">
            <v>BORDEAUX</v>
          </cell>
          <cell r="C16">
            <v>6670</v>
          </cell>
          <cell r="D16">
            <v>28</v>
          </cell>
          <cell r="E16">
            <v>106.3</v>
          </cell>
          <cell r="F16">
            <v>989.2</v>
          </cell>
          <cell r="G16">
            <v>0.14830584707646177</v>
          </cell>
          <cell r="H16">
            <v>946</v>
          </cell>
          <cell r="I16">
            <v>135.14285714285714</v>
          </cell>
          <cell r="J16">
            <v>1246</v>
          </cell>
          <cell r="K16">
            <v>3</v>
          </cell>
          <cell r="L16">
            <v>15</v>
          </cell>
          <cell r="M16">
            <v>99</v>
          </cell>
          <cell r="N16">
            <v>7.9454253611556988E-2</v>
          </cell>
          <cell r="O16">
            <v>263</v>
          </cell>
          <cell r="P16">
            <v>37.571428571428569</v>
          </cell>
          <cell r="Q16">
            <v>0.11388005034400939</v>
          </cell>
        </row>
        <row r="17">
          <cell r="A17">
            <v>1866</v>
          </cell>
          <cell r="B17" t="str">
            <v>BORDEAUX - PALAIS</v>
          </cell>
          <cell r="C17">
            <v>935</v>
          </cell>
          <cell r="D17">
            <v>0</v>
          </cell>
          <cell r="E17">
            <v>0</v>
          </cell>
          <cell r="F17">
            <v>504.3</v>
          </cell>
          <cell r="G17">
            <v>0.44</v>
          </cell>
          <cell r="H17">
            <v>0</v>
          </cell>
          <cell r="I17">
            <v>0</v>
          </cell>
          <cell r="J17">
            <v>158</v>
          </cell>
          <cell r="K17">
            <v>0</v>
          </cell>
          <cell r="L17">
            <v>0</v>
          </cell>
          <cell r="M17">
            <v>13</v>
          </cell>
          <cell r="N17">
            <v>8.2278481012658222E-2</v>
          </cell>
          <cell r="O17">
            <v>33</v>
          </cell>
          <cell r="P17">
            <v>4.7142857142857144</v>
          </cell>
          <cell r="Q17">
            <v>0.26113924050632908</v>
          </cell>
        </row>
        <row r="18">
          <cell r="A18">
            <v>1868</v>
          </cell>
          <cell r="B18" t="str">
            <v>BORDEAUX TOURNY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A19">
            <v>1802</v>
          </cell>
          <cell r="B19" t="str">
            <v>BORDEAUX MARITIME</v>
          </cell>
          <cell r="C19">
            <v>406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118</v>
          </cell>
          <cell r="I19">
            <v>16.857142857142858</v>
          </cell>
          <cell r="J19">
            <v>44</v>
          </cell>
          <cell r="K19">
            <v>0</v>
          </cell>
          <cell r="L19">
            <v>0</v>
          </cell>
          <cell r="M19">
            <v>1</v>
          </cell>
          <cell r="N19">
            <v>2.2727272727272728E-2</v>
          </cell>
          <cell r="O19">
            <v>12</v>
          </cell>
          <cell r="P19">
            <v>1.7142857142857142</v>
          </cell>
          <cell r="Q19">
            <v>1.1363636363636364E-2</v>
          </cell>
        </row>
        <row r="20">
          <cell r="A20">
            <v>51832</v>
          </cell>
          <cell r="B20" t="str">
            <v>Multisite BORDEAUX CHARTRONS</v>
          </cell>
          <cell r="C20">
            <v>3749</v>
          </cell>
          <cell r="D20">
            <v>16.5</v>
          </cell>
          <cell r="E20">
            <v>54.7</v>
          </cell>
          <cell r="F20">
            <v>484.76</v>
          </cell>
          <cell r="G20">
            <v>0.12930381435049346</v>
          </cell>
          <cell r="H20">
            <v>603</v>
          </cell>
          <cell r="I20">
            <v>86.142857142857139</v>
          </cell>
          <cell r="J20">
            <v>812</v>
          </cell>
          <cell r="K20">
            <v>4</v>
          </cell>
          <cell r="L20">
            <v>13</v>
          </cell>
          <cell r="M20">
            <v>80</v>
          </cell>
          <cell r="N20">
            <v>9.8522167487684734E-2</v>
          </cell>
          <cell r="O20">
            <v>156</v>
          </cell>
          <cell r="P20">
            <v>22.285714285714285</v>
          </cell>
          <cell r="Q20">
            <v>0.1139129909190891</v>
          </cell>
        </row>
        <row r="21">
          <cell r="A21">
            <v>1830</v>
          </cell>
          <cell r="B21" t="str">
            <v>LE BOUSCAT RAVEZIES</v>
          </cell>
          <cell r="C21">
            <v>770</v>
          </cell>
          <cell r="D21">
            <v>0</v>
          </cell>
          <cell r="E21">
            <v>25</v>
          </cell>
          <cell r="F21">
            <v>66.19</v>
          </cell>
          <cell r="G21">
            <v>8.596103896103896E-2</v>
          </cell>
          <cell r="H21">
            <v>158</v>
          </cell>
          <cell r="I21">
            <v>22.571428571428573</v>
          </cell>
          <cell r="J21">
            <v>160</v>
          </cell>
          <cell r="K21">
            <v>0</v>
          </cell>
          <cell r="L21">
            <v>3</v>
          </cell>
          <cell r="M21">
            <v>15</v>
          </cell>
          <cell r="N21">
            <v>9.375E-2</v>
          </cell>
          <cell r="O21">
            <v>32</v>
          </cell>
          <cell r="P21">
            <v>4.5714285714285712</v>
          </cell>
          <cell r="Q21">
            <v>8.985551948051948E-2</v>
          </cell>
        </row>
        <row r="22">
          <cell r="A22">
            <v>1832</v>
          </cell>
          <cell r="B22" t="str">
            <v>BORDEAUX CHARTRONS</v>
          </cell>
          <cell r="C22">
            <v>1896</v>
          </cell>
          <cell r="D22">
            <v>1.5</v>
          </cell>
          <cell r="E22">
            <v>9.6999999999999993</v>
          </cell>
          <cell r="F22">
            <v>257.68</v>
          </cell>
          <cell r="G22">
            <v>0.13590717299578059</v>
          </cell>
          <cell r="H22">
            <v>293</v>
          </cell>
          <cell r="I22">
            <v>41.857142857142854</v>
          </cell>
          <cell r="J22">
            <v>376</v>
          </cell>
          <cell r="K22">
            <v>1</v>
          </cell>
          <cell r="L22">
            <v>3</v>
          </cell>
          <cell r="M22">
            <v>34</v>
          </cell>
          <cell r="N22">
            <v>9.0425531914893623E-2</v>
          </cell>
          <cell r="O22">
            <v>76</v>
          </cell>
          <cell r="P22">
            <v>10.857142857142858</v>
          </cell>
          <cell r="Q22">
            <v>0.1131663524553371</v>
          </cell>
        </row>
        <row r="23">
          <cell r="A23">
            <v>1844</v>
          </cell>
          <cell r="B23" t="str">
            <v>BORDEAUX CITE GRAND PARC</v>
          </cell>
          <cell r="C23">
            <v>1083</v>
          </cell>
          <cell r="D23">
            <v>15</v>
          </cell>
          <cell r="E23">
            <v>20</v>
          </cell>
          <cell r="F23">
            <v>160.88999999999999</v>
          </cell>
          <cell r="G23">
            <v>0.1485595567867036</v>
          </cell>
          <cell r="H23">
            <v>154</v>
          </cell>
          <cell r="I23">
            <v>22</v>
          </cell>
          <cell r="J23">
            <v>276</v>
          </cell>
          <cell r="K23">
            <v>3</v>
          </cell>
          <cell r="L23">
            <v>7</v>
          </cell>
          <cell r="M23">
            <v>31</v>
          </cell>
          <cell r="N23">
            <v>0.11231884057971014</v>
          </cell>
          <cell r="O23">
            <v>50</v>
          </cell>
          <cell r="P23">
            <v>7.1428571428571432</v>
          </cell>
          <cell r="Q23">
            <v>0.13043919868320686</v>
          </cell>
        </row>
        <row r="24">
          <cell r="A24">
            <v>1833</v>
          </cell>
          <cell r="B24" t="str">
            <v>BORDEAUX VICTOR HUGO</v>
          </cell>
          <cell r="C24">
            <v>1697</v>
          </cell>
          <cell r="D24">
            <v>10</v>
          </cell>
          <cell r="E24">
            <v>16</v>
          </cell>
          <cell r="F24">
            <v>258.92</v>
          </cell>
          <cell r="G24">
            <v>0.1525751325869181</v>
          </cell>
          <cell r="H24">
            <v>234</v>
          </cell>
          <cell r="I24">
            <v>33.428571428571431</v>
          </cell>
          <cell r="J24">
            <v>345</v>
          </cell>
          <cell r="K24">
            <v>1</v>
          </cell>
          <cell r="L24">
            <v>3</v>
          </cell>
          <cell r="M24">
            <v>32</v>
          </cell>
          <cell r="N24">
            <v>9.2753623188405798E-2</v>
          </cell>
          <cell r="O24">
            <v>69</v>
          </cell>
          <cell r="P24">
            <v>9.8571428571428577</v>
          </cell>
          <cell r="Q24">
            <v>0.12266437788766195</v>
          </cell>
        </row>
        <row r="25">
          <cell r="A25">
            <v>1841</v>
          </cell>
          <cell r="B25" t="str">
            <v>LE BOUSCAT BARRIERE DU MEDOC</v>
          </cell>
          <cell r="C25">
            <v>1705</v>
          </cell>
          <cell r="D25">
            <v>9.5</v>
          </cell>
          <cell r="E25">
            <v>25.5</v>
          </cell>
          <cell r="F25">
            <v>146.36000000000001</v>
          </cell>
          <cell r="G25">
            <v>8.584164222873901E-2</v>
          </cell>
          <cell r="H25">
            <v>349</v>
          </cell>
          <cell r="I25">
            <v>49.857142857142854</v>
          </cell>
          <cell r="J25">
            <v>316</v>
          </cell>
          <cell r="K25">
            <v>2</v>
          </cell>
          <cell r="L25">
            <v>7</v>
          </cell>
          <cell r="M25">
            <v>34</v>
          </cell>
          <cell r="N25">
            <v>0.10759493670886076</v>
          </cell>
          <cell r="O25">
            <v>58</v>
          </cell>
          <cell r="P25">
            <v>8.2857142857142865</v>
          </cell>
          <cell r="Q25">
            <v>9.6718289468799887E-2</v>
          </cell>
        </row>
        <row r="26">
          <cell r="A26">
            <v>51847</v>
          </cell>
          <cell r="B26" t="str">
            <v>Multisite BORDEAUX VICTOIRE</v>
          </cell>
          <cell r="C26">
            <v>2839</v>
          </cell>
          <cell r="D26">
            <v>26</v>
          </cell>
          <cell r="E26">
            <v>44.6</v>
          </cell>
          <cell r="F26">
            <v>426.5</v>
          </cell>
          <cell r="G26">
            <v>0.15022895385699189</v>
          </cell>
          <cell r="H26">
            <v>397</v>
          </cell>
          <cell r="I26">
            <v>56.714285714285715</v>
          </cell>
          <cell r="J26">
            <v>658</v>
          </cell>
          <cell r="K26">
            <v>2</v>
          </cell>
          <cell r="L26">
            <v>13</v>
          </cell>
          <cell r="M26">
            <v>77</v>
          </cell>
          <cell r="N26">
            <v>0.11702127659574468</v>
          </cell>
          <cell r="O26">
            <v>114</v>
          </cell>
          <cell r="P26">
            <v>16.285714285714285</v>
          </cell>
          <cell r="Q26">
            <v>0.13362511522636827</v>
          </cell>
        </row>
        <row r="27">
          <cell r="A27">
            <v>1847</v>
          </cell>
          <cell r="B27" t="str">
            <v>BORDEAUX VICTOIRE</v>
          </cell>
          <cell r="C27">
            <v>2057</v>
          </cell>
          <cell r="D27">
            <v>10</v>
          </cell>
          <cell r="E27">
            <v>28.6</v>
          </cell>
          <cell r="F27">
            <v>329.8</v>
          </cell>
          <cell r="G27">
            <v>0.16033057851239671</v>
          </cell>
          <cell r="H27">
            <v>267</v>
          </cell>
          <cell r="I27">
            <v>38.142857142857146</v>
          </cell>
          <cell r="J27">
            <v>458</v>
          </cell>
          <cell r="K27">
            <v>2</v>
          </cell>
          <cell r="L27">
            <v>8</v>
          </cell>
          <cell r="M27">
            <v>46</v>
          </cell>
          <cell r="N27">
            <v>0.10043668122270742</v>
          </cell>
          <cell r="O27">
            <v>87</v>
          </cell>
          <cell r="P27">
            <v>12.428571428571429</v>
          </cell>
          <cell r="Q27">
            <v>0.13038362986755206</v>
          </cell>
        </row>
        <row r="28">
          <cell r="A28">
            <v>1854</v>
          </cell>
          <cell r="B28" t="str">
            <v>BORDEAUX SAINT-JEAN</v>
          </cell>
          <cell r="C28">
            <v>782</v>
          </cell>
          <cell r="D28">
            <v>16</v>
          </cell>
          <cell r="E28">
            <v>16</v>
          </cell>
          <cell r="F28">
            <v>96.7</v>
          </cell>
          <cell r="G28">
            <v>0.12365728900255755</v>
          </cell>
          <cell r="H28">
            <v>131</v>
          </cell>
          <cell r="I28">
            <v>18.714285714285715</v>
          </cell>
          <cell r="J28">
            <v>200</v>
          </cell>
          <cell r="K28">
            <v>0</v>
          </cell>
          <cell r="L28">
            <v>5</v>
          </cell>
          <cell r="M28">
            <v>31</v>
          </cell>
          <cell r="N28">
            <v>0.155</v>
          </cell>
          <cell r="O28">
            <v>27</v>
          </cell>
          <cell r="P28">
            <v>3.8571428571428572</v>
          </cell>
          <cell r="Q28">
            <v>0.13932864450127877</v>
          </cell>
        </row>
        <row r="29">
          <cell r="A29">
            <v>43711</v>
          </cell>
          <cell r="B29" t="str">
            <v>DGA MERIGNAC - MEDOC</v>
          </cell>
          <cell r="C29">
            <v>18100</v>
          </cell>
          <cell r="D29">
            <v>60</v>
          </cell>
          <cell r="E29">
            <v>216.49</v>
          </cell>
          <cell r="F29">
            <v>1829.4</v>
          </cell>
          <cell r="G29">
            <v>0.10107182320441989</v>
          </cell>
          <cell r="H29">
            <v>3420</v>
          </cell>
          <cell r="I29">
            <v>488.57142857142856</v>
          </cell>
          <cell r="J29">
            <v>3374</v>
          </cell>
          <cell r="K29">
            <v>4</v>
          </cell>
          <cell r="L29">
            <v>39</v>
          </cell>
          <cell r="M29">
            <v>299</v>
          </cell>
          <cell r="N29">
            <v>8.8618850029638416E-2</v>
          </cell>
          <cell r="O29">
            <v>680</v>
          </cell>
          <cell r="P29">
            <v>97.142857142857139</v>
          </cell>
          <cell r="Q29">
            <v>9.4845336617029152E-2</v>
          </cell>
        </row>
        <row r="30">
          <cell r="A30">
            <v>1837</v>
          </cell>
          <cell r="B30" t="str">
            <v>PAUILLAC</v>
          </cell>
          <cell r="C30">
            <v>1475</v>
          </cell>
          <cell r="D30">
            <v>18</v>
          </cell>
          <cell r="E30">
            <v>49.99</v>
          </cell>
          <cell r="F30">
            <v>134.99</v>
          </cell>
          <cell r="G30">
            <v>9.1518644067796612E-2</v>
          </cell>
          <cell r="H30">
            <v>293</v>
          </cell>
          <cell r="I30">
            <v>41.857142857142854</v>
          </cell>
          <cell r="J30">
            <v>273</v>
          </cell>
          <cell r="K30">
            <v>0</v>
          </cell>
          <cell r="L30">
            <v>6</v>
          </cell>
          <cell r="M30">
            <v>27</v>
          </cell>
          <cell r="N30">
            <v>9.8901098901098897E-2</v>
          </cell>
          <cell r="O30">
            <v>53</v>
          </cell>
          <cell r="P30">
            <v>7.5714285714285712</v>
          </cell>
          <cell r="Q30">
            <v>9.5209871484447761E-2</v>
          </cell>
        </row>
        <row r="31">
          <cell r="A31">
            <v>1840</v>
          </cell>
          <cell r="B31" t="str">
            <v>MERIGNAC</v>
          </cell>
          <cell r="C31">
            <v>3850</v>
          </cell>
          <cell r="D31">
            <v>0</v>
          </cell>
          <cell r="E31">
            <v>0</v>
          </cell>
          <cell r="F31">
            <v>354.79</v>
          </cell>
          <cell r="G31">
            <v>9.2153246753246765E-2</v>
          </cell>
          <cell r="H31">
            <v>762</v>
          </cell>
          <cell r="I31">
            <v>108.85714285714286</v>
          </cell>
          <cell r="J31">
            <v>737</v>
          </cell>
          <cell r="K31">
            <v>1</v>
          </cell>
          <cell r="L31">
            <v>9</v>
          </cell>
          <cell r="M31">
            <v>67</v>
          </cell>
          <cell r="N31">
            <v>9.0909090909090912E-2</v>
          </cell>
          <cell r="O31">
            <v>147</v>
          </cell>
          <cell r="P31">
            <v>21</v>
          </cell>
          <cell r="Q31">
            <v>9.1531168831168838E-2</v>
          </cell>
        </row>
        <row r="32">
          <cell r="A32">
            <v>1843</v>
          </cell>
          <cell r="B32" t="str">
            <v>SAINT MEDARD EN JALLES</v>
          </cell>
          <cell r="C32">
            <v>3260</v>
          </cell>
          <cell r="D32">
            <v>0</v>
          </cell>
          <cell r="E32">
            <v>64.5</v>
          </cell>
          <cell r="F32">
            <v>255.7</v>
          </cell>
          <cell r="G32">
            <v>7.8435582822085889E-2</v>
          </cell>
          <cell r="H32">
            <v>690</v>
          </cell>
          <cell r="I32">
            <v>98.571428571428569</v>
          </cell>
          <cell r="J32">
            <v>538</v>
          </cell>
          <cell r="K32">
            <v>0</v>
          </cell>
          <cell r="L32">
            <v>1</v>
          </cell>
          <cell r="M32">
            <v>31</v>
          </cell>
          <cell r="N32">
            <v>5.7620817843866169E-2</v>
          </cell>
          <cell r="O32">
            <v>126</v>
          </cell>
          <cell r="P32">
            <v>18</v>
          </cell>
          <cell r="Q32">
            <v>6.8028200332976033E-2</v>
          </cell>
        </row>
        <row r="33">
          <cell r="A33">
            <v>1850</v>
          </cell>
          <cell r="B33" t="str">
            <v>LESPARRE MEDOC</v>
          </cell>
          <cell r="C33">
            <v>2091</v>
          </cell>
          <cell r="D33">
            <v>0</v>
          </cell>
          <cell r="E33">
            <v>9</v>
          </cell>
          <cell r="F33">
            <v>151</v>
          </cell>
          <cell r="G33">
            <v>7.2214251554280254E-2</v>
          </cell>
          <cell r="H33">
            <v>456</v>
          </cell>
          <cell r="I33">
            <v>65.142857142857139</v>
          </cell>
          <cell r="J33">
            <v>399</v>
          </cell>
          <cell r="K33">
            <v>0</v>
          </cell>
          <cell r="L33">
            <v>7</v>
          </cell>
          <cell r="M33">
            <v>33</v>
          </cell>
          <cell r="N33">
            <v>8.2706766917293228E-2</v>
          </cell>
          <cell r="O33">
            <v>83</v>
          </cell>
          <cell r="P33">
            <v>11.857142857142858</v>
          </cell>
          <cell r="Q33">
            <v>7.7460509235786734E-2</v>
          </cell>
        </row>
        <row r="34">
          <cell r="A34">
            <v>51851</v>
          </cell>
          <cell r="B34" t="str">
            <v>Multisite CAUDERAN</v>
          </cell>
          <cell r="C34">
            <v>3619</v>
          </cell>
          <cell r="D34">
            <v>34</v>
          </cell>
          <cell r="E34">
            <v>43</v>
          </cell>
          <cell r="F34">
            <v>498.25</v>
          </cell>
          <cell r="G34">
            <v>0.13767615363360045</v>
          </cell>
          <cell r="H34">
            <v>552</v>
          </cell>
          <cell r="I34">
            <v>78.857142857142861</v>
          </cell>
          <cell r="J34">
            <v>691</v>
          </cell>
          <cell r="K34">
            <v>1</v>
          </cell>
          <cell r="L34">
            <v>3</v>
          </cell>
          <cell r="M34">
            <v>52</v>
          </cell>
          <cell r="N34">
            <v>7.5253256150506515E-2</v>
          </cell>
          <cell r="O34">
            <v>149</v>
          </cell>
          <cell r="P34">
            <v>21.285714285714285</v>
          </cell>
          <cell r="Q34">
            <v>0.10646470489205348</v>
          </cell>
        </row>
        <row r="35">
          <cell r="A35">
            <v>1851</v>
          </cell>
          <cell r="B35" t="str">
            <v>BORDEAUX CAUDERAN</v>
          </cell>
          <cell r="C35">
            <v>2234</v>
          </cell>
          <cell r="D35">
            <v>34</v>
          </cell>
          <cell r="E35">
            <v>34</v>
          </cell>
          <cell r="F35">
            <v>378.25</v>
          </cell>
          <cell r="G35">
            <v>0.16931512981199642</v>
          </cell>
          <cell r="H35">
            <v>270</v>
          </cell>
          <cell r="I35">
            <v>38.571428571428569</v>
          </cell>
          <cell r="J35">
            <v>417</v>
          </cell>
          <cell r="K35">
            <v>1</v>
          </cell>
          <cell r="L35">
            <v>3</v>
          </cell>
          <cell r="M35">
            <v>34</v>
          </cell>
          <cell r="N35">
            <v>8.1534772182254203E-2</v>
          </cell>
          <cell r="O35">
            <v>87</v>
          </cell>
          <cell r="P35">
            <v>12.428571428571429</v>
          </cell>
          <cell r="Q35">
            <v>0.12542495099712531</v>
          </cell>
        </row>
        <row r="36">
          <cell r="A36">
            <v>1864</v>
          </cell>
          <cell r="B36" t="str">
            <v>MERIGNAC MONDESIR</v>
          </cell>
          <cell r="C36">
            <v>1385</v>
          </cell>
          <cell r="D36">
            <v>0</v>
          </cell>
          <cell r="E36">
            <v>9</v>
          </cell>
          <cell r="F36">
            <v>120</v>
          </cell>
          <cell r="G36">
            <v>8.6642599277978335E-2</v>
          </cell>
          <cell r="H36">
            <v>282</v>
          </cell>
          <cell r="I36">
            <v>40.285714285714285</v>
          </cell>
          <cell r="J36">
            <v>274</v>
          </cell>
          <cell r="K36">
            <v>0</v>
          </cell>
          <cell r="L36">
            <v>0</v>
          </cell>
          <cell r="M36">
            <v>18</v>
          </cell>
          <cell r="N36">
            <v>6.569343065693431E-2</v>
          </cell>
          <cell r="O36">
            <v>62</v>
          </cell>
          <cell r="P36">
            <v>8.8571428571428577</v>
          </cell>
          <cell r="Q36">
            <v>7.6168014967456316E-2</v>
          </cell>
        </row>
        <row r="37">
          <cell r="A37">
            <v>1838</v>
          </cell>
          <cell r="B37" t="str">
            <v>BORDEAUX BAR JUDAIQUE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A38">
            <v>51859</v>
          </cell>
          <cell r="B38" t="str">
            <v>Multisite BRUGES</v>
          </cell>
          <cell r="C38">
            <v>3805</v>
          </cell>
          <cell r="D38">
            <v>8</v>
          </cell>
          <cell r="E38">
            <v>50</v>
          </cell>
          <cell r="F38">
            <v>434.68</v>
          </cell>
          <cell r="G38">
            <v>0.11423915900131407</v>
          </cell>
          <cell r="H38">
            <v>669</v>
          </cell>
          <cell r="I38">
            <v>95.571428571428569</v>
          </cell>
          <cell r="J38">
            <v>736</v>
          </cell>
          <cell r="K38">
            <v>2</v>
          </cell>
          <cell r="L38">
            <v>13</v>
          </cell>
          <cell r="M38">
            <v>89</v>
          </cell>
          <cell r="N38">
            <v>0.12092391304347826</v>
          </cell>
          <cell r="O38">
            <v>125</v>
          </cell>
          <cell r="P38">
            <v>17.857142857142858</v>
          </cell>
          <cell r="Q38">
            <v>0.11758153602239615</v>
          </cell>
        </row>
        <row r="39">
          <cell r="A39">
            <v>1858</v>
          </cell>
          <cell r="B39" t="str">
            <v>EYSINES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A40">
            <v>1859</v>
          </cell>
          <cell r="B40" t="str">
            <v>BRUGES</v>
          </cell>
          <cell r="C40">
            <v>1963</v>
          </cell>
          <cell r="D40">
            <v>5</v>
          </cell>
          <cell r="E40">
            <v>32</v>
          </cell>
          <cell r="F40">
            <v>235.35</v>
          </cell>
          <cell r="G40">
            <v>0.11989302088639836</v>
          </cell>
          <cell r="H40">
            <v>334</v>
          </cell>
          <cell r="I40">
            <v>47.714285714285715</v>
          </cell>
          <cell r="J40">
            <v>374</v>
          </cell>
          <cell r="K40">
            <v>1</v>
          </cell>
          <cell r="L40">
            <v>9</v>
          </cell>
          <cell r="M40">
            <v>60</v>
          </cell>
          <cell r="N40">
            <v>0.16042780748663102</v>
          </cell>
          <cell r="O40">
            <v>49</v>
          </cell>
          <cell r="P40">
            <v>7</v>
          </cell>
          <cell r="Q40">
            <v>0.1401604141865147</v>
          </cell>
        </row>
        <row r="41">
          <cell r="A41">
            <v>1860</v>
          </cell>
          <cell r="B41" t="str">
            <v>BLANQUEFORT</v>
          </cell>
          <cell r="C41">
            <v>1842</v>
          </cell>
          <cell r="D41">
            <v>3</v>
          </cell>
          <cell r="E41">
            <v>18</v>
          </cell>
          <cell r="F41">
            <v>199.33</v>
          </cell>
          <cell r="G41">
            <v>0.10821389793702497</v>
          </cell>
          <cell r="H41">
            <v>335</v>
          </cell>
          <cell r="I41">
            <v>47.857142857142854</v>
          </cell>
          <cell r="J41">
            <v>362</v>
          </cell>
          <cell r="K41">
            <v>1</v>
          </cell>
          <cell r="L41">
            <v>4</v>
          </cell>
          <cell r="M41">
            <v>29</v>
          </cell>
          <cell r="N41">
            <v>8.0110497237569064E-2</v>
          </cell>
          <cell r="O41">
            <v>76</v>
          </cell>
          <cell r="P41">
            <v>10.857142857142858</v>
          </cell>
          <cell r="Q41">
            <v>9.416219758729702E-2</v>
          </cell>
        </row>
        <row r="42">
          <cell r="A42">
            <v>43717</v>
          </cell>
          <cell r="B42" t="str">
            <v>DGA SUD GIRONDE</v>
          </cell>
          <cell r="C42">
            <v>13700</v>
          </cell>
          <cell r="D42">
            <v>71.680000000000007</v>
          </cell>
          <cell r="E42">
            <v>141.88</v>
          </cell>
          <cell r="F42">
            <v>1433.01</v>
          </cell>
          <cell r="G42">
            <v>0.1045992700729927</v>
          </cell>
          <cell r="H42">
            <v>2540</v>
          </cell>
          <cell r="I42">
            <v>362.85714285714283</v>
          </cell>
          <cell r="J42">
            <v>2863</v>
          </cell>
          <cell r="K42">
            <v>5</v>
          </cell>
          <cell r="L42">
            <v>31</v>
          </cell>
          <cell r="M42">
            <v>245</v>
          </cell>
          <cell r="N42">
            <v>8.557457212713937E-2</v>
          </cell>
          <cell r="O42">
            <v>586</v>
          </cell>
          <cell r="P42">
            <v>83.714285714285708</v>
          </cell>
          <cell r="Q42">
            <v>9.508692110006603E-2</v>
          </cell>
        </row>
        <row r="43">
          <cell r="A43">
            <v>1842</v>
          </cell>
          <cell r="B43" t="str">
            <v>BORDEAUX BARRIERE DE PESSAC</v>
          </cell>
          <cell r="C43">
            <v>1436</v>
          </cell>
          <cell r="D43">
            <v>0</v>
          </cell>
          <cell r="E43">
            <v>5</v>
          </cell>
          <cell r="F43">
            <v>48.05</v>
          </cell>
          <cell r="G43">
            <v>3.3461002785515316E-2</v>
          </cell>
          <cell r="H43">
            <v>369</v>
          </cell>
          <cell r="I43">
            <v>52.714285714285715</v>
          </cell>
          <cell r="J43">
            <v>336</v>
          </cell>
          <cell r="K43">
            <v>0</v>
          </cell>
          <cell r="L43">
            <v>2</v>
          </cell>
          <cell r="M43">
            <v>20</v>
          </cell>
          <cell r="N43">
            <v>5.9523809523809521E-2</v>
          </cell>
          <cell r="O43">
            <v>78</v>
          </cell>
          <cell r="P43">
            <v>11.142857142857142</v>
          </cell>
          <cell r="Q43">
            <v>4.6492406154662422E-2</v>
          </cell>
        </row>
        <row r="44">
          <cell r="A44">
            <v>51845</v>
          </cell>
          <cell r="B44" t="str">
            <v>Multisite PESSAC</v>
          </cell>
          <cell r="C44">
            <v>3958</v>
          </cell>
          <cell r="D44">
            <v>5</v>
          </cell>
          <cell r="E44">
            <v>58</v>
          </cell>
          <cell r="F44">
            <v>431.34</v>
          </cell>
          <cell r="G44">
            <v>0.10897928246589186</v>
          </cell>
          <cell r="H44">
            <v>717</v>
          </cell>
          <cell r="I44">
            <v>102.42857142857143</v>
          </cell>
          <cell r="J44">
            <v>739</v>
          </cell>
          <cell r="K44">
            <v>1</v>
          </cell>
          <cell r="L44">
            <v>3</v>
          </cell>
          <cell r="M44">
            <v>69</v>
          </cell>
          <cell r="N44">
            <v>9.336941813261164E-2</v>
          </cell>
          <cell r="O44">
            <v>146</v>
          </cell>
          <cell r="P44">
            <v>20.857142857142858</v>
          </cell>
          <cell r="Q44">
            <v>0.10117435029925176</v>
          </cell>
        </row>
        <row r="45">
          <cell r="A45">
            <v>1845</v>
          </cell>
          <cell r="B45" t="str">
            <v>PESSAC</v>
          </cell>
          <cell r="C45">
            <v>2713</v>
          </cell>
          <cell r="D45">
            <v>5</v>
          </cell>
          <cell r="E45">
            <v>58</v>
          </cell>
          <cell r="F45">
            <v>247.73</v>
          </cell>
          <cell r="G45">
            <v>9.1312200516033906E-2</v>
          </cell>
          <cell r="H45">
            <v>540</v>
          </cell>
          <cell r="I45">
            <v>77.142857142857139</v>
          </cell>
          <cell r="J45">
            <v>515</v>
          </cell>
          <cell r="K45">
            <v>0</v>
          </cell>
          <cell r="L45">
            <v>2</v>
          </cell>
          <cell r="M45">
            <v>50</v>
          </cell>
          <cell r="N45">
            <v>9.7087378640776698E-2</v>
          </cell>
          <cell r="O45">
            <v>100</v>
          </cell>
          <cell r="P45">
            <v>14.285714285714286</v>
          </cell>
          <cell r="Q45">
            <v>9.4199789578405302E-2</v>
          </cell>
        </row>
        <row r="46">
          <cell r="A46">
            <v>1865</v>
          </cell>
          <cell r="B46" t="str">
            <v>PESSAC ALOUETTE</v>
          </cell>
          <cell r="C46">
            <v>1245</v>
          </cell>
          <cell r="D46">
            <v>0</v>
          </cell>
          <cell r="E46">
            <v>0</v>
          </cell>
          <cell r="F46">
            <v>183.61</v>
          </cell>
          <cell r="G46">
            <v>0.14747791164658636</v>
          </cell>
          <cell r="H46">
            <v>178</v>
          </cell>
          <cell r="I46">
            <v>25.428571428571427</v>
          </cell>
          <cell r="J46">
            <v>224</v>
          </cell>
          <cell r="K46">
            <v>1</v>
          </cell>
          <cell r="L46">
            <v>1</v>
          </cell>
          <cell r="M46">
            <v>19</v>
          </cell>
          <cell r="N46">
            <v>8.4821428571428575E-2</v>
          </cell>
          <cell r="O46">
            <v>46</v>
          </cell>
          <cell r="P46">
            <v>6.5714285714285712</v>
          </cell>
          <cell r="Q46">
            <v>0.11614967010900747</v>
          </cell>
        </row>
        <row r="47">
          <cell r="A47">
            <v>1846</v>
          </cell>
          <cell r="B47" t="str">
            <v>BORDEAUX BARRIER DE TOULOUSE</v>
          </cell>
          <cell r="C47">
            <v>1375</v>
          </cell>
          <cell r="D47">
            <v>10</v>
          </cell>
          <cell r="E47">
            <v>10</v>
          </cell>
          <cell r="F47">
            <v>189</v>
          </cell>
          <cell r="G47">
            <v>0.13745454545454547</v>
          </cell>
          <cell r="H47">
            <v>210</v>
          </cell>
          <cell r="I47">
            <v>30</v>
          </cell>
          <cell r="J47">
            <v>274</v>
          </cell>
          <cell r="K47">
            <v>0</v>
          </cell>
          <cell r="L47">
            <v>6</v>
          </cell>
          <cell r="M47">
            <v>23</v>
          </cell>
          <cell r="N47">
            <v>8.3941605839416053E-2</v>
          </cell>
          <cell r="O47">
            <v>57</v>
          </cell>
          <cell r="P47">
            <v>8.1428571428571423</v>
          </cell>
          <cell r="Q47">
            <v>0.11069807564698075</v>
          </cell>
        </row>
        <row r="48">
          <cell r="A48">
            <v>51855</v>
          </cell>
          <cell r="B48" t="str">
            <v>Multisite TALENCE</v>
          </cell>
          <cell r="C48">
            <v>4943</v>
          </cell>
          <cell r="D48">
            <v>56.68</v>
          </cell>
          <cell r="E48">
            <v>62.88</v>
          </cell>
          <cell r="F48">
            <v>570.46</v>
          </cell>
          <cell r="G48">
            <v>0.11540764717782724</v>
          </cell>
          <cell r="H48">
            <v>864</v>
          </cell>
          <cell r="I48">
            <v>123.42857142857143</v>
          </cell>
          <cell r="J48">
            <v>1142</v>
          </cell>
          <cell r="K48">
            <v>3</v>
          </cell>
          <cell r="L48">
            <v>15</v>
          </cell>
          <cell r="M48">
            <v>97</v>
          </cell>
          <cell r="N48">
            <v>8.493870402802102E-2</v>
          </cell>
          <cell r="O48">
            <v>235</v>
          </cell>
          <cell r="P48">
            <v>33.571428571428569</v>
          </cell>
          <cell r="Q48">
            <v>0.10017317560292413</v>
          </cell>
        </row>
        <row r="49">
          <cell r="A49">
            <v>1855</v>
          </cell>
          <cell r="B49" t="str">
            <v>TALENCE</v>
          </cell>
          <cell r="C49">
            <v>2980</v>
          </cell>
          <cell r="D49">
            <v>30.68</v>
          </cell>
          <cell r="E49">
            <v>35.68</v>
          </cell>
          <cell r="F49">
            <v>229.16</v>
          </cell>
          <cell r="G49">
            <v>7.6899328859060395E-2</v>
          </cell>
          <cell r="H49">
            <v>636</v>
          </cell>
          <cell r="I49">
            <v>90.857142857142861</v>
          </cell>
          <cell r="J49">
            <v>765</v>
          </cell>
          <cell r="K49">
            <v>1</v>
          </cell>
          <cell r="L49">
            <v>10</v>
          </cell>
          <cell r="M49">
            <v>63</v>
          </cell>
          <cell r="N49">
            <v>8.2352941176470587E-2</v>
          </cell>
          <cell r="O49">
            <v>159</v>
          </cell>
          <cell r="P49">
            <v>22.714285714285715</v>
          </cell>
          <cell r="Q49">
            <v>7.9626135017765498E-2</v>
          </cell>
        </row>
        <row r="50">
          <cell r="A50">
            <v>1857</v>
          </cell>
          <cell r="B50" t="str">
            <v>VILLENAVE D'ORNON</v>
          </cell>
          <cell r="C50">
            <v>1963</v>
          </cell>
          <cell r="D50">
            <v>26</v>
          </cell>
          <cell r="E50">
            <v>27.2</v>
          </cell>
          <cell r="F50">
            <v>341.3</v>
          </cell>
          <cell r="G50">
            <v>0.1738665308201732</v>
          </cell>
          <cell r="H50">
            <v>228</v>
          </cell>
          <cell r="I50">
            <v>32.571428571428569</v>
          </cell>
          <cell r="J50">
            <v>377</v>
          </cell>
          <cell r="K50">
            <v>2</v>
          </cell>
          <cell r="L50">
            <v>5</v>
          </cell>
          <cell r="M50">
            <v>34</v>
          </cell>
          <cell r="N50">
            <v>9.0185676392572939E-2</v>
          </cell>
          <cell r="O50">
            <v>76</v>
          </cell>
          <cell r="P50">
            <v>10.857142857142858</v>
          </cell>
          <cell r="Q50">
            <v>0.13202610360637307</v>
          </cell>
        </row>
        <row r="51">
          <cell r="A51">
            <v>1856</v>
          </cell>
          <cell r="B51" t="str">
            <v>GRADIGNAN</v>
          </cell>
          <cell r="C51">
            <v>1988</v>
          </cell>
          <cell r="D51">
            <v>0</v>
          </cell>
          <cell r="E51">
            <v>6</v>
          </cell>
          <cell r="F51">
            <v>194.16</v>
          </cell>
          <cell r="G51">
            <v>9.7665995975855124E-2</v>
          </cell>
          <cell r="H51">
            <v>383</v>
          </cell>
          <cell r="I51">
            <v>54.714285714285715</v>
          </cell>
          <cell r="J51">
            <v>372</v>
          </cell>
          <cell r="K51">
            <v>1</v>
          </cell>
          <cell r="L51">
            <v>5</v>
          </cell>
          <cell r="M51">
            <v>36</v>
          </cell>
          <cell r="N51">
            <v>9.6774193548387094E-2</v>
          </cell>
          <cell r="O51">
            <v>72</v>
          </cell>
          <cell r="P51">
            <v>10.285714285714286</v>
          </cell>
          <cell r="Q51">
            <v>9.7220094762121109E-2</v>
          </cell>
        </row>
        <row r="52">
          <cell r="A52">
            <v>43739</v>
          </cell>
          <cell r="B52" t="str">
            <v>DGA BASSIN D'ARCACHON</v>
          </cell>
          <cell r="C52">
            <v>9200</v>
          </cell>
          <cell r="D52">
            <v>33.54</v>
          </cell>
          <cell r="E52">
            <v>157.06</v>
          </cell>
          <cell r="F52">
            <v>1107.23</v>
          </cell>
          <cell r="G52">
            <v>0.12035108695652175</v>
          </cell>
          <cell r="H52">
            <v>1561</v>
          </cell>
          <cell r="I52">
            <v>223</v>
          </cell>
          <cell r="J52">
            <v>1600</v>
          </cell>
          <cell r="K52">
            <v>7</v>
          </cell>
          <cell r="L52">
            <v>16</v>
          </cell>
          <cell r="M52">
            <v>112</v>
          </cell>
          <cell r="N52">
            <v>7.0000000000000007E-2</v>
          </cell>
          <cell r="O52">
            <v>352</v>
          </cell>
          <cell r="P52">
            <v>50.285714285714285</v>
          </cell>
          <cell r="Q52">
            <v>9.5175543478260877E-2</v>
          </cell>
        </row>
        <row r="53">
          <cell r="A53">
            <v>1831</v>
          </cell>
          <cell r="B53" t="str">
            <v>ARCACHON</v>
          </cell>
          <cell r="C53">
            <v>1841</v>
          </cell>
          <cell r="D53">
            <v>0</v>
          </cell>
          <cell r="E53">
            <v>28.42</v>
          </cell>
          <cell r="F53">
            <v>273.10000000000002</v>
          </cell>
          <cell r="G53">
            <v>0.1483432916892993</v>
          </cell>
          <cell r="H53">
            <v>261</v>
          </cell>
          <cell r="I53">
            <v>37.285714285714285</v>
          </cell>
          <cell r="J53">
            <v>344</v>
          </cell>
          <cell r="K53">
            <v>2</v>
          </cell>
          <cell r="L53">
            <v>3</v>
          </cell>
          <cell r="M53">
            <v>29</v>
          </cell>
          <cell r="N53">
            <v>8.4302325581395346E-2</v>
          </cell>
          <cell r="O53">
            <v>71</v>
          </cell>
          <cell r="P53">
            <v>10.142857142857142</v>
          </cell>
          <cell r="Q53">
            <v>0.11632280863534733</v>
          </cell>
        </row>
        <row r="54">
          <cell r="A54">
            <v>51848</v>
          </cell>
          <cell r="B54" t="str">
            <v>Multisite LA TESTE DE BUCH</v>
          </cell>
          <cell r="C54">
            <v>3860</v>
          </cell>
          <cell r="D54">
            <v>5.04</v>
          </cell>
          <cell r="E54">
            <v>79.84</v>
          </cell>
          <cell r="F54">
            <v>493.36</v>
          </cell>
          <cell r="G54">
            <v>0.12781347150259068</v>
          </cell>
          <cell r="H54">
            <v>627</v>
          </cell>
          <cell r="I54">
            <v>89.571428571428569</v>
          </cell>
          <cell r="J54">
            <v>637</v>
          </cell>
          <cell r="K54">
            <v>2</v>
          </cell>
          <cell r="L54">
            <v>6</v>
          </cell>
          <cell r="M54">
            <v>47</v>
          </cell>
          <cell r="N54">
            <v>7.378335949764521E-2</v>
          </cell>
          <cell r="O54">
            <v>138</v>
          </cell>
          <cell r="P54">
            <v>19.714285714285715</v>
          </cell>
          <cell r="Q54">
            <v>0.10079841550011795</v>
          </cell>
        </row>
        <row r="55">
          <cell r="A55">
            <v>1848</v>
          </cell>
          <cell r="B55" t="str">
            <v>LA TESTE DE BUCH</v>
          </cell>
          <cell r="C55">
            <v>2470</v>
          </cell>
          <cell r="D55">
            <v>0</v>
          </cell>
          <cell r="E55">
            <v>72.8</v>
          </cell>
          <cell r="F55">
            <v>307.2</v>
          </cell>
          <cell r="G55">
            <v>0.12437246963562752</v>
          </cell>
          <cell r="H55">
            <v>410</v>
          </cell>
          <cell r="I55">
            <v>58.571428571428569</v>
          </cell>
          <cell r="J55">
            <v>419</v>
          </cell>
          <cell r="K55">
            <v>1</v>
          </cell>
          <cell r="L55">
            <v>4</v>
          </cell>
          <cell r="M55">
            <v>29</v>
          </cell>
          <cell r="N55">
            <v>6.9212410501193311E-2</v>
          </cell>
          <cell r="O55">
            <v>93</v>
          </cell>
          <cell r="P55">
            <v>13.285714285714286</v>
          </cell>
          <cell r="Q55">
            <v>9.6792440068410424E-2</v>
          </cell>
        </row>
        <row r="56">
          <cell r="A56">
            <v>1870</v>
          </cell>
          <cell r="B56" t="str">
            <v>GUJAN MESTRAS</v>
          </cell>
          <cell r="C56">
            <v>1390</v>
          </cell>
          <cell r="D56">
            <v>5.04</v>
          </cell>
          <cell r="E56">
            <v>7.04</v>
          </cell>
          <cell r="F56">
            <v>186.16</v>
          </cell>
          <cell r="G56">
            <v>0.13392805755395684</v>
          </cell>
          <cell r="H56">
            <v>217</v>
          </cell>
          <cell r="I56">
            <v>31</v>
          </cell>
          <cell r="J56">
            <v>218</v>
          </cell>
          <cell r="K56">
            <v>1</v>
          </cell>
          <cell r="L56">
            <v>2</v>
          </cell>
          <cell r="M56">
            <v>18</v>
          </cell>
          <cell r="N56">
            <v>8.2568807339449546E-2</v>
          </cell>
          <cell r="O56">
            <v>46</v>
          </cell>
          <cell r="P56">
            <v>6.5714285714285712</v>
          </cell>
          <cell r="Q56">
            <v>0.10824843244670319</v>
          </cell>
        </row>
        <row r="57">
          <cell r="A57">
            <v>51852</v>
          </cell>
          <cell r="B57" t="str">
            <v>Multisite ANDERNOS LES BAINS</v>
          </cell>
          <cell r="C57">
            <v>3499</v>
          </cell>
          <cell r="D57">
            <v>28.5</v>
          </cell>
          <cell r="E57">
            <v>48.8</v>
          </cell>
          <cell r="F57">
            <v>340.77</v>
          </cell>
          <cell r="G57">
            <v>9.7390683052300656E-2</v>
          </cell>
          <cell r="H57">
            <v>674</v>
          </cell>
          <cell r="I57">
            <v>96.285714285714292</v>
          </cell>
          <cell r="J57">
            <v>620</v>
          </cell>
          <cell r="K57">
            <v>3</v>
          </cell>
          <cell r="L57">
            <v>7</v>
          </cell>
          <cell r="M57">
            <v>36</v>
          </cell>
          <cell r="N57">
            <v>5.8064516129032261E-2</v>
          </cell>
          <cell r="O57">
            <v>144</v>
          </cell>
          <cell r="P57">
            <v>20.571428571428573</v>
          </cell>
          <cell r="Q57">
            <v>7.7727599590666455E-2</v>
          </cell>
        </row>
        <row r="58">
          <cell r="A58">
            <v>1852</v>
          </cell>
          <cell r="B58" t="str">
            <v>ANDERNOS LES BAINS</v>
          </cell>
          <cell r="C58">
            <v>1995</v>
          </cell>
          <cell r="D58">
            <v>28.5</v>
          </cell>
          <cell r="E58">
            <v>42.1</v>
          </cell>
          <cell r="F58">
            <v>219.21</v>
          </cell>
          <cell r="G58">
            <v>0.1098796992481203</v>
          </cell>
          <cell r="H58">
            <v>360</v>
          </cell>
          <cell r="I58">
            <v>51.428571428571431</v>
          </cell>
          <cell r="J58">
            <v>365</v>
          </cell>
          <cell r="K58">
            <v>1</v>
          </cell>
          <cell r="L58">
            <v>5</v>
          </cell>
          <cell r="M58">
            <v>22</v>
          </cell>
          <cell r="N58">
            <v>6.0273972602739728E-2</v>
          </cell>
          <cell r="O58">
            <v>84</v>
          </cell>
          <cell r="P58">
            <v>12</v>
          </cell>
          <cell r="Q58">
            <v>8.5076835925430014E-2</v>
          </cell>
        </row>
        <row r="59">
          <cell r="A59">
            <v>1873</v>
          </cell>
          <cell r="B59" t="str">
            <v>BIGANOS</v>
          </cell>
          <cell r="C59">
            <v>1504</v>
          </cell>
          <cell r="D59">
            <v>0</v>
          </cell>
          <cell r="E59">
            <v>6.7</v>
          </cell>
          <cell r="F59">
            <v>121.56</v>
          </cell>
          <cell r="G59">
            <v>8.0824468085106391E-2</v>
          </cell>
          <cell r="H59">
            <v>315</v>
          </cell>
          <cell r="I59">
            <v>45</v>
          </cell>
          <cell r="J59">
            <v>255</v>
          </cell>
          <cell r="K59">
            <v>2</v>
          </cell>
          <cell r="L59">
            <v>2</v>
          </cell>
          <cell r="M59">
            <v>14</v>
          </cell>
          <cell r="N59">
            <v>5.4901960784313725E-2</v>
          </cell>
          <cell r="O59">
            <v>60</v>
          </cell>
          <cell r="P59">
            <v>8.5714285714285712</v>
          </cell>
          <cell r="Q59">
            <v>6.7863214434710051E-2</v>
          </cell>
        </row>
        <row r="60">
          <cell r="A60">
            <v>43741</v>
          </cell>
          <cell r="B60" t="str">
            <v>DGA BORDEAUX RIVE DROITE</v>
          </cell>
          <cell r="C60">
            <v>13800</v>
          </cell>
          <cell r="D60">
            <v>11.3</v>
          </cell>
          <cell r="E60">
            <v>173.77</v>
          </cell>
          <cell r="F60">
            <v>1366.52</v>
          </cell>
          <cell r="G60">
            <v>9.9023188405797102E-2</v>
          </cell>
          <cell r="H60">
            <v>2636</v>
          </cell>
          <cell r="I60">
            <v>376.57142857142856</v>
          </cell>
          <cell r="J60">
            <v>2707</v>
          </cell>
          <cell r="K60">
            <v>6</v>
          </cell>
          <cell r="L60">
            <v>33</v>
          </cell>
          <cell r="M60">
            <v>244</v>
          </cell>
          <cell r="N60">
            <v>9.0136682674547469E-2</v>
          </cell>
          <cell r="O60">
            <v>542</v>
          </cell>
          <cell r="P60">
            <v>77.428571428571431</v>
          </cell>
          <cell r="Q60">
            <v>9.4579935540172286E-2</v>
          </cell>
        </row>
        <row r="61">
          <cell r="A61">
            <v>1834</v>
          </cell>
          <cell r="B61" t="str">
            <v>LANGON</v>
          </cell>
          <cell r="C61">
            <v>2311</v>
          </cell>
          <cell r="D61">
            <v>0</v>
          </cell>
          <cell r="E61">
            <v>0</v>
          </cell>
          <cell r="F61">
            <v>125.9</v>
          </cell>
          <cell r="G61">
            <v>5.447858070099524E-2</v>
          </cell>
          <cell r="H61">
            <v>545</v>
          </cell>
          <cell r="I61">
            <v>77.857142857142861</v>
          </cell>
          <cell r="J61">
            <v>454</v>
          </cell>
          <cell r="K61">
            <v>0</v>
          </cell>
          <cell r="L61">
            <v>5</v>
          </cell>
          <cell r="M61">
            <v>39</v>
          </cell>
          <cell r="N61">
            <v>8.590308370044053E-2</v>
          </cell>
          <cell r="O61">
            <v>93</v>
          </cell>
          <cell r="P61">
            <v>13.285714285714286</v>
          </cell>
          <cell r="Q61">
            <v>7.0190832200717881E-2</v>
          </cell>
        </row>
        <row r="62">
          <cell r="A62">
            <v>51835</v>
          </cell>
          <cell r="B62" t="str">
            <v>Multisite LIBOURNE</v>
          </cell>
          <cell r="C62">
            <v>5047</v>
          </cell>
          <cell r="D62">
            <v>4.3</v>
          </cell>
          <cell r="E62">
            <v>46.27</v>
          </cell>
          <cell r="F62">
            <v>631.77</v>
          </cell>
          <cell r="G62">
            <v>0.12517733306914999</v>
          </cell>
          <cell r="H62">
            <v>832</v>
          </cell>
          <cell r="I62">
            <v>118.85714285714286</v>
          </cell>
          <cell r="J62">
            <v>966</v>
          </cell>
          <cell r="K62">
            <v>3</v>
          </cell>
          <cell r="L62">
            <v>12</v>
          </cell>
          <cell r="M62">
            <v>65</v>
          </cell>
          <cell r="N62">
            <v>6.7287784679089024E-2</v>
          </cell>
          <cell r="O62">
            <v>216</v>
          </cell>
          <cell r="P62">
            <v>30.857142857142858</v>
          </cell>
          <cell r="Q62">
            <v>9.6232558874119509E-2</v>
          </cell>
        </row>
        <row r="63">
          <cell r="A63">
            <v>1825</v>
          </cell>
          <cell r="B63" t="str">
            <v>SAINT ANDRE DE CUBZAC</v>
          </cell>
          <cell r="C63">
            <v>1709</v>
          </cell>
          <cell r="D63">
            <v>4.3</v>
          </cell>
          <cell r="E63">
            <v>9.3000000000000007</v>
          </cell>
          <cell r="F63">
            <v>174.9</v>
          </cell>
          <cell r="G63">
            <v>0.10234055002925688</v>
          </cell>
          <cell r="H63">
            <v>321</v>
          </cell>
          <cell r="I63">
            <v>45.857142857142854</v>
          </cell>
          <cell r="J63">
            <v>336</v>
          </cell>
          <cell r="K63">
            <v>0</v>
          </cell>
          <cell r="L63">
            <v>3</v>
          </cell>
          <cell r="M63">
            <v>27</v>
          </cell>
          <cell r="N63">
            <v>8.0357142857142863E-2</v>
          </cell>
          <cell r="O63">
            <v>71</v>
          </cell>
          <cell r="P63">
            <v>10.142857142857142</v>
          </cell>
          <cell r="Q63">
            <v>9.1348846443199877E-2</v>
          </cell>
        </row>
        <row r="64">
          <cell r="A64">
            <v>1835</v>
          </cell>
          <cell r="B64" t="str">
            <v>LIBOURNE</v>
          </cell>
          <cell r="C64">
            <v>3038</v>
          </cell>
          <cell r="D64">
            <v>0</v>
          </cell>
          <cell r="E64">
            <v>30.5</v>
          </cell>
          <cell r="F64">
            <v>386.3</v>
          </cell>
          <cell r="G64">
            <v>0.1271560236998025</v>
          </cell>
          <cell r="H64">
            <v>495</v>
          </cell>
          <cell r="I64">
            <v>70.714285714285708</v>
          </cell>
          <cell r="J64">
            <v>573</v>
          </cell>
          <cell r="K64">
            <v>2</v>
          </cell>
          <cell r="L64">
            <v>7</v>
          </cell>
          <cell r="M64">
            <v>31</v>
          </cell>
          <cell r="N64">
            <v>5.4101221640488653E-2</v>
          </cell>
          <cell r="O64">
            <v>136</v>
          </cell>
          <cell r="P64">
            <v>19.428571428571427</v>
          </cell>
          <cell r="Q64">
            <v>9.062862267014557E-2</v>
          </cell>
        </row>
        <row r="65">
          <cell r="A65">
            <v>1878</v>
          </cell>
          <cell r="B65" t="str">
            <v>SAINT EMILION</v>
          </cell>
          <cell r="C65">
            <v>300</v>
          </cell>
          <cell r="D65">
            <v>0</v>
          </cell>
          <cell r="E65">
            <v>6.47</v>
          </cell>
          <cell r="F65">
            <v>70.569999999999993</v>
          </cell>
          <cell r="G65">
            <v>0.23523333333333332</v>
          </cell>
          <cell r="H65">
            <v>17</v>
          </cell>
          <cell r="I65">
            <v>2.4285714285714284</v>
          </cell>
          <cell r="J65">
            <v>57</v>
          </cell>
          <cell r="K65">
            <v>1</v>
          </cell>
          <cell r="L65">
            <v>2</v>
          </cell>
          <cell r="M65">
            <v>7</v>
          </cell>
          <cell r="N65">
            <v>0.12280701754385964</v>
          </cell>
          <cell r="O65">
            <v>10</v>
          </cell>
          <cell r="P65">
            <v>1.4285714285714286</v>
          </cell>
          <cell r="Q65">
            <v>0.1790201754385965</v>
          </cell>
        </row>
        <row r="66">
          <cell r="A66">
            <v>1836</v>
          </cell>
          <cell r="B66" t="str">
            <v>BORDEAUX LA BASTIDE</v>
          </cell>
          <cell r="C66">
            <v>2315</v>
          </cell>
          <cell r="D66">
            <v>0</v>
          </cell>
          <cell r="E66">
            <v>43.2</v>
          </cell>
          <cell r="F66">
            <v>269.24</v>
          </cell>
          <cell r="G66">
            <v>0.11630237580993522</v>
          </cell>
          <cell r="H66">
            <v>403</v>
          </cell>
          <cell r="I66">
            <v>57.571428571428569</v>
          </cell>
          <cell r="J66">
            <v>477</v>
          </cell>
          <cell r="K66">
            <v>1</v>
          </cell>
          <cell r="L66">
            <v>11</v>
          </cell>
          <cell r="M66">
            <v>48</v>
          </cell>
          <cell r="N66">
            <v>0.10062893081761007</v>
          </cell>
          <cell r="O66">
            <v>91</v>
          </cell>
          <cell r="P66">
            <v>13</v>
          </cell>
          <cell r="Q66">
            <v>0.10846565331377264</v>
          </cell>
        </row>
        <row r="67">
          <cell r="A67">
            <v>51853</v>
          </cell>
          <cell r="B67" t="str">
            <v>Multisite CENON</v>
          </cell>
          <cell r="C67">
            <v>4127</v>
          </cell>
          <cell r="D67">
            <v>7</v>
          </cell>
          <cell r="E67">
            <v>84.3</v>
          </cell>
          <cell r="F67">
            <v>339.61</v>
          </cell>
          <cell r="G67">
            <v>8.2289798885388912E-2</v>
          </cell>
          <cell r="H67">
            <v>858</v>
          </cell>
          <cell r="I67">
            <v>122.57142857142857</v>
          </cell>
          <cell r="J67">
            <v>810</v>
          </cell>
          <cell r="K67">
            <v>2</v>
          </cell>
          <cell r="L67">
            <v>5</v>
          </cell>
          <cell r="M67">
            <v>92</v>
          </cell>
          <cell r="N67">
            <v>0.11358024691358025</v>
          </cell>
          <cell r="O67">
            <v>143</v>
          </cell>
          <cell r="P67">
            <v>20.428571428571427</v>
          </cell>
          <cell r="Q67">
            <v>9.7935022899484581E-2</v>
          </cell>
        </row>
        <row r="68">
          <cell r="A68">
            <v>1824</v>
          </cell>
          <cell r="B68" t="str">
            <v>AMBARES ET LAGRAVE</v>
          </cell>
          <cell r="C68">
            <v>939</v>
          </cell>
          <cell r="D68">
            <v>0</v>
          </cell>
          <cell r="E68">
            <v>0</v>
          </cell>
          <cell r="F68">
            <v>45.5</v>
          </cell>
          <cell r="G68">
            <v>4.8455804046858363E-2</v>
          </cell>
          <cell r="H68">
            <v>227</v>
          </cell>
          <cell r="I68">
            <v>32.428571428571431</v>
          </cell>
          <cell r="J68">
            <v>197</v>
          </cell>
          <cell r="K68">
            <v>0</v>
          </cell>
          <cell r="L68">
            <v>2</v>
          </cell>
          <cell r="M68">
            <v>26</v>
          </cell>
          <cell r="N68">
            <v>0.13197969543147209</v>
          </cell>
          <cell r="O68">
            <v>32</v>
          </cell>
          <cell r="P68">
            <v>4.5714285714285712</v>
          </cell>
          <cell r="Q68">
            <v>9.0217749739165229E-2</v>
          </cell>
        </row>
        <row r="69">
          <cell r="A69">
            <v>1853</v>
          </cell>
          <cell r="B69" t="str">
            <v>CENON</v>
          </cell>
          <cell r="C69">
            <v>3188</v>
          </cell>
          <cell r="D69">
            <v>7</v>
          </cell>
          <cell r="E69">
            <v>84.3</v>
          </cell>
          <cell r="F69">
            <v>294.11</v>
          </cell>
          <cell r="G69">
            <v>9.225533249686324E-2</v>
          </cell>
          <cell r="H69">
            <v>631</v>
          </cell>
          <cell r="I69">
            <v>90.142857142857139</v>
          </cell>
          <cell r="J69">
            <v>613</v>
          </cell>
          <cell r="K69">
            <v>2</v>
          </cell>
          <cell r="L69">
            <v>3</v>
          </cell>
          <cell r="M69">
            <v>66</v>
          </cell>
          <cell r="N69">
            <v>0.10766721044045677</v>
          </cell>
          <cell r="O69">
            <v>112</v>
          </cell>
          <cell r="P69">
            <v>16</v>
          </cell>
          <cell r="Q69">
            <v>9.9961271468660004E-2</v>
          </cell>
        </row>
        <row r="70">
          <cell r="A70">
            <v>43733</v>
          </cell>
          <cell r="B70" t="str">
            <v>DGA LOT ET GARONNE</v>
          </cell>
          <cell r="C70">
            <v>7480</v>
          </cell>
          <cell r="D70">
            <v>0</v>
          </cell>
          <cell r="E70">
            <v>146</v>
          </cell>
          <cell r="F70">
            <v>673.09</v>
          </cell>
          <cell r="G70">
            <v>8.9985294117647066E-2</v>
          </cell>
          <cell r="H70">
            <v>1497</v>
          </cell>
          <cell r="I70">
            <v>213.85714285714286</v>
          </cell>
          <cell r="J70">
            <v>1473</v>
          </cell>
          <cell r="K70">
            <v>3</v>
          </cell>
          <cell r="L70">
            <v>18</v>
          </cell>
          <cell r="M70">
            <v>132</v>
          </cell>
          <cell r="N70">
            <v>8.9613034623217916E-2</v>
          </cell>
          <cell r="O70">
            <v>296</v>
          </cell>
          <cell r="P70">
            <v>42.285714285714285</v>
          </cell>
          <cell r="Q70">
            <v>8.9799164370432491E-2</v>
          </cell>
        </row>
        <row r="71">
          <cell r="A71">
            <v>51200</v>
          </cell>
          <cell r="B71" t="str">
            <v>Multisite AGEN</v>
          </cell>
          <cell r="C71">
            <v>3963</v>
          </cell>
          <cell r="D71">
            <v>0</v>
          </cell>
          <cell r="E71">
            <v>80.73</v>
          </cell>
          <cell r="F71">
            <v>380.63</v>
          </cell>
          <cell r="G71">
            <v>9.6045924804441074E-2</v>
          </cell>
          <cell r="H71">
            <v>769</v>
          </cell>
          <cell r="I71">
            <v>109.85714285714286</v>
          </cell>
          <cell r="J71">
            <v>794</v>
          </cell>
          <cell r="K71">
            <v>1</v>
          </cell>
          <cell r="L71">
            <v>12</v>
          </cell>
          <cell r="M71">
            <v>78</v>
          </cell>
          <cell r="N71">
            <v>9.8236775818639793E-2</v>
          </cell>
          <cell r="O71">
            <v>153</v>
          </cell>
          <cell r="P71">
            <v>21.857142857142858</v>
          </cell>
          <cell r="Q71">
            <v>9.7141350311540434E-2</v>
          </cell>
        </row>
        <row r="72">
          <cell r="A72">
            <v>1200</v>
          </cell>
          <cell r="B72" t="str">
            <v>AGEN</v>
          </cell>
          <cell r="C72">
            <v>1802</v>
          </cell>
          <cell r="D72">
            <v>0</v>
          </cell>
          <cell r="E72">
            <v>41.5</v>
          </cell>
          <cell r="F72">
            <v>122.81</v>
          </cell>
          <cell r="G72">
            <v>6.815205327413984E-2</v>
          </cell>
          <cell r="H72">
            <v>400</v>
          </cell>
          <cell r="I72">
            <v>57.142857142857146</v>
          </cell>
          <cell r="J72">
            <v>351</v>
          </cell>
          <cell r="K72">
            <v>1</v>
          </cell>
          <cell r="L72">
            <v>6</v>
          </cell>
          <cell r="M72">
            <v>34</v>
          </cell>
          <cell r="N72">
            <v>9.686609686609686E-2</v>
          </cell>
          <cell r="O72">
            <v>68</v>
          </cell>
          <cell r="P72">
            <v>9.7142857142857135</v>
          </cell>
          <cell r="Q72">
            <v>8.2509075070118343E-2</v>
          </cell>
        </row>
        <row r="73">
          <cell r="A73">
            <v>1236</v>
          </cell>
          <cell r="B73" t="str">
            <v>AGEN QUARTIER DE LA PORTE DU PIN</v>
          </cell>
          <cell r="C73">
            <v>934</v>
          </cell>
          <cell r="D73">
            <v>0</v>
          </cell>
          <cell r="E73">
            <v>1.2</v>
          </cell>
          <cell r="F73">
            <v>137.97999999999999</v>
          </cell>
          <cell r="G73">
            <v>0.14773019271948606</v>
          </cell>
          <cell r="H73">
            <v>133</v>
          </cell>
          <cell r="I73">
            <v>19</v>
          </cell>
          <cell r="J73">
            <v>190</v>
          </cell>
          <cell r="K73">
            <v>0</v>
          </cell>
          <cell r="L73">
            <v>1</v>
          </cell>
          <cell r="M73">
            <v>17</v>
          </cell>
          <cell r="N73">
            <v>8.9473684210526316E-2</v>
          </cell>
          <cell r="O73">
            <v>39</v>
          </cell>
          <cell r="P73">
            <v>5.5714285714285712</v>
          </cell>
          <cell r="Q73">
            <v>0.11860193846500619</v>
          </cell>
        </row>
        <row r="74">
          <cell r="A74">
            <v>1237</v>
          </cell>
          <cell r="B74" t="str">
            <v>NERAC</v>
          </cell>
          <cell r="C74">
            <v>557</v>
          </cell>
          <cell r="D74">
            <v>0</v>
          </cell>
          <cell r="E74">
            <v>19.03</v>
          </cell>
          <cell r="F74">
            <v>45.74</v>
          </cell>
          <cell r="G74">
            <v>8.2118491921005385E-2</v>
          </cell>
          <cell r="H74">
            <v>116</v>
          </cell>
          <cell r="I74">
            <v>16.571428571428573</v>
          </cell>
          <cell r="J74">
            <v>119</v>
          </cell>
          <cell r="K74">
            <v>0</v>
          </cell>
          <cell r="L74">
            <v>2</v>
          </cell>
          <cell r="M74">
            <v>17</v>
          </cell>
          <cell r="N74">
            <v>0.14285714285714285</v>
          </cell>
          <cell r="O74">
            <v>18</v>
          </cell>
          <cell r="P74">
            <v>2.5714285714285716</v>
          </cell>
          <cell r="Q74">
            <v>0.11248781738907412</v>
          </cell>
        </row>
        <row r="75">
          <cell r="A75">
            <v>1240</v>
          </cell>
          <cell r="B75" t="str">
            <v>LE PASSAGE D'AGEN</v>
          </cell>
          <cell r="C75">
            <v>670</v>
          </cell>
          <cell r="D75">
            <v>0</v>
          </cell>
          <cell r="E75">
            <v>19</v>
          </cell>
          <cell r="F75">
            <v>74.099999999999994</v>
          </cell>
          <cell r="G75">
            <v>0.11059701492537313</v>
          </cell>
          <cell r="H75">
            <v>121</v>
          </cell>
          <cell r="I75">
            <v>17.285714285714285</v>
          </cell>
          <cell r="J75">
            <v>134</v>
          </cell>
          <cell r="K75">
            <v>0</v>
          </cell>
          <cell r="L75">
            <v>3</v>
          </cell>
          <cell r="M75">
            <v>10</v>
          </cell>
          <cell r="N75">
            <v>7.4626865671641784E-2</v>
          </cell>
          <cell r="O75">
            <v>29</v>
          </cell>
          <cell r="P75">
            <v>4.1428571428571432</v>
          </cell>
          <cell r="Q75">
            <v>9.2611940298507459E-2</v>
          </cell>
        </row>
        <row r="76">
          <cell r="A76">
            <v>51232</v>
          </cell>
          <cell r="B76" t="str">
            <v>Multisite MARMANDE</v>
          </cell>
          <cell r="C76">
            <v>1957</v>
          </cell>
          <cell r="D76">
            <v>0</v>
          </cell>
          <cell r="E76">
            <v>53.28</v>
          </cell>
          <cell r="F76">
            <v>179.09</v>
          </cell>
          <cell r="G76">
            <v>9.1512519161982622E-2</v>
          </cell>
          <cell r="H76">
            <v>389</v>
          </cell>
          <cell r="I76">
            <v>55.571428571428569</v>
          </cell>
          <cell r="J76">
            <v>395</v>
          </cell>
          <cell r="K76">
            <v>2</v>
          </cell>
          <cell r="L76">
            <v>4</v>
          </cell>
          <cell r="M76">
            <v>33</v>
          </cell>
          <cell r="N76">
            <v>8.3544303797468356E-2</v>
          </cell>
          <cell r="O76">
            <v>82</v>
          </cell>
          <cell r="P76">
            <v>11.714285714285714</v>
          </cell>
          <cell r="Q76">
            <v>8.7528411479725482E-2</v>
          </cell>
        </row>
        <row r="77">
          <cell r="A77">
            <v>1232</v>
          </cell>
          <cell r="B77" t="str">
            <v>MARMANDE</v>
          </cell>
          <cell r="C77">
            <v>1409</v>
          </cell>
          <cell r="D77">
            <v>0</v>
          </cell>
          <cell r="E77">
            <v>40.08</v>
          </cell>
          <cell r="F77">
            <v>109.13</v>
          </cell>
          <cell r="G77">
            <v>7.7452093683463452E-2</v>
          </cell>
          <cell r="H77">
            <v>300</v>
          </cell>
          <cell r="I77">
            <v>42.857142857142854</v>
          </cell>
          <cell r="J77">
            <v>282</v>
          </cell>
          <cell r="K77">
            <v>1</v>
          </cell>
          <cell r="L77">
            <v>3</v>
          </cell>
          <cell r="M77">
            <v>22</v>
          </cell>
          <cell r="N77">
            <v>7.8014184397163122E-2</v>
          </cell>
          <cell r="O77">
            <v>60</v>
          </cell>
          <cell r="P77">
            <v>8.5714285714285712</v>
          </cell>
          <cell r="Q77">
            <v>7.7733139040313287E-2</v>
          </cell>
        </row>
        <row r="78">
          <cell r="A78">
            <v>1239</v>
          </cell>
          <cell r="B78" t="str">
            <v>TONNEINS</v>
          </cell>
          <cell r="C78">
            <v>548</v>
          </cell>
          <cell r="D78">
            <v>0</v>
          </cell>
          <cell r="E78">
            <v>13.2</v>
          </cell>
          <cell r="F78">
            <v>69.959999999999994</v>
          </cell>
          <cell r="G78">
            <v>0.12766423357664233</v>
          </cell>
          <cell r="H78">
            <v>89</v>
          </cell>
          <cell r="I78">
            <v>12.714285714285714</v>
          </cell>
          <cell r="J78">
            <v>113</v>
          </cell>
          <cell r="K78">
            <v>1</v>
          </cell>
          <cell r="L78">
            <v>1</v>
          </cell>
          <cell r="M78">
            <v>11</v>
          </cell>
          <cell r="N78">
            <v>9.7345132743362831E-2</v>
          </cell>
          <cell r="O78">
            <v>22</v>
          </cell>
          <cell r="P78">
            <v>3.1428571428571428</v>
          </cell>
          <cell r="Q78">
            <v>0.11250468316000259</v>
          </cell>
        </row>
        <row r="79">
          <cell r="A79">
            <v>1235</v>
          </cell>
          <cell r="B79" t="str">
            <v>VILLENEUVE SUR LOT</v>
          </cell>
          <cell r="C79">
            <v>1560</v>
          </cell>
          <cell r="D79">
            <v>0</v>
          </cell>
          <cell r="E79">
            <v>12</v>
          </cell>
          <cell r="F79">
            <v>113.37</v>
          </cell>
          <cell r="G79">
            <v>7.2673076923076924E-2</v>
          </cell>
          <cell r="H79">
            <v>340</v>
          </cell>
          <cell r="I79">
            <v>48.571428571428569</v>
          </cell>
          <cell r="J79">
            <v>284</v>
          </cell>
          <cell r="K79">
            <v>0</v>
          </cell>
          <cell r="L79">
            <v>2</v>
          </cell>
          <cell r="M79">
            <v>21</v>
          </cell>
          <cell r="N79">
            <v>7.3943661971830985E-2</v>
          </cell>
          <cell r="O79">
            <v>62</v>
          </cell>
          <cell r="P79">
            <v>8.8571428571428577</v>
          </cell>
          <cell r="Q79">
            <v>7.3308369447453947E-2</v>
          </cell>
        </row>
        <row r="80">
          <cell r="A80">
            <v>43763</v>
          </cell>
          <cell r="B80" t="str">
            <v>DGA LANDES NORD</v>
          </cell>
          <cell r="C80">
            <v>9110</v>
          </cell>
          <cell r="D80">
            <v>62.05</v>
          </cell>
          <cell r="E80">
            <v>201.99</v>
          </cell>
          <cell r="F80">
            <v>938.19</v>
          </cell>
          <cell r="G80">
            <v>0.10298463227222833</v>
          </cell>
          <cell r="H80">
            <v>1704</v>
          </cell>
          <cell r="I80">
            <v>243.42857142857142</v>
          </cell>
          <cell r="J80">
            <v>1679</v>
          </cell>
          <cell r="K80">
            <v>6</v>
          </cell>
          <cell r="L80">
            <v>25</v>
          </cell>
          <cell r="M80">
            <v>164</v>
          </cell>
          <cell r="N80">
            <v>9.7677188802858847E-2</v>
          </cell>
          <cell r="O80">
            <v>323</v>
          </cell>
          <cell r="P80">
            <v>46.142857142857146</v>
          </cell>
          <cell r="Q80">
            <v>0.10033091053754359</v>
          </cell>
        </row>
        <row r="81">
          <cell r="A81">
            <v>51734</v>
          </cell>
          <cell r="B81" t="str">
            <v>Multisite MONT DE MARSAN</v>
          </cell>
          <cell r="C81">
            <v>4965</v>
          </cell>
          <cell r="D81">
            <v>40.049999999999997</v>
          </cell>
          <cell r="E81">
            <v>131.44999999999999</v>
          </cell>
          <cell r="F81">
            <v>584</v>
          </cell>
          <cell r="G81">
            <v>0.1176233635448137</v>
          </cell>
          <cell r="H81">
            <v>856</v>
          </cell>
          <cell r="I81">
            <v>122.28571428571429</v>
          </cell>
          <cell r="J81">
            <v>925</v>
          </cell>
          <cell r="K81">
            <v>4</v>
          </cell>
          <cell r="L81">
            <v>14</v>
          </cell>
          <cell r="M81">
            <v>79</v>
          </cell>
          <cell r="N81">
            <v>8.5405405405405407E-2</v>
          </cell>
          <cell r="O81">
            <v>190</v>
          </cell>
          <cell r="P81">
            <v>27.142857142857142</v>
          </cell>
          <cell r="Q81">
            <v>0.10151438447510955</v>
          </cell>
        </row>
        <row r="82">
          <cell r="A82">
            <v>1734</v>
          </cell>
          <cell r="B82" t="str">
            <v>MONT DE MARSAN</v>
          </cell>
          <cell r="C82">
            <v>3262</v>
          </cell>
          <cell r="D82">
            <v>34.549999999999997</v>
          </cell>
          <cell r="E82">
            <v>94.95</v>
          </cell>
          <cell r="F82">
            <v>363.6</v>
          </cell>
          <cell r="G82">
            <v>0.11146535867565911</v>
          </cell>
          <cell r="H82">
            <v>583</v>
          </cell>
          <cell r="I82">
            <v>83.285714285714292</v>
          </cell>
          <cell r="J82">
            <v>621</v>
          </cell>
          <cell r="K82">
            <v>3</v>
          </cell>
          <cell r="L82">
            <v>9</v>
          </cell>
          <cell r="M82">
            <v>47</v>
          </cell>
          <cell r="N82">
            <v>7.5684380032206122E-2</v>
          </cell>
          <cell r="O82">
            <v>134</v>
          </cell>
          <cell r="P82">
            <v>19.142857142857142</v>
          </cell>
          <cell r="Q82">
            <v>9.357486935393261E-2</v>
          </cell>
        </row>
        <row r="83">
          <cell r="A83">
            <v>1739</v>
          </cell>
          <cell r="B83" t="str">
            <v>HAGETMAU</v>
          </cell>
          <cell r="C83">
            <v>937</v>
          </cell>
          <cell r="D83">
            <v>0</v>
          </cell>
          <cell r="E83">
            <v>0</v>
          </cell>
          <cell r="F83">
            <v>88.9</v>
          </cell>
          <cell r="G83">
            <v>9.4877267876200641E-2</v>
          </cell>
          <cell r="H83">
            <v>183</v>
          </cell>
          <cell r="I83">
            <v>26.142857142857142</v>
          </cell>
          <cell r="J83">
            <v>158</v>
          </cell>
          <cell r="K83">
            <v>0</v>
          </cell>
          <cell r="L83">
            <v>1</v>
          </cell>
          <cell r="M83">
            <v>11</v>
          </cell>
          <cell r="N83">
            <v>6.9620253164556958E-2</v>
          </cell>
          <cell r="O83">
            <v>35</v>
          </cell>
          <cell r="P83">
            <v>5</v>
          </cell>
          <cell r="Q83">
            <v>8.22487605203788E-2</v>
          </cell>
        </row>
        <row r="84">
          <cell r="A84">
            <v>1748</v>
          </cell>
          <cell r="B84" t="str">
            <v>AIRE SUR L'ADOUR</v>
          </cell>
          <cell r="C84">
            <v>766</v>
          </cell>
          <cell r="D84">
            <v>5.5</v>
          </cell>
          <cell r="E84">
            <v>36.5</v>
          </cell>
          <cell r="F84">
            <v>131.5</v>
          </cell>
          <cell r="G84">
            <v>0.1716710182767624</v>
          </cell>
          <cell r="H84">
            <v>91</v>
          </cell>
          <cell r="I84">
            <v>13</v>
          </cell>
          <cell r="J84">
            <v>146</v>
          </cell>
          <cell r="K84">
            <v>1</v>
          </cell>
          <cell r="L84">
            <v>4</v>
          </cell>
          <cell r="M84">
            <v>21</v>
          </cell>
          <cell r="N84">
            <v>0.14383561643835616</v>
          </cell>
          <cell r="O84">
            <v>22</v>
          </cell>
          <cell r="P84">
            <v>3.1428571428571428</v>
          </cell>
          <cell r="Q84">
            <v>0.15775331735755926</v>
          </cell>
        </row>
        <row r="85">
          <cell r="A85">
            <v>51736</v>
          </cell>
          <cell r="B85" t="str">
            <v>Multisite MIMIZAN</v>
          </cell>
          <cell r="C85">
            <v>2491</v>
          </cell>
          <cell r="D85">
            <v>22</v>
          </cell>
          <cell r="E85">
            <v>28</v>
          </cell>
          <cell r="F85">
            <v>196.92</v>
          </cell>
          <cell r="G85">
            <v>7.9052589321557606E-2</v>
          </cell>
          <cell r="H85">
            <v>526</v>
          </cell>
          <cell r="I85">
            <v>75.142857142857139</v>
          </cell>
          <cell r="J85">
            <v>456</v>
          </cell>
          <cell r="K85">
            <v>1</v>
          </cell>
          <cell r="L85">
            <v>9</v>
          </cell>
          <cell r="M85">
            <v>60</v>
          </cell>
          <cell r="N85">
            <v>0.13157894736842105</v>
          </cell>
          <cell r="O85">
            <v>73</v>
          </cell>
          <cell r="P85">
            <v>10.428571428571429</v>
          </cell>
          <cell r="Q85">
            <v>0.10531576834498932</v>
          </cell>
        </row>
        <row r="86">
          <cell r="A86">
            <v>1736</v>
          </cell>
          <cell r="B86" t="str">
            <v>MIMIZAN</v>
          </cell>
          <cell r="C86">
            <v>1868</v>
          </cell>
          <cell r="D86">
            <v>22</v>
          </cell>
          <cell r="E86">
            <v>28</v>
          </cell>
          <cell r="F86">
            <v>135.4</v>
          </cell>
          <cell r="G86">
            <v>7.2483940042826558E-2</v>
          </cell>
          <cell r="H86">
            <v>407</v>
          </cell>
          <cell r="I86">
            <v>58.142857142857146</v>
          </cell>
          <cell r="J86">
            <v>325</v>
          </cell>
          <cell r="K86">
            <v>0</v>
          </cell>
          <cell r="L86">
            <v>5</v>
          </cell>
          <cell r="M86">
            <v>49</v>
          </cell>
          <cell r="N86">
            <v>0.15076923076923077</v>
          </cell>
          <cell r="O86">
            <v>46</v>
          </cell>
          <cell r="P86">
            <v>6.5714285714285712</v>
          </cell>
          <cell r="Q86">
            <v>0.11162658540602866</v>
          </cell>
        </row>
        <row r="87">
          <cell r="A87">
            <v>1744</v>
          </cell>
          <cell r="B87" t="str">
            <v>MORCENX</v>
          </cell>
          <cell r="C87">
            <v>623</v>
          </cell>
          <cell r="D87">
            <v>0</v>
          </cell>
          <cell r="E87">
            <v>0</v>
          </cell>
          <cell r="F87">
            <v>61.52</v>
          </cell>
          <cell r="G87">
            <v>9.8747993579454255E-2</v>
          </cell>
          <cell r="H87">
            <v>120</v>
          </cell>
          <cell r="I87">
            <v>17.142857142857142</v>
          </cell>
          <cell r="J87">
            <v>131</v>
          </cell>
          <cell r="K87">
            <v>1</v>
          </cell>
          <cell r="L87">
            <v>4</v>
          </cell>
          <cell r="M87">
            <v>11</v>
          </cell>
          <cell r="N87">
            <v>8.3969465648854963E-2</v>
          </cell>
          <cell r="O87">
            <v>27</v>
          </cell>
          <cell r="P87">
            <v>3.8571428571428572</v>
          </cell>
          <cell r="Q87">
            <v>9.1358729614154616E-2</v>
          </cell>
        </row>
        <row r="88">
          <cell r="A88">
            <v>1741</v>
          </cell>
          <cell r="B88" t="str">
            <v>BISCARROSSE</v>
          </cell>
          <cell r="C88">
            <v>1654</v>
          </cell>
          <cell r="D88">
            <v>0</v>
          </cell>
          <cell r="E88">
            <v>42.54</v>
          </cell>
          <cell r="F88">
            <v>157.27000000000001</v>
          </cell>
          <cell r="G88">
            <v>9.5084643288996379E-2</v>
          </cell>
          <cell r="H88">
            <v>323</v>
          </cell>
          <cell r="I88">
            <v>46.142857142857146</v>
          </cell>
          <cell r="J88">
            <v>298</v>
          </cell>
          <cell r="K88">
            <v>1</v>
          </cell>
          <cell r="L88">
            <v>2</v>
          </cell>
          <cell r="M88">
            <v>25</v>
          </cell>
          <cell r="N88">
            <v>8.3892617449664433E-2</v>
          </cell>
          <cell r="O88">
            <v>62</v>
          </cell>
          <cell r="P88">
            <v>8.8571428571428577</v>
          </cell>
          <cell r="Q88">
            <v>8.9488630369330413E-2</v>
          </cell>
        </row>
        <row r="89">
          <cell r="A89">
            <v>43765</v>
          </cell>
          <cell r="B89" t="str">
            <v>DGA PAU PYRENEES</v>
          </cell>
          <cell r="C89">
            <v>15990</v>
          </cell>
          <cell r="D89">
            <v>70.03</v>
          </cell>
          <cell r="E89">
            <v>325.38</v>
          </cell>
          <cell r="F89">
            <v>1947.83</v>
          </cell>
          <cell r="G89">
            <v>0.12181550969355846</v>
          </cell>
          <cell r="H89">
            <v>2690</v>
          </cell>
          <cell r="I89">
            <v>384.28571428571428</v>
          </cell>
          <cell r="J89">
            <v>3279</v>
          </cell>
          <cell r="K89">
            <v>5</v>
          </cell>
          <cell r="L89">
            <v>44</v>
          </cell>
          <cell r="M89">
            <v>261</v>
          </cell>
          <cell r="N89">
            <v>7.9597438243366875E-2</v>
          </cell>
          <cell r="O89">
            <v>690</v>
          </cell>
          <cell r="P89">
            <v>98.571428571428569</v>
          </cell>
          <cell r="Q89">
            <v>0.10070647396846266</v>
          </cell>
        </row>
        <row r="90">
          <cell r="A90">
            <v>53500</v>
          </cell>
          <cell r="B90" t="str">
            <v>Multisite PAU</v>
          </cell>
          <cell r="C90">
            <v>3362</v>
          </cell>
          <cell r="D90">
            <v>5</v>
          </cell>
          <cell r="E90">
            <v>62.1</v>
          </cell>
          <cell r="F90">
            <v>590.42999999999995</v>
          </cell>
          <cell r="G90">
            <v>0.17561867935752526</v>
          </cell>
          <cell r="H90">
            <v>385</v>
          </cell>
          <cell r="I90">
            <v>55</v>
          </cell>
          <cell r="J90">
            <v>684</v>
          </cell>
          <cell r="K90">
            <v>3</v>
          </cell>
          <cell r="L90">
            <v>7</v>
          </cell>
          <cell r="M90">
            <v>51</v>
          </cell>
          <cell r="N90">
            <v>7.4561403508771926E-2</v>
          </cell>
          <cell r="O90">
            <v>148</v>
          </cell>
          <cell r="P90">
            <v>21.142857142857142</v>
          </cell>
          <cell r="Q90">
            <v>0.12509004143314859</v>
          </cell>
        </row>
        <row r="91">
          <cell r="A91">
            <v>3500</v>
          </cell>
          <cell r="B91" t="str">
            <v>PAU</v>
          </cell>
          <cell r="C91">
            <v>2583</v>
          </cell>
          <cell r="D91">
            <v>5</v>
          </cell>
          <cell r="E91">
            <v>62.1</v>
          </cell>
          <cell r="F91">
            <v>502.14</v>
          </cell>
          <cell r="G91">
            <v>0.19440185830429732</v>
          </cell>
          <cell r="H91">
            <v>247</v>
          </cell>
          <cell r="I91">
            <v>35.285714285714285</v>
          </cell>
          <cell r="J91">
            <v>516</v>
          </cell>
          <cell r="K91">
            <v>2</v>
          </cell>
          <cell r="L91">
            <v>5</v>
          </cell>
          <cell r="M91">
            <v>38</v>
          </cell>
          <cell r="N91">
            <v>7.3643410852713184E-2</v>
          </cell>
          <cell r="O91">
            <v>112</v>
          </cell>
          <cell r="P91">
            <v>16</v>
          </cell>
          <cell r="Q91">
            <v>0.13402263457850525</v>
          </cell>
        </row>
        <row r="92">
          <cell r="A92">
            <v>3536</v>
          </cell>
          <cell r="B92" t="str">
            <v>PAU CROIX DU PRINCE</v>
          </cell>
          <cell r="C92">
            <v>779</v>
          </cell>
          <cell r="D92">
            <v>0</v>
          </cell>
          <cell r="E92">
            <v>0</v>
          </cell>
          <cell r="F92">
            <v>88.29</v>
          </cell>
          <cell r="G92">
            <v>0.11333761232349167</v>
          </cell>
          <cell r="H92">
            <v>138</v>
          </cell>
          <cell r="I92">
            <v>19.714285714285715</v>
          </cell>
          <cell r="J92">
            <v>168</v>
          </cell>
          <cell r="K92">
            <v>1</v>
          </cell>
          <cell r="L92">
            <v>2</v>
          </cell>
          <cell r="M92">
            <v>13</v>
          </cell>
          <cell r="N92">
            <v>7.7380952380952384E-2</v>
          </cell>
          <cell r="O92">
            <v>36</v>
          </cell>
          <cell r="P92">
            <v>5.1428571428571432</v>
          </cell>
          <cell r="Q92">
            <v>9.5359282352222019E-2</v>
          </cell>
        </row>
        <row r="93">
          <cell r="A93">
            <v>3532</v>
          </cell>
          <cell r="B93" t="str">
            <v>OLORON SAINTE MARIE</v>
          </cell>
          <cell r="C93">
            <v>1228</v>
          </cell>
          <cell r="D93">
            <v>25</v>
          </cell>
          <cell r="E93">
            <v>61</v>
          </cell>
          <cell r="F93">
            <v>174.7</v>
          </cell>
          <cell r="G93">
            <v>0.14226384364820846</v>
          </cell>
          <cell r="H93">
            <v>182</v>
          </cell>
          <cell r="I93">
            <v>26</v>
          </cell>
          <cell r="J93">
            <v>265</v>
          </cell>
          <cell r="K93">
            <v>1</v>
          </cell>
          <cell r="L93">
            <v>4</v>
          </cell>
          <cell r="M93">
            <v>24</v>
          </cell>
          <cell r="N93">
            <v>9.056603773584905E-2</v>
          </cell>
          <cell r="O93">
            <v>53</v>
          </cell>
          <cell r="P93">
            <v>7.5714285714285712</v>
          </cell>
          <cell r="Q93">
            <v>0.11641494069202876</v>
          </cell>
        </row>
        <row r="94">
          <cell r="A94">
            <v>53533</v>
          </cell>
          <cell r="B94" t="str">
            <v>Multisite ORTHEZ</v>
          </cell>
          <cell r="C94">
            <v>3236</v>
          </cell>
          <cell r="D94">
            <v>0</v>
          </cell>
          <cell r="E94">
            <v>43</v>
          </cell>
          <cell r="F94">
            <v>387.88</v>
          </cell>
          <cell r="G94">
            <v>0.11986402966625463</v>
          </cell>
          <cell r="H94">
            <v>551</v>
          </cell>
          <cell r="I94">
            <v>78.714285714285708</v>
          </cell>
          <cell r="J94">
            <v>630</v>
          </cell>
          <cell r="K94">
            <v>0</v>
          </cell>
          <cell r="L94">
            <v>10</v>
          </cell>
          <cell r="M94">
            <v>65</v>
          </cell>
          <cell r="N94">
            <v>0.10317460317460317</v>
          </cell>
          <cell r="O94">
            <v>118</v>
          </cell>
          <cell r="P94">
            <v>16.857142857142858</v>
          </cell>
          <cell r="Q94">
            <v>0.11151931642042889</v>
          </cell>
        </row>
        <row r="95">
          <cell r="A95">
            <v>3533</v>
          </cell>
          <cell r="B95" t="str">
            <v>ORTHEZ</v>
          </cell>
          <cell r="C95">
            <v>1652</v>
          </cell>
          <cell r="D95">
            <v>0</v>
          </cell>
          <cell r="E95">
            <v>36.6</v>
          </cell>
          <cell r="F95">
            <v>205.33</v>
          </cell>
          <cell r="G95">
            <v>0.12429176755447943</v>
          </cell>
          <cell r="H95">
            <v>274</v>
          </cell>
          <cell r="I95">
            <v>39.142857142857146</v>
          </cell>
          <cell r="J95">
            <v>302</v>
          </cell>
          <cell r="K95">
            <v>0</v>
          </cell>
          <cell r="L95">
            <v>4</v>
          </cell>
          <cell r="M95">
            <v>29</v>
          </cell>
          <cell r="N95">
            <v>9.602649006622517E-2</v>
          </cell>
          <cell r="O95">
            <v>59</v>
          </cell>
          <cell r="P95">
            <v>8.4285714285714288</v>
          </cell>
          <cell r="Q95">
            <v>0.11015912881035231</v>
          </cell>
        </row>
        <row r="96">
          <cell r="A96">
            <v>3534</v>
          </cell>
          <cell r="B96" t="str">
            <v>SALIES DE BEARN</v>
          </cell>
          <cell r="C96">
            <v>682</v>
          </cell>
          <cell r="D96">
            <v>0</v>
          </cell>
          <cell r="E96">
            <v>6.4</v>
          </cell>
          <cell r="F96">
            <v>63.3</v>
          </cell>
          <cell r="G96">
            <v>9.281524926686216E-2</v>
          </cell>
          <cell r="H96">
            <v>135</v>
          </cell>
          <cell r="I96">
            <v>19.285714285714285</v>
          </cell>
          <cell r="J96">
            <v>147</v>
          </cell>
          <cell r="K96">
            <v>0</v>
          </cell>
          <cell r="L96">
            <v>2</v>
          </cell>
          <cell r="M96">
            <v>16</v>
          </cell>
          <cell r="N96">
            <v>0.10884353741496598</v>
          </cell>
          <cell r="O96">
            <v>27</v>
          </cell>
          <cell r="P96">
            <v>3.8571428571428572</v>
          </cell>
          <cell r="Q96">
            <v>0.10082939334091406</v>
          </cell>
        </row>
        <row r="97">
          <cell r="A97">
            <v>3537</v>
          </cell>
          <cell r="B97" t="str">
            <v>MOURENX</v>
          </cell>
          <cell r="C97">
            <v>902</v>
          </cell>
          <cell r="D97">
            <v>0</v>
          </cell>
          <cell r="E97">
            <v>0</v>
          </cell>
          <cell r="F97">
            <v>119.25</v>
          </cell>
          <cell r="G97">
            <v>0.13220620842572062</v>
          </cell>
          <cell r="H97">
            <v>143</v>
          </cell>
          <cell r="I97">
            <v>20.428571428571427</v>
          </cell>
          <cell r="J97">
            <v>181</v>
          </cell>
          <cell r="K97">
            <v>0</v>
          </cell>
          <cell r="L97">
            <v>4</v>
          </cell>
          <cell r="M97">
            <v>20</v>
          </cell>
          <cell r="N97">
            <v>0.11049723756906077</v>
          </cell>
          <cell r="O97">
            <v>33</v>
          </cell>
          <cell r="P97">
            <v>4.7142857142857144</v>
          </cell>
          <cell r="Q97">
            <v>0.12135172299739069</v>
          </cell>
        </row>
        <row r="98">
          <cell r="A98">
            <v>3535</v>
          </cell>
          <cell r="B98" t="str">
            <v>PAU MERMOZ</v>
          </cell>
          <cell r="C98">
            <v>1603</v>
          </cell>
          <cell r="D98">
            <v>0</v>
          </cell>
          <cell r="E98">
            <v>43.84</v>
          </cell>
          <cell r="F98">
            <v>113.41</v>
          </cell>
          <cell r="G98">
            <v>7.0748596381784157E-2</v>
          </cell>
          <cell r="H98">
            <v>352</v>
          </cell>
          <cell r="I98">
            <v>50.285714285714285</v>
          </cell>
          <cell r="J98">
            <v>324</v>
          </cell>
          <cell r="K98">
            <v>0</v>
          </cell>
          <cell r="L98">
            <v>3</v>
          </cell>
          <cell r="M98">
            <v>20</v>
          </cell>
          <cell r="N98">
            <v>6.1728395061728392E-2</v>
          </cell>
          <cell r="O98">
            <v>74</v>
          </cell>
          <cell r="P98">
            <v>10.571428571428571</v>
          </cell>
          <cell r="Q98">
            <v>6.6238495721756274E-2</v>
          </cell>
        </row>
        <row r="99">
          <cell r="A99">
            <v>53542</v>
          </cell>
          <cell r="B99" t="str">
            <v>Multisite LONS</v>
          </cell>
          <cell r="C99">
            <v>2743</v>
          </cell>
          <cell r="D99">
            <v>10</v>
          </cell>
          <cell r="E99">
            <v>30</v>
          </cell>
          <cell r="F99">
            <v>210.41</v>
          </cell>
          <cell r="G99">
            <v>7.6707983959168793E-2</v>
          </cell>
          <cell r="H99">
            <v>586</v>
          </cell>
          <cell r="I99">
            <v>83.714285714285708</v>
          </cell>
          <cell r="J99">
            <v>576</v>
          </cell>
          <cell r="K99">
            <v>1</v>
          </cell>
          <cell r="L99">
            <v>8</v>
          </cell>
          <cell r="M99">
            <v>36</v>
          </cell>
          <cell r="N99">
            <v>6.25E-2</v>
          </cell>
          <cell r="O99">
            <v>132</v>
          </cell>
          <cell r="P99">
            <v>18.857142857142858</v>
          </cell>
          <cell r="Q99">
            <v>6.960399197958439E-2</v>
          </cell>
        </row>
        <row r="100">
          <cell r="A100">
            <v>3539</v>
          </cell>
          <cell r="B100" t="str">
            <v>BILLERE</v>
          </cell>
          <cell r="C100">
            <v>1062</v>
          </cell>
          <cell r="D100">
            <v>0</v>
          </cell>
          <cell r="E100">
            <v>0</v>
          </cell>
          <cell r="F100">
            <v>83</v>
          </cell>
          <cell r="G100">
            <v>7.8154425612052728E-2</v>
          </cell>
          <cell r="H100">
            <v>225</v>
          </cell>
          <cell r="I100">
            <v>32.142857142857146</v>
          </cell>
          <cell r="J100">
            <v>225</v>
          </cell>
          <cell r="K100">
            <v>0</v>
          </cell>
          <cell r="L100">
            <v>1</v>
          </cell>
          <cell r="M100">
            <v>9</v>
          </cell>
          <cell r="N100">
            <v>0.04</v>
          </cell>
          <cell r="O100">
            <v>57</v>
          </cell>
          <cell r="P100">
            <v>8.1428571428571423</v>
          </cell>
          <cell r="Q100">
            <v>5.9077212806026361E-2</v>
          </cell>
        </row>
        <row r="101">
          <cell r="A101">
            <v>3542</v>
          </cell>
          <cell r="B101" t="str">
            <v>LONS COMEDIE</v>
          </cell>
          <cell r="C101">
            <v>1681</v>
          </cell>
          <cell r="D101">
            <v>10</v>
          </cell>
          <cell r="E101">
            <v>30</v>
          </cell>
          <cell r="F101">
            <v>127.41</v>
          </cell>
          <cell r="G101">
            <v>7.5794170136823311E-2</v>
          </cell>
          <cell r="H101">
            <v>361</v>
          </cell>
          <cell r="I101">
            <v>51.571428571428569</v>
          </cell>
          <cell r="J101">
            <v>351</v>
          </cell>
          <cell r="K101">
            <v>1</v>
          </cell>
          <cell r="L101">
            <v>7</v>
          </cell>
          <cell r="M101">
            <v>27</v>
          </cell>
          <cell r="N101">
            <v>7.6923076923076927E-2</v>
          </cell>
          <cell r="O101">
            <v>75</v>
          </cell>
          <cell r="P101">
            <v>10.714285714285714</v>
          </cell>
          <cell r="Q101">
            <v>7.6358623529950126E-2</v>
          </cell>
        </row>
        <row r="102">
          <cell r="A102">
            <v>3543</v>
          </cell>
          <cell r="B102" t="str">
            <v>LESCAR L'EUROPE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</row>
        <row r="103">
          <cell r="A103">
            <v>53538</v>
          </cell>
          <cell r="B103" t="str">
            <v>Multisite PAU THIERS</v>
          </cell>
          <cell r="C103">
            <v>3819</v>
          </cell>
          <cell r="D103">
            <v>30.03</v>
          </cell>
          <cell r="E103">
            <v>85.44</v>
          </cell>
          <cell r="F103">
            <v>471</v>
          </cell>
          <cell r="G103">
            <v>0.12333071484681854</v>
          </cell>
          <cell r="H103">
            <v>637</v>
          </cell>
          <cell r="I103">
            <v>91</v>
          </cell>
          <cell r="J103">
            <v>801</v>
          </cell>
          <cell r="K103">
            <v>0</v>
          </cell>
          <cell r="L103">
            <v>12</v>
          </cell>
          <cell r="M103">
            <v>65</v>
          </cell>
          <cell r="N103">
            <v>8.1148564294631714E-2</v>
          </cell>
          <cell r="O103">
            <v>168</v>
          </cell>
          <cell r="P103">
            <v>24</v>
          </cell>
          <cell r="Q103">
            <v>0.10223963957072513</v>
          </cell>
        </row>
        <row r="104">
          <cell r="A104">
            <v>3538</v>
          </cell>
          <cell r="B104" t="str">
            <v>PAU THIERS</v>
          </cell>
          <cell r="C104">
            <v>1644</v>
          </cell>
          <cell r="D104">
            <v>30.03</v>
          </cell>
          <cell r="E104">
            <v>80.44</v>
          </cell>
          <cell r="F104">
            <v>202.64</v>
          </cell>
          <cell r="G104">
            <v>0.1232603406326034</v>
          </cell>
          <cell r="H104">
            <v>275</v>
          </cell>
          <cell r="I104">
            <v>39.285714285714285</v>
          </cell>
          <cell r="J104">
            <v>340</v>
          </cell>
          <cell r="K104">
            <v>0</v>
          </cell>
          <cell r="L104">
            <v>3</v>
          </cell>
          <cell r="M104">
            <v>20</v>
          </cell>
          <cell r="N104">
            <v>5.8823529411764705E-2</v>
          </cell>
          <cell r="O104">
            <v>79</v>
          </cell>
          <cell r="P104">
            <v>11.285714285714286</v>
          </cell>
          <cell r="Q104">
            <v>9.1041935022184051E-2</v>
          </cell>
        </row>
        <row r="105">
          <cell r="A105">
            <v>3540</v>
          </cell>
          <cell r="B105" t="str">
            <v>NAY</v>
          </cell>
          <cell r="C105">
            <v>868</v>
          </cell>
          <cell r="D105">
            <v>0</v>
          </cell>
          <cell r="E105">
            <v>0</v>
          </cell>
          <cell r="F105">
            <v>189.76</v>
          </cell>
          <cell r="G105">
            <v>0.21861751152073733</v>
          </cell>
          <cell r="H105">
            <v>62</v>
          </cell>
          <cell r="I105">
            <v>8.8571428571428577</v>
          </cell>
          <cell r="J105">
            <v>197</v>
          </cell>
          <cell r="K105">
            <v>0</v>
          </cell>
          <cell r="L105">
            <v>5</v>
          </cell>
          <cell r="M105">
            <v>23</v>
          </cell>
          <cell r="N105">
            <v>0.116751269035533</v>
          </cell>
          <cell r="O105">
            <v>35</v>
          </cell>
          <cell r="P105">
            <v>5</v>
          </cell>
          <cell r="Q105">
            <v>0.16768439027813517</v>
          </cell>
        </row>
        <row r="106">
          <cell r="A106">
            <v>3541</v>
          </cell>
          <cell r="B106" t="str">
            <v>PAU HERMES</v>
          </cell>
          <cell r="C106">
            <v>1307</v>
          </cell>
          <cell r="D106">
            <v>0</v>
          </cell>
          <cell r="E106">
            <v>5</v>
          </cell>
          <cell r="F106">
            <v>78.599999999999994</v>
          </cell>
          <cell r="G106">
            <v>6.0137719969395556E-2</v>
          </cell>
          <cell r="H106">
            <v>301</v>
          </cell>
          <cell r="I106">
            <v>43</v>
          </cell>
          <cell r="J106">
            <v>264</v>
          </cell>
          <cell r="K106">
            <v>0</v>
          </cell>
          <cell r="L106">
            <v>4</v>
          </cell>
          <cell r="M106">
            <v>22</v>
          </cell>
          <cell r="N106">
            <v>8.3333333333333329E-2</v>
          </cell>
          <cell r="O106">
            <v>55</v>
          </cell>
          <cell r="P106">
            <v>7.8571428571428568</v>
          </cell>
          <cell r="Q106">
            <v>7.1735526651364442E-2</v>
          </cell>
        </row>
        <row r="107">
          <cell r="A107">
            <v>43783</v>
          </cell>
          <cell r="B107" t="str">
            <v>DGA COTE BASQUE</v>
          </cell>
          <cell r="C107">
            <v>10910</v>
          </cell>
          <cell r="D107">
            <v>79.19</v>
          </cell>
          <cell r="E107">
            <v>237.46</v>
          </cell>
          <cell r="F107">
            <v>1259.6099999999999</v>
          </cell>
          <cell r="G107">
            <v>0.11545462878093492</v>
          </cell>
          <cell r="H107">
            <v>1905</v>
          </cell>
          <cell r="I107">
            <v>272.14285714285717</v>
          </cell>
          <cell r="J107">
            <v>2586</v>
          </cell>
          <cell r="K107">
            <v>11</v>
          </cell>
          <cell r="L107">
            <v>32</v>
          </cell>
          <cell r="M107">
            <v>245</v>
          </cell>
          <cell r="N107">
            <v>9.4740912606341834E-2</v>
          </cell>
          <cell r="O107">
            <v>505</v>
          </cell>
          <cell r="P107">
            <v>72.142857142857139</v>
          </cell>
          <cell r="Q107">
            <v>0.10509777069363838</v>
          </cell>
        </row>
        <row r="108">
          <cell r="A108">
            <v>51700</v>
          </cell>
          <cell r="B108" t="str">
            <v>Multisite BAYONNE</v>
          </cell>
          <cell r="C108">
            <v>3735</v>
          </cell>
          <cell r="D108">
            <v>0</v>
          </cell>
          <cell r="E108">
            <v>34.090000000000003</v>
          </cell>
          <cell r="F108">
            <v>290.82</v>
          </cell>
          <cell r="G108">
            <v>7.7863453815261038E-2</v>
          </cell>
          <cell r="H108">
            <v>793</v>
          </cell>
          <cell r="I108">
            <v>113.28571428571429</v>
          </cell>
          <cell r="J108">
            <v>858</v>
          </cell>
          <cell r="K108">
            <v>3</v>
          </cell>
          <cell r="L108">
            <v>7</v>
          </cell>
          <cell r="M108">
            <v>68</v>
          </cell>
          <cell r="N108">
            <v>7.9254079254079249E-2</v>
          </cell>
          <cell r="O108">
            <v>181</v>
          </cell>
          <cell r="P108">
            <v>25.857142857142858</v>
          </cell>
          <cell r="Q108">
            <v>7.8558766534670144E-2</v>
          </cell>
        </row>
        <row r="109">
          <cell r="A109">
            <v>1700</v>
          </cell>
          <cell r="B109" t="str">
            <v>BAYONNE</v>
          </cell>
          <cell r="C109">
            <v>2124</v>
          </cell>
          <cell r="D109">
            <v>0</v>
          </cell>
          <cell r="E109">
            <v>15</v>
          </cell>
          <cell r="F109">
            <v>184.14</v>
          </cell>
          <cell r="G109">
            <v>8.6694915254237281E-2</v>
          </cell>
          <cell r="H109">
            <v>432</v>
          </cell>
          <cell r="I109">
            <v>61.714285714285715</v>
          </cell>
          <cell r="J109">
            <v>482</v>
          </cell>
          <cell r="K109">
            <v>2</v>
          </cell>
          <cell r="L109">
            <v>4</v>
          </cell>
          <cell r="M109">
            <v>36</v>
          </cell>
          <cell r="N109">
            <v>7.4688796680497924E-2</v>
          </cell>
          <cell r="O109">
            <v>104</v>
          </cell>
          <cell r="P109">
            <v>14.857142857142858</v>
          </cell>
          <cell r="Q109">
            <v>8.0691855967367609E-2</v>
          </cell>
        </row>
        <row r="110">
          <cell r="A110">
            <v>1737</v>
          </cell>
          <cell r="B110" t="str">
            <v>BAYONNE SAINT ESPRIT</v>
          </cell>
          <cell r="C110">
            <v>661</v>
          </cell>
          <cell r="D110">
            <v>0</v>
          </cell>
          <cell r="E110">
            <v>0</v>
          </cell>
          <cell r="F110">
            <v>33.090000000000003</v>
          </cell>
          <cell r="G110">
            <v>5.0060514372163391E-2</v>
          </cell>
          <cell r="H110">
            <v>159</v>
          </cell>
          <cell r="I110">
            <v>22.714285714285715</v>
          </cell>
          <cell r="J110">
            <v>166</v>
          </cell>
          <cell r="K110">
            <v>0</v>
          </cell>
          <cell r="L110">
            <v>1</v>
          </cell>
          <cell r="M110">
            <v>19</v>
          </cell>
          <cell r="N110">
            <v>0.1144578313253012</v>
          </cell>
          <cell r="O110">
            <v>30</v>
          </cell>
          <cell r="P110">
            <v>4.2857142857142856</v>
          </cell>
          <cell r="Q110">
            <v>8.2259172848732298E-2</v>
          </cell>
        </row>
        <row r="111">
          <cell r="A111">
            <v>1747</v>
          </cell>
          <cell r="B111" t="str">
            <v>BAYONNE CITE DU PALAIS</v>
          </cell>
          <cell r="C111">
            <v>950</v>
          </cell>
          <cell r="D111">
            <v>0</v>
          </cell>
          <cell r="E111">
            <v>19.09</v>
          </cell>
          <cell r="F111">
            <v>73.59</v>
          </cell>
          <cell r="G111">
            <v>7.7463157894736845E-2</v>
          </cell>
          <cell r="H111">
            <v>202</v>
          </cell>
          <cell r="I111">
            <v>28.857142857142858</v>
          </cell>
          <cell r="J111">
            <v>210</v>
          </cell>
          <cell r="K111">
            <v>1</v>
          </cell>
          <cell r="L111">
            <v>2</v>
          </cell>
          <cell r="M111">
            <v>13</v>
          </cell>
          <cell r="N111">
            <v>6.1904761904761907E-2</v>
          </cell>
          <cell r="O111">
            <v>48</v>
          </cell>
          <cell r="P111">
            <v>6.8571428571428568</v>
          </cell>
          <cell r="Q111">
            <v>6.9683959899749376E-2</v>
          </cell>
        </row>
        <row r="112">
          <cell r="A112">
            <v>51731</v>
          </cell>
          <cell r="B112" t="str">
            <v>Multisite BIARRITZ</v>
          </cell>
          <cell r="C112">
            <v>2043</v>
          </cell>
          <cell r="D112">
            <v>0</v>
          </cell>
          <cell r="E112">
            <v>21.6</v>
          </cell>
          <cell r="F112">
            <v>201.88</v>
          </cell>
          <cell r="G112">
            <v>9.8815467449828678E-2</v>
          </cell>
          <cell r="H112">
            <v>391</v>
          </cell>
          <cell r="I112">
            <v>55.857142857142854</v>
          </cell>
          <cell r="J112">
            <v>469</v>
          </cell>
          <cell r="K112">
            <v>3</v>
          </cell>
          <cell r="L112">
            <v>7</v>
          </cell>
          <cell r="M112">
            <v>45</v>
          </cell>
          <cell r="N112">
            <v>9.5948827292110878E-2</v>
          </cell>
          <cell r="O112">
            <v>92</v>
          </cell>
          <cell r="P112">
            <v>13.142857142857142</v>
          </cell>
          <cell r="Q112">
            <v>9.7382147370969785E-2</v>
          </cell>
        </row>
        <row r="113">
          <cell r="A113">
            <v>1731</v>
          </cell>
          <cell r="B113" t="str">
            <v>BIARRITZ</v>
          </cell>
          <cell r="C113">
            <v>1436</v>
          </cell>
          <cell r="D113">
            <v>0</v>
          </cell>
          <cell r="E113">
            <v>0</v>
          </cell>
          <cell r="F113">
            <v>162.28</v>
          </cell>
          <cell r="G113">
            <v>0.113008356545961</v>
          </cell>
          <cell r="H113">
            <v>255</v>
          </cell>
          <cell r="I113">
            <v>36.428571428571431</v>
          </cell>
          <cell r="J113">
            <v>334</v>
          </cell>
          <cell r="K113">
            <v>2</v>
          </cell>
          <cell r="L113">
            <v>5</v>
          </cell>
          <cell r="M113">
            <v>32</v>
          </cell>
          <cell r="N113">
            <v>9.580838323353294E-2</v>
          </cell>
          <cell r="O113">
            <v>65</v>
          </cell>
          <cell r="P113">
            <v>9.2857142857142865</v>
          </cell>
          <cell r="Q113">
            <v>0.10440836988974697</v>
          </cell>
        </row>
        <row r="114">
          <cell r="A114">
            <v>1749</v>
          </cell>
          <cell r="B114" t="str">
            <v>BIARRITZ SAINT CHARLES</v>
          </cell>
          <cell r="C114">
            <v>607</v>
          </cell>
          <cell r="D114">
            <v>0</v>
          </cell>
          <cell r="E114">
            <v>21.6</v>
          </cell>
          <cell r="F114">
            <v>39.6</v>
          </cell>
          <cell r="G114">
            <v>6.5238879736408573E-2</v>
          </cell>
          <cell r="H114">
            <v>137</v>
          </cell>
          <cell r="I114">
            <v>19.571428571428573</v>
          </cell>
          <cell r="J114">
            <v>135</v>
          </cell>
          <cell r="K114">
            <v>1</v>
          </cell>
          <cell r="L114">
            <v>2</v>
          </cell>
          <cell r="M114">
            <v>13</v>
          </cell>
          <cell r="N114">
            <v>9.6296296296296297E-2</v>
          </cell>
          <cell r="O114">
            <v>27</v>
          </cell>
          <cell r="P114">
            <v>3.8571428571428572</v>
          </cell>
          <cell r="Q114">
            <v>8.0767588016352435E-2</v>
          </cell>
        </row>
        <row r="115">
          <cell r="A115">
            <v>51735</v>
          </cell>
          <cell r="B115" t="str">
            <v>Multisite ST JEAN DE LUZ</v>
          </cell>
          <cell r="C115">
            <v>2194</v>
          </cell>
          <cell r="D115">
            <v>14.6</v>
          </cell>
          <cell r="E115">
            <v>97.32</v>
          </cell>
          <cell r="F115">
            <v>378.08</v>
          </cell>
          <cell r="G115">
            <v>0.17232452142206015</v>
          </cell>
          <cell r="H115">
            <v>259</v>
          </cell>
          <cell r="I115">
            <v>37</v>
          </cell>
          <cell r="J115">
            <v>596</v>
          </cell>
          <cell r="K115">
            <v>1</v>
          </cell>
          <cell r="L115">
            <v>8</v>
          </cell>
          <cell r="M115">
            <v>61</v>
          </cell>
          <cell r="N115">
            <v>0.10234899328859061</v>
          </cell>
          <cell r="O115">
            <v>112</v>
          </cell>
          <cell r="P115">
            <v>16</v>
          </cell>
          <cell r="Q115">
            <v>0.13733675735532538</v>
          </cell>
        </row>
        <row r="116">
          <cell r="A116">
            <v>1733</v>
          </cell>
          <cell r="B116" t="str">
            <v>HENDAYE</v>
          </cell>
          <cell r="C116">
            <v>730</v>
          </cell>
          <cell r="D116">
            <v>0</v>
          </cell>
          <cell r="E116">
            <v>5</v>
          </cell>
          <cell r="F116">
            <v>77.2</v>
          </cell>
          <cell r="G116">
            <v>0.10575342465753425</v>
          </cell>
          <cell r="H116">
            <v>135</v>
          </cell>
          <cell r="I116">
            <v>19.285714285714285</v>
          </cell>
          <cell r="J116">
            <v>203</v>
          </cell>
          <cell r="K116">
            <v>0</v>
          </cell>
          <cell r="L116">
            <v>4</v>
          </cell>
          <cell r="M116">
            <v>21</v>
          </cell>
          <cell r="N116">
            <v>0.10344827586206896</v>
          </cell>
          <cell r="O116">
            <v>38</v>
          </cell>
          <cell r="P116">
            <v>5.4285714285714288</v>
          </cell>
          <cell r="Q116">
            <v>0.10460085025980161</v>
          </cell>
        </row>
        <row r="117">
          <cell r="A117">
            <v>1735</v>
          </cell>
          <cell r="B117" t="str">
            <v>ST JEAN DE LUZ</v>
          </cell>
          <cell r="C117">
            <v>1464</v>
          </cell>
          <cell r="D117">
            <v>14.6</v>
          </cell>
          <cell r="E117">
            <v>92.32</v>
          </cell>
          <cell r="F117">
            <v>300.88</v>
          </cell>
          <cell r="G117">
            <v>0.20551912568306011</v>
          </cell>
          <cell r="H117">
            <v>124</v>
          </cell>
          <cell r="I117">
            <v>17.714285714285715</v>
          </cell>
          <cell r="J117">
            <v>393</v>
          </cell>
          <cell r="K117">
            <v>1</v>
          </cell>
          <cell r="L117">
            <v>4</v>
          </cell>
          <cell r="M117">
            <v>40</v>
          </cell>
          <cell r="N117">
            <v>0.10178117048346055</v>
          </cell>
          <cell r="O117">
            <v>74</v>
          </cell>
          <cell r="P117">
            <v>10.571428571428571</v>
          </cell>
          <cell r="Q117">
            <v>0.15365014808326033</v>
          </cell>
        </row>
        <row r="118">
          <cell r="A118">
            <v>51738</v>
          </cell>
          <cell r="B118" t="str">
            <v>Multisite ANGLET</v>
          </cell>
          <cell r="C118">
            <v>2248</v>
          </cell>
          <cell r="D118">
            <v>7.4</v>
          </cell>
          <cell r="E118">
            <v>12.27</v>
          </cell>
          <cell r="F118">
            <v>228.04</v>
          </cell>
          <cell r="G118">
            <v>0.10144128113879003</v>
          </cell>
          <cell r="H118">
            <v>424</v>
          </cell>
          <cell r="I118">
            <v>60.571428571428569</v>
          </cell>
          <cell r="J118">
            <v>508</v>
          </cell>
          <cell r="K118">
            <v>4</v>
          </cell>
          <cell r="L118">
            <v>7</v>
          </cell>
          <cell r="M118">
            <v>55</v>
          </cell>
          <cell r="N118">
            <v>0.10826771653543307</v>
          </cell>
          <cell r="O118">
            <v>93</v>
          </cell>
          <cell r="P118">
            <v>13.285714285714286</v>
          </cell>
          <cell r="Q118">
            <v>0.10485449883711155</v>
          </cell>
        </row>
        <row r="119">
          <cell r="A119">
            <v>1738</v>
          </cell>
          <cell r="B119" t="str">
            <v>ANGLET</v>
          </cell>
          <cell r="C119">
            <v>1366</v>
          </cell>
          <cell r="D119">
            <v>7.4</v>
          </cell>
          <cell r="E119">
            <v>7.4</v>
          </cell>
          <cell r="F119">
            <v>119.48</v>
          </cell>
          <cell r="G119">
            <v>8.7467057101024898E-2</v>
          </cell>
          <cell r="H119">
            <v>277</v>
          </cell>
          <cell r="I119">
            <v>39.571428571428569</v>
          </cell>
          <cell r="J119">
            <v>312</v>
          </cell>
          <cell r="K119">
            <v>0</v>
          </cell>
          <cell r="L119">
            <v>1</v>
          </cell>
          <cell r="M119">
            <v>37</v>
          </cell>
          <cell r="N119">
            <v>0.11858974358974358</v>
          </cell>
          <cell r="O119">
            <v>54</v>
          </cell>
          <cell r="P119">
            <v>7.7142857142857144</v>
          </cell>
          <cell r="Q119">
            <v>0.10302840034538424</v>
          </cell>
        </row>
        <row r="120">
          <cell r="A120">
            <v>1754</v>
          </cell>
          <cell r="B120" t="str">
            <v>ANGLET ERDIAN</v>
          </cell>
          <cell r="C120">
            <v>437</v>
          </cell>
          <cell r="D120">
            <v>0</v>
          </cell>
          <cell r="E120">
            <v>0</v>
          </cell>
          <cell r="F120">
            <v>39</v>
          </cell>
          <cell r="G120">
            <v>8.924485125858124E-2</v>
          </cell>
          <cell r="H120">
            <v>88</v>
          </cell>
          <cell r="I120">
            <v>12.571428571428571</v>
          </cell>
          <cell r="J120">
            <v>94</v>
          </cell>
          <cell r="K120">
            <v>0</v>
          </cell>
          <cell r="L120">
            <v>0</v>
          </cell>
          <cell r="M120">
            <v>5</v>
          </cell>
          <cell r="N120">
            <v>5.3191489361702128E-2</v>
          </cell>
          <cell r="O120">
            <v>23</v>
          </cell>
          <cell r="P120">
            <v>3.2857142857142856</v>
          </cell>
          <cell r="Q120">
            <v>7.1218170310141687E-2</v>
          </cell>
        </row>
        <row r="121">
          <cell r="A121">
            <v>1755</v>
          </cell>
          <cell r="B121" t="str">
            <v>USTARITZ</v>
          </cell>
          <cell r="C121">
            <v>445</v>
          </cell>
          <cell r="D121">
            <v>0</v>
          </cell>
          <cell r="E121">
            <v>4.87</v>
          </cell>
          <cell r="F121">
            <v>69.56</v>
          </cell>
          <cell r="G121">
            <v>0.15631460674157305</v>
          </cell>
          <cell r="H121">
            <v>60</v>
          </cell>
          <cell r="I121">
            <v>8.5714285714285712</v>
          </cell>
          <cell r="J121">
            <v>102</v>
          </cell>
          <cell r="K121">
            <v>4</v>
          </cell>
          <cell r="L121">
            <v>6</v>
          </cell>
          <cell r="M121">
            <v>13</v>
          </cell>
          <cell r="N121">
            <v>0.12745098039215685</v>
          </cell>
          <cell r="O121">
            <v>17</v>
          </cell>
          <cell r="P121">
            <v>2.4285714285714284</v>
          </cell>
          <cell r="Q121">
            <v>0.14188279356686495</v>
          </cell>
        </row>
        <row r="122">
          <cell r="A122">
            <v>1743</v>
          </cell>
          <cell r="B122" t="str">
            <v>CAMBO LES BAINS</v>
          </cell>
          <cell r="C122">
            <v>690</v>
          </cell>
          <cell r="D122">
            <v>57.19</v>
          </cell>
          <cell r="E122">
            <v>72.19</v>
          </cell>
          <cell r="F122">
            <v>160.79</v>
          </cell>
          <cell r="G122">
            <v>0.23302898550724638</v>
          </cell>
          <cell r="H122">
            <v>40</v>
          </cell>
          <cell r="I122">
            <v>5.7142857142857144</v>
          </cell>
          <cell r="J122">
            <v>155</v>
          </cell>
          <cell r="K122">
            <v>0</v>
          </cell>
          <cell r="L122">
            <v>3</v>
          </cell>
          <cell r="M122">
            <v>16</v>
          </cell>
          <cell r="N122">
            <v>0.1032258064516129</v>
          </cell>
          <cell r="O122">
            <v>29</v>
          </cell>
          <cell r="P122">
            <v>4.1428571428571432</v>
          </cell>
          <cell r="Q122">
            <v>0.16812739597942963</v>
          </cell>
        </row>
        <row r="123">
          <cell r="A123">
            <v>43787</v>
          </cell>
          <cell r="B123" t="str">
            <v>DGA LANDES SUD</v>
          </cell>
          <cell r="C123">
            <v>9310</v>
          </cell>
          <cell r="D123">
            <v>27.5</v>
          </cell>
          <cell r="E123">
            <v>145.69</v>
          </cell>
          <cell r="F123">
            <v>1075.58</v>
          </cell>
          <cell r="G123">
            <v>0.11552953813104189</v>
          </cell>
          <cell r="H123">
            <v>1625</v>
          </cell>
          <cell r="I123">
            <v>232.14285714285714</v>
          </cell>
          <cell r="J123">
            <v>1705</v>
          </cell>
          <cell r="K123">
            <v>3</v>
          </cell>
          <cell r="L123">
            <v>19</v>
          </cell>
          <cell r="M123">
            <v>147</v>
          </cell>
          <cell r="N123">
            <v>8.6217008797653955E-2</v>
          </cell>
          <cell r="O123">
            <v>348</v>
          </cell>
          <cell r="P123">
            <v>49.714285714285715</v>
          </cell>
          <cell r="Q123">
            <v>0.10087327346434792</v>
          </cell>
        </row>
        <row r="124">
          <cell r="A124">
            <v>51732</v>
          </cell>
          <cell r="B124" t="str">
            <v>Multisite DAX</v>
          </cell>
          <cell r="C124">
            <v>4505</v>
          </cell>
          <cell r="D124">
            <v>4</v>
          </cell>
          <cell r="E124">
            <v>66.34</v>
          </cell>
          <cell r="F124">
            <v>383.87</v>
          </cell>
          <cell r="G124">
            <v>8.5209766925638183E-2</v>
          </cell>
          <cell r="H124">
            <v>923</v>
          </cell>
          <cell r="I124">
            <v>131.85714285714286</v>
          </cell>
          <cell r="J124">
            <v>873</v>
          </cell>
          <cell r="K124">
            <v>3</v>
          </cell>
          <cell r="L124">
            <v>12</v>
          </cell>
          <cell r="M124">
            <v>75</v>
          </cell>
          <cell r="N124">
            <v>8.5910652920962199E-2</v>
          </cell>
          <cell r="O124">
            <v>179</v>
          </cell>
          <cell r="P124">
            <v>25.571428571428573</v>
          </cell>
          <cell r="Q124">
            <v>8.5560209923300184E-2</v>
          </cell>
        </row>
        <row r="125">
          <cell r="A125">
            <v>1732</v>
          </cell>
          <cell r="B125" t="str">
            <v>DAX</v>
          </cell>
          <cell r="C125">
            <v>2690</v>
          </cell>
          <cell r="D125">
            <v>0</v>
          </cell>
          <cell r="E125">
            <v>43</v>
          </cell>
          <cell r="F125">
            <v>185.19</v>
          </cell>
          <cell r="G125">
            <v>6.8843866171003715E-2</v>
          </cell>
          <cell r="H125">
            <v>595</v>
          </cell>
          <cell r="I125">
            <v>85</v>
          </cell>
          <cell r="J125">
            <v>520</v>
          </cell>
          <cell r="K125">
            <v>3</v>
          </cell>
          <cell r="L125">
            <v>7</v>
          </cell>
          <cell r="M125">
            <v>45</v>
          </cell>
          <cell r="N125">
            <v>8.6538461538461536E-2</v>
          </cell>
          <cell r="O125">
            <v>106</v>
          </cell>
          <cell r="P125">
            <v>15.142857142857142</v>
          </cell>
          <cell r="Q125">
            <v>7.7691163854732626E-2</v>
          </cell>
        </row>
        <row r="126">
          <cell r="A126">
            <v>1742</v>
          </cell>
          <cell r="B126" t="str">
            <v>PEYREHORADE</v>
          </cell>
          <cell r="C126">
            <v>750</v>
          </cell>
          <cell r="D126">
            <v>0</v>
          </cell>
          <cell r="E126">
            <v>0</v>
          </cell>
          <cell r="F126">
            <v>41.67</v>
          </cell>
          <cell r="G126">
            <v>5.5560000000000005E-2</v>
          </cell>
          <cell r="H126">
            <v>176</v>
          </cell>
          <cell r="I126">
            <v>25.142857142857142</v>
          </cell>
          <cell r="J126">
            <v>159</v>
          </cell>
          <cell r="K126">
            <v>0</v>
          </cell>
          <cell r="L126">
            <v>2</v>
          </cell>
          <cell r="M126">
            <v>14</v>
          </cell>
          <cell r="N126">
            <v>8.8050314465408799E-2</v>
          </cell>
          <cell r="O126">
            <v>33</v>
          </cell>
          <cell r="P126">
            <v>4.7142857142857144</v>
          </cell>
          <cell r="Q126">
            <v>7.1805157232704406E-2</v>
          </cell>
        </row>
        <row r="127">
          <cell r="A127">
            <v>1745</v>
          </cell>
          <cell r="B127" t="str">
            <v>SAINT PAUL LES DAX</v>
          </cell>
          <cell r="C127">
            <v>1065</v>
          </cell>
          <cell r="D127">
            <v>4</v>
          </cell>
          <cell r="E127">
            <v>23.34</v>
          </cell>
          <cell r="F127">
            <v>157.01</v>
          </cell>
          <cell r="G127">
            <v>0.14742723004694835</v>
          </cell>
          <cell r="H127">
            <v>152</v>
          </cell>
          <cell r="I127">
            <v>21.714285714285715</v>
          </cell>
          <cell r="J127">
            <v>194</v>
          </cell>
          <cell r="K127">
            <v>0</v>
          </cell>
          <cell r="L127">
            <v>3</v>
          </cell>
          <cell r="M127">
            <v>16</v>
          </cell>
          <cell r="N127">
            <v>8.247422680412371E-2</v>
          </cell>
          <cell r="O127">
            <v>41</v>
          </cell>
          <cell r="P127">
            <v>5.8571428571428568</v>
          </cell>
          <cell r="Q127">
            <v>0.11495072842553603</v>
          </cell>
        </row>
        <row r="128">
          <cell r="A128">
            <v>51746</v>
          </cell>
          <cell r="B128" t="str">
            <v>Multisite CAPBRETON</v>
          </cell>
          <cell r="C128">
            <v>4805</v>
          </cell>
          <cell r="D128">
            <v>23.5</v>
          </cell>
          <cell r="E128">
            <v>79.349999999999994</v>
          </cell>
          <cell r="F128">
            <v>691.71</v>
          </cell>
          <cell r="G128">
            <v>0.14395629552549427</v>
          </cell>
          <cell r="H128">
            <v>702</v>
          </cell>
          <cell r="I128">
            <v>100.28571428571429</v>
          </cell>
          <cell r="J128">
            <v>832</v>
          </cell>
          <cell r="K128">
            <v>0</v>
          </cell>
          <cell r="L128">
            <v>7</v>
          </cell>
          <cell r="M128">
            <v>72</v>
          </cell>
          <cell r="N128">
            <v>8.6538461538461536E-2</v>
          </cell>
          <cell r="O128">
            <v>170</v>
          </cell>
          <cell r="P128">
            <v>24.285714285714285</v>
          </cell>
          <cell r="Q128">
            <v>0.1152473785319779</v>
          </cell>
        </row>
        <row r="129">
          <cell r="A129">
            <v>1740</v>
          </cell>
          <cell r="B129" t="str">
            <v>TARNOS</v>
          </cell>
          <cell r="C129">
            <v>1515</v>
          </cell>
          <cell r="D129">
            <v>5</v>
          </cell>
          <cell r="E129">
            <v>15</v>
          </cell>
          <cell r="F129">
            <v>206.11</v>
          </cell>
          <cell r="G129">
            <v>0.13604620462046205</v>
          </cell>
          <cell r="H129">
            <v>234</v>
          </cell>
          <cell r="I129">
            <v>33.428571428571431</v>
          </cell>
          <cell r="J129">
            <v>277</v>
          </cell>
          <cell r="K129">
            <v>0</v>
          </cell>
          <cell r="L129">
            <v>2</v>
          </cell>
          <cell r="M129">
            <v>20</v>
          </cell>
          <cell r="N129">
            <v>7.2202166064981949E-2</v>
          </cell>
          <cell r="O129">
            <v>61</v>
          </cell>
          <cell r="P129">
            <v>8.7142857142857135</v>
          </cell>
          <cell r="Q129">
            <v>0.104124185342722</v>
          </cell>
        </row>
        <row r="130">
          <cell r="A130">
            <v>1746</v>
          </cell>
          <cell r="B130" t="str">
            <v>CAPBRETON</v>
          </cell>
          <cell r="C130">
            <v>1985</v>
          </cell>
          <cell r="D130">
            <v>0</v>
          </cell>
          <cell r="E130">
            <v>30.85</v>
          </cell>
          <cell r="F130">
            <v>334.6</v>
          </cell>
          <cell r="G130">
            <v>0.16856423173803528</v>
          </cell>
          <cell r="H130">
            <v>242</v>
          </cell>
          <cell r="I130">
            <v>34.571428571428569</v>
          </cell>
          <cell r="J130">
            <v>321</v>
          </cell>
          <cell r="K130">
            <v>0</v>
          </cell>
          <cell r="L130">
            <v>5</v>
          </cell>
          <cell r="M130">
            <v>31</v>
          </cell>
          <cell r="N130">
            <v>9.657320872274143E-2</v>
          </cell>
          <cell r="O130">
            <v>63</v>
          </cell>
          <cell r="P130">
            <v>9</v>
          </cell>
          <cell r="Q130">
            <v>0.13256872023038835</v>
          </cell>
        </row>
        <row r="131">
          <cell r="A131">
            <v>1753</v>
          </cell>
          <cell r="B131" t="str">
            <v>SAINT VINCENT DE TYROSSE</v>
          </cell>
          <cell r="C131">
            <v>1305</v>
          </cell>
          <cell r="D131">
            <v>18.5</v>
          </cell>
          <cell r="E131">
            <v>33.5</v>
          </cell>
          <cell r="F131">
            <v>151</v>
          </cell>
          <cell r="G131">
            <v>0.11570881226053639</v>
          </cell>
          <cell r="H131">
            <v>228</v>
          </cell>
          <cell r="I131">
            <v>32.571428571428569</v>
          </cell>
          <cell r="J131">
            <v>234</v>
          </cell>
          <cell r="K131">
            <v>0</v>
          </cell>
          <cell r="L131">
            <v>0</v>
          </cell>
          <cell r="M131">
            <v>21</v>
          </cell>
          <cell r="N131">
            <v>8.9743589743589744E-2</v>
          </cell>
          <cell r="O131">
            <v>47</v>
          </cell>
          <cell r="P131">
            <v>6.7142857142857144</v>
          </cell>
          <cell r="Q131">
            <v>0.10272620100206306</v>
          </cell>
        </row>
        <row r="132">
          <cell r="A132">
            <v>43804</v>
          </cell>
          <cell r="B132" t="str">
            <v>DGA VIENNE</v>
          </cell>
          <cell r="C132">
            <v>9740</v>
          </cell>
          <cell r="D132">
            <v>76.959999999999994</v>
          </cell>
          <cell r="E132">
            <v>172.48</v>
          </cell>
          <cell r="F132">
            <v>922.7</v>
          </cell>
          <cell r="G132">
            <v>9.4733059548254631E-2</v>
          </cell>
          <cell r="H132">
            <v>1902</v>
          </cell>
          <cell r="I132">
            <v>271.71428571428572</v>
          </cell>
          <cell r="J132">
            <v>2253</v>
          </cell>
          <cell r="K132">
            <v>8</v>
          </cell>
          <cell r="L132">
            <v>29</v>
          </cell>
          <cell r="M132">
            <v>224</v>
          </cell>
          <cell r="N132">
            <v>9.9422991566799818E-2</v>
          </cell>
          <cell r="O132">
            <v>430</v>
          </cell>
          <cell r="P132">
            <v>61.428571428571431</v>
          </cell>
          <cell r="Q132">
            <v>9.7078025557527231E-2</v>
          </cell>
        </row>
        <row r="133">
          <cell r="A133">
            <v>57800</v>
          </cell>
          <cell r="B133" t="str">
            <v>Multisite POITIERS</v>
          </cell>
          <cell r="C133">
            <v>3950</v>
          </cell>
          <cell r="D133">
            <v>11.27</v>
          </cell>
          <cell r="E133">
            <v>45.46</v>
          </cell>
          <cell r="F133">
            <v>339.11</v>
          </cell>
          <cell r="G133">
            <v>8.5850632911392402E-2</v>
          </cell>
          <cell r="H133">
            <v>807</v>
          </cell>
          <cell r="I133">
            <v>115.28571428571429</v>
          </cell>
          <cell r="J133">
            <v>925</v>
          </cell>
          <cell r="K133">
            <v>3</v>
          </cell>
          <cell r="L133">
            <v>10</v>
          </cell>
          <cell r="M133">
            <v>82</v>
          </cell>
          <cell r="N133">
            <v>8.8648648648648645E-2</v>
          </cell>
          <cell r="O133">
            <v>187</v>
          </cell>
          <cell r="P133">
            <v>26.714285714285715</v>
          </cell>
          <cell r="Q133">
            <v>8.7249640780020524E-2</v>
          </cell>
        </row>
        <row r="134">
          <cell r="A134">
            <v>7800</v>
          </cell>
          <cell r="B134" t="str">
            <v>POITIERS</v>
          </cell>
          <cell r="C134">
            <v>2800</v>
          </cell>
          <cell r="D134">
            <v>1.5</v>
          </cell>
          <cell r="E134">
            <v>22.7</v>
          </cell>
          <cell r="F134">
            <v>231.06</v>
          </cell>
          <cell r="G134">
            <v>8.2521428571428579E-2</v>
          </cell>
          <cell r="H134">
            <v>581</v>
          </cell>
          <cell r="I134">
            <v>83</v>
          </cell>
          <cell r="J134">
            <v>693</v>
          </cell>
          <cell r="K134">
            <v>3</v>
          </cell>
          <cell r="L134">
            <v>10</v>
          </cell>
          <cell r="M134">
            <v>70</v>
          </cell>
          <cell r="N134">
            <v>0.10101010101010101</v>
          </cell>
          <cell r="O134">
            <v>131</v>
          </cell>
          <cell r="P134">
            <v>18.714285714285715</v>
          </cell>
          <cell r="Q134">
            <v>9.1765764790764787E-2</v>
          </cell>
        </row>
        <row r="135">
          <cell r="A135">
            <v>7803</v>
          </cell>
          <cell r="B135" t="str">
            <v>POITIERS BOURBEAU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</row>
        <row r="136">
          <cell r="A136">
            <v>7839</v>
          </cell>
          <cell r="B136" t="str">
            <v>POITIERS LIBERATION</v>
          </cell>
          <cell r="C136">
            <v>1150</v>
          </cell>
          <cell r="D136">
            <v>9.77</v>
          </cell>
          <cell r="E136">
            <v>22.76</v>
          </cell>
          <cell r="F136">
            <v>108.06</v>
          </cell>
          <cell r="G136">
            <v>9.3965217391304354E-2</v>
          </cell>
          <cell r="H136">
            <v>226</v>
          </cell>
          <cell r="I136">
            <v>32.285714285714285</v>
          </cell>
          <cell r="J136">
            <v>232</v>
          </cell>
          <cell r="K136">
            <v>0</v>
          </cell>
          <cell r="L136">
            <v>0</v>
          </cell>
          <cell r="M136">
            <v>12</v>
          </cell>
          <cell r="N136">
            <v>5.1724137931034482E-2</v>
          </cell>
          <cell r="O136">
            <v>56</v>
          </cell>
          <cell r="P136">
            <v>8</v>
          </cell>
          <cell r="Q136">
            <v>7.2844677661169421E-2</v>
          </cell>
        </row>
        <row r="137">
          <cell r="A137">
            <v>7831</v>
          </cell>
          <cell r="B137" t="str">
            <v>CHATELLERAULT</v>
          </cell>
          <cell r="C137">
            <v>2545</v>
          </cell>
          <cell r="D137">
            <v>25</v>
          </cell>
          <cell r="E137">
            <v>63.51</v>
          </cell>
          <cell r="F137">
            <v>345.9</v>
          </cell>
          <cell r="G137">
            <v>0.13591355599214144</v>
          </cell>
          <cell r="H137">
            <v>393</v>
          </cell>
          <cell r="I137">
            <v>56.142857142857146</v>
          </cell>
          <cell r="J137">
            <v>550</v>
          </cell>
          <cell r="K137">
            <v>3</v>
          </cell>
          <cell r="L137">
            <v>10</v>
          </cell>
          <cell r="M137">
            <v>62</v>
          </cell>
          <cell r="N137">
            <v>0.11272727272727273</v>
          </cell>
          <cell r="O137">
            <v>98</v>
          </cell>
          <cell r="P137">
            <v>14</v>
          </cell>
          <cell r="Q137">
            <v>0.12432041435970709</v>
          </cell>
        </row>
        <row r="138">
          <cell r="A138">
            <v>57836</v>
          </cell>
          <cell r="B138" t="str">
            <v>Multisite POITIERS PROVENCE</v>
          </cell>
          <cell r="C138">
            <v>3245</v>
          </cell>
          <cell r="D138">
            <v>40.700000000000003</v>
          </cell>
          <cell r="E138">
            <v>63.52</v>
          </cell>
          <cell r="F138">
            <v>237.7</v>
          </cell>
          <cell r="G138">
            <v>7.3251155624036973E-2</v>
          </cell>
          <cell r="H138">
            <v>704</v>
          </cell>
          <cell r="I138">
            <v>100.57142857142857</v>
          </cell>
          <cell r="J138">
            <v>778</v>
          </cell>
          <cell r="K138">
            <v>2</v>
          </cell>
          <cell r="L138">
            <v>9</v>
          </cell>
          <cell r="M138">
            <v>80</v>
          </cell>
          <cell r="N138">
            <v>0.10282776349614396</v>
          </cell>
          <cell r="O138">
            <v>146</v>
          </cell>
          <cell r="P138">
            <v>20.857142857142858</v>
          </cell>
          <cell r="Q138">
            <v>8.8039459560090461E-2</v>
          </cell>
        </row>
        <row r="139">
          <cell r="A139">
            <v>7802</v>
          </cell>
          <cell r="B139" t="str">
            <v>NEUVILLE DE POITOU</v>
          </cell>
          <cell r="C139">
            <v>794</v>
          </cell>
          <cell r="D139">
            <v>0</v>
          </cell>
          <cell r="E139">
            <v>4</v>
          </cell>
          <cell r="F139">
            <v>81.180000000000007</v>
          </cell>
          <cell r="G139">
            <v>0.10224181360201512</v>
          </cell>
          <cell r="H139">
            <v>150</v>
          </cell>
          <cell r="I139">
            <v>21.428571428571427</v>
          </cell>
          <cell r="J139">
            <v>156</v>
          </cell>
          <cell r="K139">
            <v>0</v>
          </cell>
          <cell r="L139">
            <v>1</v>
          </cell>
          <cell r="M139">
            <v>11</v>
          </cell>
          <cell r="N139">
            <v>7.0512820512820512E-2</v>
          </cell>
          <cell r="O139">
            <v>35</v>
          </cell>
          <cell r="P139">
            <v>5</v>
          </cell>
          <cell r="Q139">
            <v>8.6377317057417816E-2</v>
          </cell>
        </row>
        <row r="140">
          <cell r="A140">
            <v>7832</v>
          </cell>
          <cell r="B140" t="str">
            <v>POITIERS BEAULIEU</v>
          </cell>
          <cell r="C140">
            <v>1351</v>
          </cell>
          <cell r="D140">
            <v>25.7</v>
          </cell>
          <cell r="E140">
            <v>36.979999999999997</v>
          </cell>
          <cell r="F140">
            <v>82.48</v>
          </cell>
          <cell r="G140">
            <v>6.1051073279052556E-2</v>
          </cell>
          <cell r="H140">
            <v>310</v>
          </cell>
          <cell r="I140">
            <v>44.285714285714285</v>
          </cell>
          <cell r="J140">
            <v>331</v>
          </cell>
          <cell r="K140">
            <v>1</v>
          </cell>
          <cell r="L140">
            <v>2</v>
          </cell>
          <cell r="M140">
            <v>37</v>
          </cell>
          <cell r="N140">
            <v>0.11178247734138973</v>
          </cell>
          <cell r="O140">
            <v>59</v>
          </cell>
          <cell r="P140">
            <v>8.4285714285714288</v>
          </cell>
          <cell r="Q140">
            <v>8.6416775310221142E-2</v>
          </cell>
        </row>
        <row r="141">
          <cell r="A141">
            <v>7836</v>
          </cell>
          <cell r="B141" t="str">
            <v>POITIERS PROVENCE</v>
          </cell>
          <cell r="C141">
            <v>1100</v>
          </cell>
          <cell r="D141">
            <v>15</v>
          </cell>
          <cell r="E141">
            <v>22.54</v>
          </cell>
          <cell r="F141">
            <v>74.040000000000006</v>
          </cell>
          <cell r="G141">
            <v>6.7309090909090916E-2</v>
          </cell>
          <cell r="H141">
            <v>245</v>
          </cell>
          <cell r="I141">
            <v>35</v>
          </cell>
          <cell r="J141">
            <v>291</v>
          </cell>
          <cell r="K141">
            <v>1</v>
          </cell>
          <cell r="L141">
            <v>6</v>
          </cell>
          <cell r="M141">
            <v>32</v>
          </cell>
          <cell r="N141">
            <v>0.10996563573883161</v>
          </cell>
          <cell r="O141">
            <v>53</v>
          </cell>
          <cell r="P141">
            <v>7.5714285714285712</v>
          </cell>
          <cell r="Q141">
            <v>8.8637363323961271E-2</v>
          </cell>
        </row>
        <row r="142">
          <cell r="A142">
            <v>43812</v>
          </cell>
          <cell r="B142" t="str">
            <v>DGA PAYS ROCHELAIS DEUX SEVRES</v>
          </cell>
          <cell r="C142">
            <v>14140</v>
          </cell>
          <cell r="D142">
            <v>105.5</v>
          </cell>
          <cell r="E142">
            <v>182.5</v>
          </cell>
          <cell r="F142">
            <v>1503.33</v>
          </cell>
          <cell r="G142">
            <v>0.10631753889674682</v>
          </cell>
          <cell r="H142">
            <v>2598</v>
          </cell>
          <cell r="I142">
            <v>371.14285714285717</v>
          </cell>
          <cell r="J142">
            <v>3029</v>
          </cell>
          <cell r="K142">
            <v>8</v>
          </cell>
          <cell r="L142">
            <v>41</v>
          </cell>
          <cell r="M142">
            <v>319</v>
          </cell>
          <cell r="N142">
            <v>0.1053152855727963</v>
          </cell>
          <cell r="O142">
            <v>560</v>
          </cell>
          <cell r="P142">
            <v>80</v>
          </cell>
          <cell r="Q142">
            <v>0.10581641223477156</v>
          </cell>
        </row>
        <row r="143">
          <cell r="A143">
            <v>55131</v>
          </cell>
          <cell r="B143" t="str">
            <v>Multisite BRESSUIRE</v>
          </cell>
          <cell r="C143">
            <v>2418</v>
          </cell>
          <cell r="D143">
            <v>75.5</v>
          </cell>
          <cell r="E143">
            <v>75.5</v>
          </cell>
          <cell r="F143">
            <v>441.1</v>
          </cell>
          <cell r="G143">
            <v>0.18242349048800663</v>
          </cell>
          <cell r="H143">
            <v>261</v>
          </cell>
          <cell r="I143">
            <v>37.285714285714285</v>
          </cell>
          <cell r="J143">
            <v>469</v>
          </cell>
          <cell r="K143">
            <v>2</v>
          </cell>
          <cell r="L143">
            <v>3</v>
          </cell>
          <cell r="M143">
            <v>51</v>
          </cell>
          <cell r="N143">
            <v>0.10874200426439233</v>
          </cell>
          <cell r="O143">
            <v>86</v>
          </cell>
          <cell r="P143">
            <v>12.285714285714286</v>
          </cell>
          <cell r="Q143">
            <v>0.14558274737619947</v>
          </cell>
        </row>
        <row r="144">
          <cell r="A144">
            <v>5131</v>
          </cell>
          <cell r="B144" t="str">
            <v>BRESSUIRE</v>
          </cell>
          <cell r="C144">
            <v>985</v>
          </cell>
          <cell r="D144">
            <v>72</v>
          </cell>
          <cell r="E144">
            <v>72</v>
          </cell>
          <cell r="F144">
            <v>311.5</v>
          </cell>
          <cell r="G144">
            <v>0.31624365482233502</v>
          </cell>
          <cell r="H144">
            <v>0</v>
          </cell>
          <cell r="I144">
            <v>0</v>
          </cell>
          <cell r="J144">
            <v>180</v>
          </cell>
          <cell r="K144">
            <v>0</v>
          </cell>
          <cell r="L144">
            <v>0</v>
          </cell>
          <cell r="M144">
            <v>21</v>
          </cell>
          <cell r="N144">
            <v>0.11666666666666667</v>
          </cell>
          <cell r="O144">
            <v>32</v>
          </cell>
          <cell r="P144">
            <v>4.5714285714285712</v>
          </cell>
          <cell r="Q144">
            <v>0.21645516074450083</v>
          </cell>
        </row>
        <row r="145">
          <cell r="A145">
            <v>5139</v>
          </cell>
          <cell r="B145" t="str">
            <v>THOUARS</v>
          </cell>
          <cell r="C145">
            <v>685</v>
          </cell>
          <cell r="D145">
            <v>3.5</v>
          </cell>
          <cell r="E145">
            <v>3.5</v>
          </cell>
          <cell r="F145">
            <v>74.16</v>
          </cell>
          <cell r="G145">
            <v>0.10826277372262773</v>
          </cell>
          <cell r="H145">
            <v>125</v>
          </cell>
          <cell r="I145">
            <v>17.857142857142858</v>
          </cell>
          <cell r="J145">
            <v>141</v>
          </cell>
          <cell r="K145">
            <v>0</v>
          </cell>
          <cell r="L145">
            <v>0</v>
          </cell>
          <cell r="M145">
            <v>15</v>
          </cell>
          <cell r="N145">
            <v>0.10638297872340426</v>
          </cell>
          <cell r="O145">
            <v>26</v>
          </cell>
          <cell r="P145">
            <v>3.7142857142857144</v>
          </cell>
          <cell r="Q145">
            <v>0.10732287622301599</v>
          </cell>
        </row>
        <row r="146">
          <cell r="A146">
            <v>7834</v>
          </cell>
          <cell r="B146" t="str">
            <v>PARTHENAY</v>
          </cell>
          <cell r="C146">
            <v>748</v>
          </cell>
          <cell r="D146">
            <v>0</v>
          </cell>
          <cell r="E146">
            <v>0</v>
          </cell>
          <cell r="F146">
            <v>55.44</v>
          </cell>
          <cell r="G146">
            <v>7.4117647058823524E-2</v>
          </cell>
          <cell r="H146">
            <v>162</v>
          </cell>
          <cell r="I146">
            <v>23.142857142857142</v>
          </cell>
          <cell r="J146">
            <v>148</v>
          </cell>
          <cell r="K146">
            <v>2</v>
          </cell>
          <cell r="L146">
            <v>3</v>
          </cell>
          <cell r="M146">
            <v>15</v>
          </cell>
          <cell r="N146">
            <v>0.10135135135135136</v>
          </cell>
          <cell r="O146">
            <v>28</v>
          </cell>
          <cell r="P146">
            <v>4</v>
          </cell>
          <cell r="Q146">
            <v>8.7734499205087441E-2</v>
          </cell>
        </row>
        <row r="147">
          <cell r="A147">
            <v>57833</v>
          </cell>
          <cell r="B147" t="str">
            <v>Multisite NIORT</v>
          </cell>
          <cell r="C147">
            <v>3070</v>
          </cell>
          <cell r="D147">
            <v>0</v>
          </cell>
          <cell r="E147">
            <v>3</v>
          </cell>
          <cell r="F147">
            <v>223.99</v>
          </cell>
          <cell r="G147">
            <v>7.2960912052117272E-2</v>
          </cell>
          <cell r="H147">
            <v>667</v>
          </cell>
          <cell r="I147">
            <v>95.285714285714292</v>
          </cell>
          <cell r="J147">
            <v>702</v>
          </cell>
          <cell r="K147">
            <v>3</v>
          </cell>
          <cell r="L147">
            <v>16</v>
          </cell>
          <cell r="M147">
            <v>66</v>
          </cell>
          <cell r="N147">
            <v>9.4017094017094016E-2</v>
          </cell>
          <cell r="O147">
            <v>138</v>
          </cell>
          <cell r="P147">
            <v>19.714285714285715</v>
          </cell>
          <cell r="Q147">
            <v>8.3489003034605644E-2</v>
          </cell>
        </row>
        <row r="148">
          <cell r="A148">
            <v>7833</v>
          </cell>
          <cell r="B148" t="str">
            <v>NIORT</v>
          </cell>
          <cell r="C148">
            <v>2190</v>
          </cell>
          <cell r="D148">
            <v>0</v>
          </cell>
          <cell r="E148">
            <v>0</v>
          </cell>
          <cell r="F148">
            <v>155.38999999999999</v>
          </cell>
          <cell r="G148">
            <v>7.0954337899543377E-2</v>
          </cell>
          <cell r="H148">
            <v>480</v>
          </cell>
          <cell r="I148">
            <v>68.571428571428569</v>
          </cell>
          <cell r="J148">
            <v>487</v>
          </cell>
          <cell r="K148">
            <v>2</v>
          </cell>
          <cell r="L148">
            <v>12</v>
          </cell>
          <cell r="M148">
            <v>51</v>
          </cell>
          <cell r="N148">
            <v>0.10472279260780287</v>
          </cell>
          <cell r="O148">
            <v>91</v>
          </cell>
          <cell r="P148">
            <v>13</v>
          </cell>
          <cell r="Q148">
            <v>8.7838565253673118E-2</v>
          </cell>
        </row>
        <row r="149">
          <cell r="A149">
            <v>7835</v>
          </cell>
          <cell r="B149" t="str">
            <v>SAINT MAIXENT L'ECOLE</v>
          </cell>
          <cell r="C149">
            <v>660</v>
          </cell>
          <cell r="D149">
            <v>0</v>
          </cell>
          <cell r="E149">
            <v>3</v>
          </cell>
          <cell r="F149">
            <v>68.599999999999994</v>
          </cell>
          <cell r="G149">
            <v>0.10393939393939393</v>
          </cell>
          <cell r="H149">
            <v>123</v>
          </cell>
          <cell r="I149">
            <v>17.571428571428573</v>
          </cell>
          <cell r="J149">
            <v>148</v>
          </cell>
          <cell r="K149">
            <v>1</v>
          </cell>
          <cell r="L149">
            <v>4</v>
          </cell>
          <cell r="M149">
            <v>12</v>
          </cell>
          <cell r="N149">
            <v>8.1081081081081086E-2</v>
          </cell>
          <cell r="O149">
            <v>31</v>
          </cell>
          <cell r="P149">
            <v>4.4285714285714288</v>
          </cell>
          <cell r="Q149">
            <v>9.2510237510237514E-2</v>
          </cell>
        </row>
        <row r="150">
          <cell r="A150">
            <v>7837</v>
          </cell>
          <cell r="B150" t="str">
            <v>MELLE</v>
          </cell>
          <cell r="C150">
            <v>220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64</v>
          </cell>
          <cell r="I150">
            <v>9.1428571428571423</v>
          </cell>
          <cell r="J150">
            <v>67</v>
          </cell>
          <cell r="K150">
            <v>0</v>
          </cell>
          <cell r="L150">
            <v>0</v>
          </cell>
          <cell r="M150">
            <v>3</v>
          </cell>
          <cell r="N150">
            <v>4.4776119402985072E-2</v>
          </cell>
          <cell r="O150">
            <v>17</v>
          </cell>
          <cell r="P150">
            <v>2.4285714285714284</v>
          </cell>
          <cell r="Q150">
            <v>2.2388059701492536E-2</v>
          </cell>
        </row>
        <row r="151">
          <cell r="A151">
            <v>58100</v>
          </cell>
          <cell r="B151" t="str">
            <v>Multisite LA ROCHELLE</v>
          </cell>
          <cell r="C151">
            <v>4660</v>
          </cell>
          <cell r="D151">
            <v>0</v>
          </cell>
          <cell r="E151">
            <v>62</v>
          </cell>
          <cell r="F151">
            <v>493.83</v>
          </cell>
          <cell r="G151">
            <v>0.10597210300429184</v>
          </cell>
          <cell r="H151">
            <v>858</v>
          </cell>
          <cell r="I151">
            <v>122.57142857142857</v>
          </cell>
          <cell r="J151">
            <v>1009</v>
          </cell>
          <cell r="K151">
            <v>1</v>
          </cell>
          <cell r="L151">
            <v>11</v>
          </cell>
          <cell r="M151">
            <v>102</v>
          </cell>
          <cell r="N151">
            <v>0.10109018830525272</v>
          </cell>
          <cell r="O151">
            <v>191</v>
          </cell>
          <cell r="P151">
            <v>27.285714285714285</v>
          </cell>
          <cell r="Q151">
            <v>0.10353114565477228</v>
          </cell>
        </row>
        <row r="152">
          <cell r="A152">
            <v>8100</v>
          </cell>
          <cell r="B152" t="str">
            <v>LA ROCHELLE</v>
          </cell>
          <cell r="C152">
            <v>2760</v>
          </cell>
          <cell r="D152">
            <v>0</v>
          </cell>
          <cell r="E152">
            <v>31</v>
          </cell>
          <cell r="F152">
            <v>208.07</v>
          </cell>
          <cell r="G152">
            <v>7.5387681159420281E-2</v>
          </cell>
          <cell r="H152">
            <v>593</v>
          </cell>
          <cell r="I152">
            <v>84.714285714285708</v>
          </cell>
          <cell r="J152">
            <v>600</v>
          </cell>
          <cell r="K152">
            <v>1</v>
          </cell>
          <cell r="L152">
            <v>6</v>
          </cell>
          <cell r="M152">
            <v>53</v>
          </cell>
          <cell r="N152">
            <v>8.8333333333333333E-2</v>
          </cell>
          <cell r="O152">
            <v>121</v>
          </cell>
          <cell r="P152">
            <v>17.285714285714285</v>
          </cell>
          <cell r="Q152">
            <v>8.1860507246376807E-2</v>
          </cell>
        </row>
        <row r="153">
          <cell r="A153">
            <v>8146</v>
          </cell>
          <cell r="B153" t="str">
            <v>LA ROCHELLE BEL AIR</v>
          </cell>
          <cell r="C153">
            <v>1060</v>
          </cell>
          <cell r="D153">
            <v>0</v>
          </cell>
          <cell r="E153">
            <v>5</v>
          </cell>
          <cell r="F153">
            <v>67.81</v>
          </cell>
          <cell r="G153">
            <v>6.3971698113207548E-2</v>
          </cell>
          <cell r="H153">
            <v>240</v>
          </cell>
          <cell r="I153">
            <v>34.285714285714285</v>
          </cell>
          <cell r="J153">
            <v>236</v>
          </cell>
          <cell r="K153">
            <v>0</v>
          </cell>
          <cell r="L153">
            <v>3</v>
          </cell>
          <cell r="M153">
            <v>28</v>
          </cell>
          <cell r="N153">
            <v>0.11864406779661017</v>
          </cell>
          <cell r="O153">
            <v>41</v>
          </cell>
          <cell r="P153">
            <v>5.8571428571428568</v>
          </cell>
          <cell r="Q153">
            <v>9.1307882954908853E-2</v>
          </cell>
        </row>
        <row r="154">
          <cell r="A154">
            <v>8150</v>
          </cell>
          <cell r="B154" t="str">
            <v>LA ROCHELLE MARCHE</v>
          </cell>
          <cell r="C154">
            <v>840</v>
          </cell>
          <cell r="D154">
            <v>0</v>
          </cell>
          <cell r="E154">
            <v>26</v>
          </cell>
          <cell r="F154">
            <v>217.95</v>
          </cell>
          <cell r="G154">
            <v>0.2594642857142857</v>
          </cell>
          <cell r="H154">
            <v>26</v>
          </cell>
          <cell r="I154">
            <v>3.7142857142857144</v>
          </cell>
          <cell r="J154">
            <v>173</v>
          </cell>
          <cell r="K154">
            <v>0</v>
          </cell>
          <cell r="L154">
            <v>2</v>
          </cell>
          <cell r="M154">
            <v>21</v>
          </cell>
          <cell r="N154">
            <v>0.12138728323699421</v>
          </cell>
          <cell r="O154">
            <v>30</v>
          </cell>
          <cell r="P154">
            <v>4.2857142857142856</v>
          </cell>
          <cell r="Q154">
            <v>0.19042578447563996</v>
          </cell>
        </row>
        <row r="155">
          <cell r="A155">
            <v>58143</v>
          </cell>
          <cell r="B155" t="str">
            <v>Multisite AYTRE</v>
          </cell>
          <cell r="C155">
            <v>3262</v>
          </cell>
          <cell r="D155">
            <v>3</v>
          </cell>
          <cell r="E155">
            <v>15</v>
          </cell>
          <cell r="F155">
            <v>287.41000000000003</v>
          </cell>
          <cell r="G155">
            <v>8.8108522378908649E-2</v>
          </cell>
          <cell r="H155">
            <v>659</v>
          </cell>
          <cell r="I155">
            <v>94.142857142857139</v>
          </cell>
          <cell r="J155">
            <v>685</v>
          </cell>
          <cell r="K155">
            <v>1</v>
          </cell>
          <cell r="L155">
            <v>9</v>
          </cell>
          <cell r="M155">
            <v>83</v>
          </cell>
          <cell r="N155">
            <v>0.12116788321167883</v>
          </cell>
          <cell r="O155">
            <v>116</v>
          </cell>
          <cell r="P155">
            <v>16.571428571428573</v>
          </cell>
          <cell r="Q155">
            <v>0.10463820279529373</v>
          </cell>
        </row>
        <row r="156">
          <cell r="A156">
            <v>8143</v>
          </cell>
          <cell r="B156" t="str">
            <v>AYTRE</v>
          </cell>
          <cell r="C156">
            <v>1404</v>
          </cell>
          <cell r="D156">
            <v>3</v>
          </cell>
          <cell r="E156">
            <v>6</v>
          </cell>
          <cell r="F156">
            <v>89.27</v>
          </cell>
          <cell r="G156">
            <v>6.3582621082621082E-2</v>
          </cell>
          <cell r="H156">
            <v>318</v>
          </cell>
          <cell r="I156">
            <v>45.428571428571431</v>
          </cell>
          <cell r="J156">
            <v>277</v>
          </cell>
          <cell r="K156">
            <v>0</v>
          </cell>
          <cell r="L156">
            <v>2</v>
          </cell>
          <cell r="M156">
            <v>23</v>
          </cell>
          <cell r="N156">
            <v>8.3032490974729242E-2</v>
          </cell>
          <cell r="O156">
            <v>58</v>
          </cell>
          <cell r="P156">
            <v>8.2857142857142865</v>
          </cell>
          <cell r="Q156">
            <v>7.3307556028675169E-2</v>
          </cell>
        </row>
        <row r="157">
          <cell r="A157">
            <v>8145</v>
          </cell>
          <cell r="B157" t="str">
            <v>MARANS</v>
          </cell>
          <cell r="C157">
            <v>509</v>
          </cell>
          <cell r="D157">
            <v>0</v>
          </cell>
          <cell r="E157">
            <v>9</v>
          </cell>
          <cell r="F157">
            <v>74.25</v>
          </cell>
          <cell r="G157">
            <v>0.14587426326129665</v>
          </cell>
          <cell r="H157">
            <v>74</v>
          </cell>
          <cell r="I157">
            <v>10.571428571428571</v>
          </cell>
          <cell r="J157">
            <v>112</v>
          </cell>
          <cell r="K157">
            <v>0</v>
          </cell>
          <cell r="L157">
            <v>3</v>
          </cell>
          <cell r="M157">
            <v>12</v>
          </cell>
          <cell r="N157">
            <v>0.10714285714285714</v>
          </cell>
          <cell r="O157">
            <v>21</v>
          </cell>
          <cell r="P157">
            <v>3</v>
          </cell>
          <cell r="Q157">
            <v>0.1265085602020769</v>
          </cell>
        </row>
        <row r="158">
          <cell r="A158">
            <v>8152</v>
          </cell>
          <cell r="B158" t="str">
            <v>PERIGNY</v>
          </cell>
          <cell r="C158">
            <v>894</v>
          </cell>
          <cell r="D158">
            <v>0</v>
          </cell>
          <cell r="E158">
            <v>0</v>
          </cell>
          <cell r="F158">
            <v>31.13</v>
          </cell>
          <cell r="G158">
            <v>3.4821029082774048E-2</v>
          </cell>
          <cell r="H158">
            <v>229</v>
          </cell>
          <cell r="I158">
            <v>32.714285714285715</v>
          </cell>
          <cell r="J158">
            <v>173</v>
          </cell>
          <cell r="K158">
            <v>0</v>
          </cell>
          <cell r="L158">
            <v>1</v>
          </cell>
          <cell r="M158">
            <v>21</v>
          </cell>
          <cell r="N158">
            <v>0.12138728323699421</v>
          </cell>
          <cell r="O158">
            <v>30</v>
          </cell>
          <cell r="P158">
            <v>4.2857142857142856</v>
          </cell>
          <cell r="Q158">
            <v>7.8104156159884128E-2</v>
          </cell>
        </row>
        <row r="159">
          <cell r="A159">
            <v>8153</v>
          </cell>
          <cell r="B159" t="str">
            <v>LA ROCHELLE LES MINIMES</v>
          </cell>
          <cell r="C159">
            <v>455</v>
          </cell>
          <cell r="D159">
            <v>0</v>
          </cell>
          <cell r="E159">
            <v>0</v>
          </cell>
          <cell r="F159">
            <v>92.77</v>
          </cell>
          <cell r="G159">
            <v>0.20389010989010989</v>
          </cell>
          <cell r="H159">
            <v>40</v>
          </cell>
          <cell r="I159">
            <v>5.7142857142857144</v>
          </cell>
          <cell r="J159">
            <v>123</v>
          </cell>
          <cell r="K159">
            <v>1</v>
          </cell>
          <cell r="L159">
            <v>3</v>
          </cell>
          <cell r="M159">
            <v>27</v>
          </cell>
          <cell r="N159">
            <v>0.21951219512195122</v>
          </cell>
          <cell r="O159">
            <v>9</v>
          </cell>
          <cell r="P159">
            <v>1.2857142857142858</v>
          </cell>
          <cell r="Q159">
            <v>0.21170115250603055</v>
          </cell>
        </row>
        <row r="160">
          <cell r="A160">
            <v>8148</v>
          </cell>
          <cell r="B160" t="str">
            <v>SAINT MARTIN DE RE</v>
          </cell>
          <cell r="C160">
            <v>730</v>
          </cell>
          <cell r="D160">
            <v>27</v>
          </cell>
          <cell r="E160">
            <v>27</v>
          </cell>
          <cell r="F160">
            <v>57</v>
          </cell>
          <cell r="G160">
            <v>7.8082191780821916E-2</v>
          </cell>
          <cell r="H160">
            <v>155</v>
          </cell>
          <cell r="I160">
            <v>22.142857142857142</v>
          </cell>
          <cell r="J160">
            <v>164</v>
          </cell>
          <cell r="K160">
            <v>1</v>
          </cell>
          <cell r="L160">
            <v>2</v>
          </cell>
          <cell r="M160">
            <v>17</v>
          </cell>
          <cell r="N160">
            <v>0.10365853658536585</v>
          </cell>
          <cell r="O160">
            <v>31</v>
          </cell>
          <cell r="P160">
            <v>4.4285714285714288</v>
          </cell>
          <cell r="Q160">
            <v>9.0870364183093882E-2</v>
          </cell>
        </row>
        <row r="161">
          <cell r="A161">
            <v>43816</v>
          </cell>
          <cell r="B161" t="str">
            <v>DGA CHARENTE MARITIME SUD</v>
          </cell>
          <cell r="C161">
            <v>9040</v>
          </cell>
          <cell r="D161">
            <v>0</v>
          </cell>
          <cell r="E161">
            <v>102.17</v>
          </cell>
          <cell r="F161">
            <v>939.97</v>
          </cell>
          <cell r="G161">
            <v>0.10397898230088495</v>
          </cell>
          <cell r="H161">
            <v>1682</v>
          </cell>
          <cell r="I161">
            <v>240.28571428571428</v>
          </cell>
          <cell r="J161">
            <v>2063</v>
          </cell>
          <cell r="K161">
            <v>6</v>
          </cell>
          <cell r="L161">
            <v>29</v>
          </cell>
          <cell r="M161">
            <v>183</v>
          </cell>
          <cell r="N161">
            <v>8.8705768298594279E-2</v>
          </cell>
          <cell r="O161">
            <v>416</v>
          </cell>
          <cell r="P161">
            <v>59.428571428571431</v>
          </cell>
          <cell r="Q161">
            <v>9.6342375299739616E-2</v>
          </cell>
        </row>
        <row r="162">
          <cell r="A162">
            <v>8131</v>
          </cell>
          <cell r="B162" t="str">
            <v>JONZAC</v>
          </cell>
          <cell r="C162">
            <v>850</v>
          </cell>
          <cell r="D162">
            <v>0</v>
          </cell>
          <cell r="E162">
            <v>5</v>
          </cell>
          <cell r="F162">
            <v>33.71</v>
          </cell>
          <cell r="G162">
            <v>3.9658823529411767E-2</v>
          </cell>
          <cell r="H162">
            <v>213</v>
          </cell>
          <cell r="I162">
            <v>30.428571428571427</v>
          </cell>
          <cell r="J162">
            <v>207</v>
          </cell>
          <cell r="K162">
            <v>0</v>
          </cell>
          <cell r="L162">
            <v>1</v>
          </cell>
          <cell r="M162">
            <v>16</v>
          </cell>
          <cell r="N162">
            <v>7.7294685990338161E-2</v>
          </cell>
          <cell r="O162">
            <v>45</v>
          </cell>
          <cell r="P162">
            <v>6.4285714285714288</v>
          </cell>
          <cell r="Q162">
            <v>5.847675475987496E-2</v>
          </cell>
        </row>
        <row r="163">
          <cell r="A163">
            <v>58134</v>
          </cell>
          <cell r="B163" t="str">
            <v>Multisite ROCHEFORT SUR MER</v>
          </cell>
          <cell r="C163">
            <v>2965</v>
          </cell>
          <cell r="D163">
            <v>0</v>
          </cell>
          <cell r="E163">
            <v>45.9</v>
          </cell>
          <cell r="F163">
            <v>326.43</v>
          </cell>
          <cell r="G163">
            <v>0.11009443507588533</v>
          </cell>
          <cell r="H163">
            <v>534</v>
          </cell>
          <cell r="I163">
            <v>76.285714285714292</v>
          </cell>
          <cell r="J163">
            <v>703</v>
          </cell>
          <cell r="K163">
            <v>3</v>
          </cell>
          <cell r="L163">
            <v>11</v>
          </cell>
          <cell r="M163">
            <v>78</v>
          </cell>
          <cell r="N163">
            <v>0.11095305832147938</v>
          </cell>
          <cell r="O163">
            <v>126</v>
          </cell>
          <cell r="P163">
            <v>18</v>
          </cell>
          <cell r="Q163">
            <v>0.11052374669868235</v>
          </cell>
        </row>
        <row r="164">
          <cell r="A164">
            <v>8134</v>
          </cell>
          <cell r="B164" t="str">
            <v>ROCHEFORT SUR MER</v>
          </cell>
          <cell r="C164">
            <v>1750</v>
          </cell>
          <cell r="D164">
            <v>0</v>
          </cell>
          <cell r="E164">
            <v>30.9</v>
          </cell>
          <cell r="F164">
            <v>225.63</v>
          </cell>
          <cell r="G164">
            <v>0.12893142857142856</v>
          </cell>
          <cell r="H164">
            <v>282</v>
          </cell>
          <cell r="I164">
            <v>40.285714285714285</v>
          </cell>
          <cell r="J164">
            <v>402</v>
          </cell>
          <cell r="K164">
            <v>2</v>
          </cell>
          <cell r="L164">
            <v>9</v>
          </cell>
          <cell r="M164">
            <v>53</v>
          </cell>
          <cell r="N164">
            <v>0.13184079601990051</v>
          </cell>
          <cell r="O164">
            <v>64</v>
          </cell>
          <cell r="P164">
            <v>9.1428571428571423</v>
          </cell>
          <cell r="Q164">
            <v>0.13038611229566455</v>
          </cell>
        </row>
        <row r="165">
          <cell r="A165">
            <v>8137</v>
          </cell>
          <cell r="B165" t="str">
            <v>SURGERES</v>
          </cell>
          <cell r="C165">
            <v>645</v>
          </cell>
          <cell r="D165">
            <v>0</v>
          </cell>
          <cell r="E165">
            <v>0</v>
          </cell>
          <cell r="F165">
            <v>43.8</v>
          </cell>
          <cell r="G165">
            <v>6.790697674418604E-2</v>
          </cell>
          <cell r="H165">
            <v>144</v>
          </cell>
          <cell r="I165">
            <v>20.571428571428573</v>
          </cell>
          <cell r="J165">
            <v>161</v>
          </cell>
          <cell r="K165">
            <v>0</v>
          </cell>
          <cell r="L165">
            <v>1</v>
          </cell>
          <cell r="M165">
            <v>12</v>
          </cell>
          <cell r="N165">
            <v>7.4534161490683232E-2</v>
          </cell>
          <cell r="O165">
            <v>35</v>
          </cell>
          <cell r="P165">
            <v>5</v>
          </cell>
          <cell r="Q165">
            <v>7.1220569117434629E-2</v>
          </cell>
        </row>
        <row r="166">
          <cell r="A166">
            <v>8142</v>
          </cell>
          <cell r="B166" t="str">
            <v>SAINT PIERRE D'OLERON</v>
          </cell>
          <cell r="C166">
            <v>570</v>
          </cell>
          <cell r="D166">
            <v>0</v>
          </cell>
          <cell r="E166">
            <v>15</v>
          </cell>
          <cell r="F166">
            <v>57</v>
          </cell>
          <cell r="G166">
            <v>0.1</v>
          </cell>
          <cell r="H166">
            <v>109</v>
          </cell>
          <cell r="I166">
            <v>15.571428571428571</v>
          </cell>
          <cell r="J166">
            <v>140</v>
          </cell>
          <cell r="K166">
            <v>1</v>
          </cell>
          <cell r="L166">
            <v>1</v>
          </cell>
          <cell r="M166">
            <v>13</v>
          </cell>
          <cell r="N166">
            <v>9.285714285714286E-2</v>
          </cell>
          <cell r="O166">
            <v>28</v>
          </cell>
          <cell r="P166">
            <v>4</v>
          </cell>
          <cell r="Q166">
            <v>9.6428571428571433E-2</v>
          </cell>
        </row>
        <row r="167">
          <cell r="A167">
            <v>58135</v>
          </cell>
          <cell r="B167" t="str">
            <v>Multisite SAINTES</v>
          </cell>
          <cell r="C167">
            <v>1690</v>
          </cell>
          <cell r="D167">
            <v>0</v>
          </cell>
          <cell r="E167">
            <v>15</v>
          </cell>
          <cell r="F167">
            <v>183.1</v>
          </cell>
          <cell r="G167">
            <v>0.10834319526627219</v>
          </cell>
          <cell r="H167">
            <v>307</v>
          </cell>
          <cell r="I167">
            <v>43.857142857142854</v>
          </cell>
          <cell r="J167">
            <v>374</v>
          </cell>
          <cell r="K167">
            <v>2</v>
          </cell>
          <cell r="L167">
            <v>9</v>
          </cell>
          <cell r="M167">
            <v>29</v>
          </cell>
          <cell r="N167">
            <v>7.7540106951871662E-2</v>
          </cell>
          <cell r="O167">
            <v>80</v>
          </cell>
          <cell r="P167">
            <v>11.428571428571429</v>
          </cell>
          <cell r="Q167">
            <v>9.2941651109071932E-2</v>
          </cell>
        </row>
        <row r="168">
          <cell r="A168">
            <v>8135</v>
          </cell>
          <cell r="B168" t="str">
            <v>SAINTES</v>
          </cell>
          <cell r="C168">
            <v>1110</v>
          </cell>
          <cell r="D168">
            <v>0</v>
          </cell>
          <cell r="E168">
            <v>15</v>
          </cell>
          <cell r="F168">
            <v>134.1</v>
          </cell>
          <cell r="G168">
            <v>0.12081081081081081</v>
          </cell>
          <cell r="H168">
            <v>188</v>
          </cell>
          <cell r="I168">
            <v>26.857142857142858</v>
          </cell>
          <cell r="J168">
            <v>234</v>
          </cell>
          <cell r="K168">
            <v>0</v>
          </cell>
          <cell r="L168">
            <v>2</v>
          </cell>
          <cell r="M168">
            <v>12</v>
          </cell>
          <cell r="N168">
            <v>5.128205128205128E-2</v>
          </cell>
          <cell r="O168">
            <v>56</v>
          </cell>
          <cell r="P168">
            <v>8</v>
          </cell>
          <cell r="Q168">
            <v>8.6046431046431046E-2</v>
          </cell>
        </row>
        <row r="169">
          <cell r="A169">
            <v>8160</v>
          </cell>
          <cell r="B169" t="str">
            <v>SAINTES RECOUVRANCE</v>
          </cell>
          <cell r="C169">
            <v>580</v>
          </cell>
          <cell r="D169">
            <v>0</v>
          </cell>
          <cell r="E169">
            <v>0</v>
          </cell>
          <cell r="F169">
            <v>49</v>
          </cell>
          <cell r="G169">
            <v>8.4482758620689657E-2</v>
          </cell>
          <cell r="H169">
            <v>120</v>
          </cell>
          <cell r="I169">
            <v>17.142857142857142</v>
          </cell>
          <cell r="J169">
            <v>140</v>
          </cell>
          <cell r="K169">
            <v>2</v>
          </cell>
          <cell r="L169">
            <v>7</v>
          </cell>
          <cell r="M169">
            <v>17</v>
          </cell>
          <cell r="N169">
            <v>0.12142857142857143</v>
          </cell>
          <cell r="O169">
            <v>24</v>
          </cell>
          <cell r="P169">
            <v>3.4285714285714284</v>
          </cell>
          <cell r="Q169">
            <v>0.10295566502463055</v>
          </cell>
        </row>
        <row r="170">
          <cell r="A170">
            <v>8136</v>
          </cell>
          <cell r="B170" t="str">
            <v>SAINT JEAN D'ANGELY</v>
          </cell>
          <cell r="C170">
            <v>785</v>
          </cell>
          <cell r="D170">
            <v>0</v>
          </cell>
          <cell r="E170">
            <v>5</v>
          </cell>
          <cell r="F170">
            <v>32.799999999999997</v>
          </cell>
          <cell r="G170">
            <v>4.1783439490445856E-2</v>
          </cell>
          <cell r="H170">
            <v>195</v>
          </cell>
          <cell r="I170">
            <v>27.857142857142858</v>
          </cell>
          <cell r="J170">
            <v>194</v>
          </cell>
          <cell r="K170">
            <v>0</v>
          </cell>
          <cell r="L170">
            <v>3</v>
          </cell>
          <cell r="M170">
            <v>16</v>
          </cell>
          <cell r="N170">
            <v>8.247422680412371E-2</v>
          </cell>
          <cell r="O170">
            <v>41</v>
          </cell>
          <cell r="P170">
            <v>5.8571428571428568</v>
          </cell>
          <cell r="Q170">
            <v>6.2128833147284783E-2</v>
          </cell>
        </row>
        <row r="171">
          <cell r="A171">
            <v>8139</v>
          </cell>
          <cell r="B171" t="str">
            <v>MATHA</v>
          </cell>
          <cell r="C171">
            <v>420</v>
          </cell>
          <cell r="D171">
            <v>0</v>
          </cell>
          <cell r="E171">
            <v>0</v>
          </cell>
          <cell r="F171">
            <v>34.6</v>
          </cell>
          <cell r="G171">
            <v>8.2380952380952388E-2</v>
          </cell>
          <cell r="H171">
            <v>88</v>
          </cell>
          <cell r="I171">
            <v>12.571428571428571</v>
          </cell>
          <cell r="J171">
            <v>107</v>
          </cell>
          <cell r="K171">
            <v>0</v>
          </cell>
          <cell r="L171">
            <v>1</v>
          </cell>
          <cell r="M171">
            <v>6</v>
          </cell>
          <cell r="N171">
            <v>5.6074766355140186E-2</v>
          </cell>
          <cell r="O171">
            <v>26</v>
          </cell>
          <cell r="P171">
            <v>3.7142857142857144</v>
          </cell>
          <cell r="Q171">
            <v>6.9227859368046291E-2</v>
          </cell>
        </row>
        <row r="172">
          <cell r="A172">
            <v>8140</v>
          </cell>
          <cell r="B172" t="str">
            <v>ROYAN</v>
          </cell>
          <cell r="C172">
            <v>2330</v>
          </cell>
          <cell r="D172">
            <v>0</v>
          </cell>
          <cell r="E172">
            <v>31.27</v>
          </cell>
          <cell r="F172">
            <v>329.33</v>
          </cell>
          <cell r="G172">
            <v>0.14134334763948497</v>
          </cell>
          <cell r="H172">
            <v>347</v>
          </cell>
          <cell r="I172">
            <v>49.571428571428569</v>
          </cell>
          <cell r="J172">
            <v>478</v>
          </cell>
          <cell r="K172">
            <v>1</v>
          </cell>
          <cell r="L172">
            <v>4</v>
          </cell>
          <cell r="M172">
            <v>38</v>
          </cell>
          <cell r="N172">
            <v>7.9497907949790794E-2</v>
          </cell>
          <cell r="O172">
            <v>101</v>
          </cell>
          <cell r="P172">
            <v>14.428571428571429</v>
          </cell>
          <cell r="Q172">
            <v>0.11042062779463788</v>
          </cell>
        </row>
        <row r="173">
          <cell r="A173">
            <v>43874</v>
          </cell>
          <cell r="B173" t="str">
            <v>DGA CHARENTE</v>
          </cell>
          <cell r="C173">
            <v>11180</v>
          </cell>
          <cell r="D173">
            <v>15</v>
          </cell>
          <cell r="E173">
            <v>182.2</v>
          </cell>
          <cell r="F173">
            <v>1124.26</v>
          </cell>
          <cell r="G173">
            <v>0.10055992844364937</v>
          </cell>
          <cell r="H173">
            <v>2118</v>
          </cell>
          <cell r="I173">
            <v>302.57142857142856</v>
          </cell>
          <cell r="J173">
            <v>2027</v>
          </cell>
          <cell r="K173">
            <v>4</v>
          </cell>
          <cell r="L173">
            <v>21</v>
          </cell>
          <cell r="M173">
            <v>189</v>
          </cell>
          <cell r="N173">
            <v>9.3241243216576217E-2</v>
          </cell>
          <cell r="O173">
            <v>399</v>
          </cell>
          <cell r="P173">
            <v>57</v>
          </cell>
          <cell r="Q173">
            <v>9.6900585830112795E-2</v>
          </cell>
        </row>
        <row r="174">
          <cell r="A174">
            <v>55200</v>
          </cell>
          <cell r="B174" t="str">
            <v>Multisite ANGOULEME</v>
          </cell>
          <cell r="C174">
            <v>3776</v>
          </cell>
          <cell r="D174">
            <v>0</v>
          </cell>
          <cell r="E174">
            <v>36.5</v>
          </cell>
          <cell r="F174">
            <v>384.5</v>
          </cell>
          <cell r="G174">
            <v>0.10182733050847458</v>
          </cell>
          <cell r="H174">
            <v>711</v>
          </cell>
          <cell r="I174">
            <v>101.57142857142857</v>
          </cell>
          <cell r="J174">
            <v>729</v>
          </cell>
          <cell r="K174">
            <v>1</v>
          </cell>
          <cell r="L174">
            <v>6</v>
          </cell>
          <cell r="M174">
            <v>75</v>
          </cell>
          <cell r="N174">
            <v>0.102880658436214</v>
          </cell>
          <cell r="O174">
            <v>137</v>
          </cell>
          <cell r="P174">
            <v>19.571428571428573</v>
          </cell>
          <cell r="Q174">
            <v>0.10235399447234428</v>
          </cell>
        </row>
        <row r="175">
          <cell r="A175">
            <v>5200</v>
          </cell>
          <cell r="B175" t="str">
            <v>ANGOULEME</v>
          </cell>
          <cell r="C175">
            <v>2756</v>
          </cell>
          <cell r="D175">
            <v>0</v>
          </cell>
          <cell r="E175">
            <v>36.5</v>
          </cell>
          <cell r="F175">
            <v>335.14</v>
          </cell>
          <cell r="G175">
            <v>0.12160377358490565</v>
          </cell>
          <cell r="H175">
            <v>465</v>
          </cell>
          <cell r="I175">
            <v>66.428571428571431</v>
          </cell>
          <cell r="J175">
            <v>532</v>
          </cell>
          <cell r="K175">
            <v>1</v>
          </cell>
          <cell r="L175">
            <v>6</v>
          </cell>
          <cell r="M175">
            <v>62</v>
          </cell>
          <cell r="N175">
            <v>0.11654135338345864</v>
          </cell>
          <cell r="O175">
            <v>93</v>
          </cell>
          <cell r="P175">
            <v>13.285714285714286</v>
          </cell>
          <cell r="Q175">
            <v>0.11907256348418215</v>
          </cell>
        </row>
        <row r="176">
          <cell r="A176">
            <v>5237</v>
          </cell>
          <cell r="B176" t="str">
            <v>RUELLE</v>
          </cell>
          <cell r="C176">
            <v>1020</v>
          </cell>
          <cell r="D176">
            <v>0</v>
          </cell>
          <cell r="E176">
            <v>0</v>
          </cell>
          <cell r="F176">
            <v>49.36</v>
          </cell>
          <cell r="G176">
            <v>4.8392156862745096E-2</v>
          </cell>
          <cell r="H176">
            <v>247</v>
          </cell>
          <cell r="I176">
            <v>35.285714285714285</v>
          </cell>
          <cell r="J176">
            <v>197</v>
          </cell>
          <cell r="K176">
            <v>0</v>
          </cell>
          <cell r="L176">
            <v>0</v>
          </cell>
          <cell r="M176">
            <v>13</v>
          </cell>
          <cell r="N176">
            <v>6.5989847715736044E-2</v>
          </cell>
          <cell r="O176">
            <v>45</v>
          </cell>
          <cell r="P176">
            <v>6.4285714285714288</v>
          </cell>
          <cell r="Q176">
            <v>5.7191002289240567E-2</v>
          </cell>
        </row>
        <row r="177">
          <cell r="A177">
            <v>5243</v>
          </cell>
          <cell r="B177" t="str">
            <v>ANGOULEME SAINT CYBARD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</row>
        <row r="178">
          <cell r="A178">
            <v>5231</v>
          </cell>
          <cell r="B178" t="str">
            <v>BARBEZIEUX</v>
          </cell>
          <cell r="C178">
            <v>724</v>
          </cell>
          <cell r="D178">
            <v>10</v>
          </cell>
          <cell r="E178">
            <v>40</v>
          </cell>
          <cell r="F178">
            <v>74.98</v>
          </cell>
          <cell r="G178">
            <v>0.10356353591160221</v>
          </cell>
          <cell r="H178">
            <v>135</v>
          </cell>
          <cell r="I178">
            <v>19.285714285714285</v>
          </cell>
          <cell r="J178">
            <v>125</v>
          </cell>
          <cell r="K178">
            <v>0</v>
          </cell>
          <cell r="L178">
            <v>1</v>
          </cell>
          <cell r="M178">
            <v>6</v>
          </cell>
          <cell r="N178">
            <v>4.8000000000000001E-2</v>
          </cell>
          <cell r="O178">
            <v>31</v>
          </cell>
          <cell r="P178">
            <v>4.4285714285714288</v>
          </cell>
          <cell r="Q178">
            <v>7.5781767955801105E-2</v>
          </cell>
        </row>
        <row r="179">
          <cell r="A179">
            <v>5234</v>
          </cell>
          <cell r="B179" t="str">
            <v>RUFFEC</v>
          </cell>
          <cell r="C179">
            <v>1250</v>
          </cell>
          <cell r="D179">
            <v>0</v>
          </cell>
          <cell r="E179">
            <v>37.200000000000003</v>
          </cell>
          <cell r="F179">
            <v>87.77</v>
          </cell>
          <cell r="G179">
            <v>7.0216000000000001E-2</v>
          </cell>
          <cell r="H179">
            <v>275</v>
          </cell>
          <cell r="I179">
            <v>39.285714285714285</v>
          </cell>
          <cell r="J179">
            <v>201</v>
          </cell>
          <cell r="K179">
            <v>0</v>
          </cell>
          <cell r="L179">
            <v>1</v>
          </cell>
          <cell r="M179">
            <v>16</v>
          </cell>
          <cell r="N179">
            <v>7.9601990049751242E-2</v>
          </cell>
          <cell r="O179">
            <v>43</v>
          </cell>
          <cell r="P179">
            <v>6.1428571428571432</v>
          </cell>
          <cell r="Q179">
            <v>7.4908995024875621E-2</v>
          </cell>
        </row>
        <row r="180">
          <cell r="A180">
            <v>5236</v>
          </cell>
          <cell r="B180" t="str">
            <v>ANGOULEME VICTOR HUGO</v>
          </cell>
          <cell r="C180">
            <v>1597</v>
          </cell>
          <cell r="D180">
            <v>5</v>
          </cell>
          <cell r="E180">
            <v>5</v>
          </cell>
          <cell r="F180">
            <v>117.94</v>
          </cell>
          <cell r="G180">
            <v>7.3850970569818403E-2</v>
          </cell>
          <cell r="H180">
            <v>346</v>
          </cell>
          <cell r="I180">
            <v>49.428571428571431</v>
          </cell>
          <cell r="J180">
            <v>287</v>
          </cell>
          <cell r="K180">
            <v>1</v>
          </cell>
          <cell r="L180">
            <v>5</v>
          </cell>
          <cell r="M180">
            <v>35</v>
          </cell>
          <cell r="N180">
            <v>0.12195121951219512</v>
          </cell>
          <cell r="O180">
            <v>49</v>
          </cell>
          <cell r="P180">
            <v>7</v>
          </cell>
          <cell r="Q180">
            <v>9.7901095041006761E-2</v>
          </cell>
        </row>
        <row r="181">
          <cell r="A181">
            <v>58138</v>
          </cell>
          <cell r="B181" t="str">
            <v>Multisite COGNAC</v>
          </cell>
          <cell r="C181">
            <v>3833</v>
          </cell>
          <cell r="D181">
            <v>0</v>
          </cell>
          <cell r="E181">
            <v>63.5</v>
          </cell>
          <cell r="F181">
            <v>459.07</v>
          </cell>
          <cell r="G181">
            <v>0.11976780589616488</v>
          </cell>
          <cell r="H181">
            <v>653</v>
          </cell>
          <cell r="I181">
            <v>93.285714285714292</v>
          </cell>
          <cell r="J181">
            <v>685</v>
          </cell>
          <cell r="K181">
            <v>2</v>
          </cell>
          <cell r="L181">
            <v>8</v>
          </cell>
          <cell r="M181">
            <v>57</v>
          </cell>
          <cell r="N181">
            <v>8.3211678832116789E-2</v>
          </cell>
          <cell r="O181">
            <v>142</v>
          </cell>
          <cell r="P181">
            <v>20.285714285714285</v>
          </cell>
          <cell r="Q181">
            <v>0.10148974236414084</v>
          </cell>
        </row>
        <row r="182">
          <cell r="A182">
            <v>5232</v>
          </cell>
          <cell r="B182" t="str">
            <v>JARNAC</v>
          </cell>
          <cell r="C182">
            <v>724</v>
          </cell>
          <cell r="D182">
            <v>0</v>
          </cell>
          <cell r="E182">
            <v>0</v>
          </cell>
          <cell r="F182">
            <v>151.69999999999999</v>
          </cell>
          <cell r="G182">
            <v>0.20953038674033148</v>
          </cell>
          <cell r="H182">
            <v>59</v>
          </cell>
          <cell r="I182">
            <v>8.4285714285714288</v>
          </cell>
          <cell r="J182">
            <v>131</v>
          </cell>
          <cell r="K182">
            <v>0</v>
          </cell>
          <cell r="L182">
            <v>0</v>
          </cell>
          <cell r="M182">
            <v>4</v>
          </cell>
          <cell r="N182">
            <v>3.0534351145038167E-2</v>
          </cell>
          <cell r="O182">
            <v>34</v>
          </cell>
          <cell r="P182">
            <v>4.8571428571428568</v>
          </cell>
          <cell r="Q182">
            <v>0.12003236894268482</v>
          </cell>
        </row>
        <row r="183">
          <cell r="A183">
            <v>5240</v>
          </cell>
          <cell r="B183" t="str">
            <v>ROUILLAC</v>
          </cell>
          <cell r="C183">
            <v>638</v>
          </cell>
          <cell r="D183">
            <v>0</v>
          </cell>
          <cell r="E183">
            <v>45</v>
          </cell>
          <cell r="F183">
            <v>127.17</v>
          </cell>
          <cell r="G183">
            <v>0.19932601880877743</v>
          </cell>
          <cell r="H183">
            <v>58</v>
          </cell>
          <cell r="I183">
            <v>8.2857142857142865</v>
          </cell>
          <cell r="J183">
            <v>119</v>
          </cell>
          <cell r="K183">
            <v>0</v>
          </cell>
          <cell r="L183">
            <v>2</v>
          </cell>
          <cell r="M183">
            <v>15</v>
          </cell>
          <cell r="N183">
            <v>0.12605042016806722</v>
          </cell>
          <cell r="O183">
            <v>20</v>
          </cell>
          <cell r="P183">
            <v>2.8571428571428572</v>
          </cell>
          <cell r="Q183">
            <v>0.16268821948842233</v>
          </cell>
        </row>
        <row r="184">
          <cell r="A184">
            <v>8138</v>
          </cell>
          <cell r="B184" t="str">
            <v>COGNAC</v>
          </cell>
          <cell r="C184">
            <v>2471</v>
          </cell>
          <cell r="D184">
            <v>0</v>
          </cell>
          <cell r="E184">
            <v>18.5</v>
          </cell>
          <cell r="F184">
            <v>180.2</v>
          </cell>
          <cell r="G184">
            <v>7.2925940914609466E-2</v>
          </cell>
          <cell r="H184">
            <v>537</v>
          </cell>
          <cell r="I184">
            <v>76.714285714285708</v>
          </cell>
          <cell r="J184">
            <v>435</v>
          </cell>
          <cell r="K184">
            <v>2</v>
          </cell>
          <cell r="L184">
            <v>6</v>
          </cell>
          <cell r="M184">
            <v>38</v>
          </cell>
          <cell r="N184">
            <v>8.7356321839080459E-2</v>
          </cell>
          <cell r="O184">
            <v>89</v>
          </cell>
          <cell r="P184">
            <v>12.714285714285714</v>
          </cell>
          <cell r="Q184">
            <v>8.0141131376844962E-2</v>
          </cell>
        </row>
        <row r="185">
          <cell r="A185">
            <v>43747</v>
          </cell>
          <cell r="B185" t="str">
            <v>DGA DORDOGNE</v>
          </cell>
          <cell r="C185">
            <v>9090</v>
          </cell>
          <cell r="D185">
            <v>40</v>
          </cell>
          <cell r="E185">
            <v>149.56</v>
          </cell>
          <cell r="F185">
            <v>735.47</v>
          </cell>
          <cell r="G185">
            <v>8.0909790979097909E-2</v>
          </cell>
          <cell r="H185">
            <v>1901</v>
          </cell>
          <cell r="I185">
            <v>271.57142857142856</v>
          </cell>
          <cell r="J185">
            <v>1615</v>
          </cell>
          <cell r="K185">
            <v>4</v>
          </cell>
          <cell r="L185">
            <v>26</v>
          </cell>
          <cell r="M185">
            <v>144</v>
          </cell>
          <cell r="N185">
            <v>8.9164086687306507E-2</v>
          </cell>
          <cell r="O185">
            <v>325</v>
          </cell>
          <cell r="P185">
            <v>46.428571428571431</v>
          </cell>
          <cell r="Q185">
            <v>8.5036938833202208E-2</v>
          </cell>
        </row>
        <row r="186">
          <cell r="A186">
            <v>5233</v>
          </cell>
          <cell r="B186" t="str">
            <v>PERIGUEUX</v>
          </cell>
          <cell r="C186">
            <v>3495</v>
          </cell>
          <cell r="D186">
            <v>25</v>
          </cell>
          <cell r="E186">
            <v>80</v>
          </cell>
          <cell r="F186">
            <v>340.43</v>
          </cell>
          <cell r="G186">
            <v>9.7404864091559379E-2</v>
          </cell>
          <cell r="H186">
            <v>674</v>
          </cell>
          <cell r="I186">
            <v>96.285714285714292</v>
          </cell>
          <cell r="J186">
            <v>607</v>
          </cell>
          <cell r="K186">
            <v>0</v>
          </cell>
          <cell r="L186">
            <v>8</v>
          </cell>
          <cell r="M186">
            <v>44</v>
          </cell>
          <cell r="N186">
            <v>7.248764415156507E-2</v>
          </cell>
          <cell r="O186">
            <v>133</v>
          </cell>
          <cell r="P186">
            <v>19</v>
          </cell>
          <cell r="Q186">
            <v>8.4946254121562231E-2</v>
          </cell>
        </row>
        <row r="187">
          <cell r="A187">
            <v>55235</v>
          </cell>
          <cell r="B187" t="str">
            <v>Multisite BERGERAC</v>
          </cell>
          <cell r="C187">
            <v>3808</v>
          </cell>
          <cell r="D187">
            <v>15</v>
          </cell>
          <cell r="E187">
            <v>37.5</v>
          </cell>
          <cell r="F187">
            <v>304.77999999999997</v>
          </cell>
          <cell r="G187">
            <v>8.0036764705882349E-2</v>
          </cell>
          <cell r="H187">
            <v>800</v>
          </cell>
          <cell r="I187">
            <v>114.28571428571429</v>
          </cell>
          <cell r="J187">
            <v>653</v>
          </cell>
          <cell r="K187">
            <v>4</v>
          </cell>
          <cell r="L187">
            <v>13</v>
          </cell>
          <cell r="M187">
            <v>70</v>
          </cell>
          <cell r="N187">
            <v>0.10719754977029096</v>
          </cell>
          <cell r="O187">
            <v>120</v>
          </cell>
          <cell r="P187">
            <v>17.142857142857142</v>
          </cell>
          <cell r="Q187">
            <v>9.3617157238086654E-2</v>
          </cell>
        </row>
        <row r="188">
          <cell r="A188">
            <v>1849</v>
          </cell>
          <cell r="B188" t="str">
            <v>STE FOY LA GRANDE</v>
          </cell>
          <cell r="C188">
            <v>1266</v>
          </cell>
          <cell r="D188">
            <v>0</v>
          </cell>
          <cell r="E188">
            <v>2.4</v>
          </cell>
          <cell r="F188">
            <v>135.47999999999999</v>
          </cell>
          <cell r="G188">
            <v>0.10701421800947866</v>
          </cell>
          <cell r="H188">
            <v>232</v>
          </cell>
          <cell r="I188">
            <v>33.142857142857146</v>
          </cell>
          <cell r="J188">
            <v>187</v>
          </cell>
          <cell r="K188">
            <v>1</v>
          </cell>
          <cell r="L188">
            <v>4</v>
          </cell>
          <cell r="M188">
            <v>24</v>
          </cell>
          <cell r="N188">
            <v>0.12834224598930483</v>
          </cell>
          <cell r="O188">
            <v>31</v>
          </cell>
          <cell r="P188">
            <v>4.4285714285714288</v>
          </cell>
          <cell r="Q188">
            <v>0.11767823199939174</v>
          </cell>
        </row>
        <row r="189">
          <cell r="A189">
            <v>5235</v>
          </cell>
          <cell r="B189" t="str">
            <v>BERGERAC</v>
          </cell>
          <cell r="C189">
            <v>2051</v>
          </cell>
          <cell r="D189">
            <v>0</v>
          </cell>
          <cell r="E189">
            <v>15.1</v>
          </cell>
          <cell r="F189">
            <v>113.02</v>
          </cell>
          <cell r="G189">
            <v>5.5104826913700632E-2</v>
          </cell>
          <cell r="H189">
            <v>482</v>
          </cell>
          <cell r="I189">
            <v>68.857142857142861</v>
          </cell>
          <cell r="J189">
            <v>350</v>
          </cell>
          <cell r="K189">
            <v>2</v>
          </cell>
          <cell r="L189">
            <v>6</v>
          </cell>
          <cell r="M189">
            <v>36</v>
          </cell>
          <cell r="N189">
            <v>0.10285714285714286</v>
          </cell>
          <cell r="O189">
            <v>66</v>
          </cell>
          <cell r="P189">
            <v>9.4285714285714288</v>
          </cell>
          <cell r="Q189">
            <v>7.898098488542174E-2</v>
          </cell>
        </row>
        <row r="190">
          <cell r="A190">
            <v>5239</v>
          </cell>
          <cell r="B190" t="str">
            <v>MUSSIDAN</v>
          </cell>
          <cell r="C190">
            <v>491</v>
          </cell>
          <cell r="D190">
            <v>15</v>
          </cell>
          <cell r="E190">
            <v>20</v>
          </cell>
          <cell r="F190">
            <v>56.29</v>
          </cell>
          <cell r="G190">
            <v>0.11464358452138493</v>
          </cell>
          <cell r="H190">
            <v>87</v>
          </cell>
          <cell r="I190">
            <v>12.428571428571429</v>
          </cell>
          <cell r="J190">
            <v>116</v>
          </cell>
          <cell r="K190">
            <v>1</v>
          </cell>
          <cell r="L190">
            <v>3</v>
          </cell>
          <cell r="M190">
            <v>10</v>
          </cell>
          <cell r="N190">
            <v>8.6206896551724144E-2</v>
          </cell>
          <cell r="O190">
            <v>24</v>
          </cell>
          <cell r="P190">
            <v>3.4285714285714284</v>
          </cell>
          <cell r="Q190">
            <v>0.10042524053655454</v>
          </cell>
        </row>
        <row r="191">
          <cell r="A191">
            <v>5238</v>
          </cell>
          <cell r="B191" t="str">
            <v>SARLAT</v>
          </cell>
          <cell r="C191">
            <v>907</v>
          </cell>
          <cell r="D191">
            <v>0</v>
          </cell>
          <cell r="E191">
            <v>5</v>
          </cell>
          <cell r="F191">
            <v>38.200000000000003</v>
          </cell>
          <cell r="G191">
            <v>4.2116868798235944E-2</v>
          </cell>
          <cell r="H191">
            <v>225</v>
          </cell>
          <cell r="I191">
            <v>32.142857142857146</v>
          </cell>
          <cell r="J191">
            <v>184</v>
          </cell>
          <cell r="K191">
            <v>0</v>
          </cell>
          <cell r="L191">
            <v>3</v>
          </cell>
          <cell r="M191">
            <v>16</v>
          </cell>
          <cell r="N191">
            <v>8.6956521739130432E-2</v>
          </cell>
          <cell r="O191">
            <v>38</v>
          </cell>
          <cell r="P191">
            <v>5.4285714285714288</v>
          </cell>
          <cell r="Q191">
            <v>6.4536695268683192E-2</v>
          </cell>
        </row>
        <row r="192">
          <cell r="A192">
            <v>5241</v>
          </cell>
          <cell r="B192" t="str">
            <v>NONTRON</v>
          </cell>
          <cell r="C192">
            <v>880</v>
          </cell>
          <cell r="D192">
            <v>0</v>
          </cell>
          <cell r="E192">
            <v>27.06</v>
          </cell>
          <cell r="F192">
            <v>52.06</v>
          </cell>
          <cell r="G192">
            <v>5.9159090909090911E-2</v>
          </cell>
          <cell r="H192">
            <v>204</v>
          </cell>
          <cell r="I192">
            <v>29.142857142857142</v>
          </cell>
          <cell r="J192">
            <v>171</v>
          </cell>
          <cell r="K192">
            <v>0</v>
          </cell>
          <cell r="L192">
            <v>2</v>
          </cell>
          <cell r="M192">
            <v>14</v>
          </cell>
          <cell r="N192">
            <v>8.1871345029239762E-2</v>
          </cell>
          <cell r="O192">
            <v>36</v>
          </cell>
          <cell r="P192">
            <v>5.1428571428571432</v>
          </cell>
          <cell r="Q192">
            <v>7.0515217969165336E-2</v>
          </cell>
        </row>
        <row r="193">
          <cell r="A193">
            <v>43864</v>
          </cell>
          <cell r="B193" t="str">
            <v>DGA HT VIENNE CREUSE</v>
          </cell>
          <cell r="C193">
            <v>11615</v>
          </cell>
          <cell r="D193">
            <v>60.9</v>
          </cell>
          <cell r="E193">
            <v>228.4</v>
          </cell>
          <cell r="F193">
            <v>1325.89</v>
          </cell>
          <cell r="G193">
            <v>0.11415325010761947</v>
          </cell>
          <cell r="H193">
            <v>2043</v>
          </cell>
          <cell r="I193">
            <v>291.85714285714283</v>
          </cell>
          <cell r="J193">
            <v>2308</v>
          </cell>
          <cell r="K193">
            <v>4</v>
          </cell>
          <cell r="L193">
            <v>26</v>
          </cell>
          <cell r="M193">
            <v>190</v>
          </cell>
          <cell r="N193">
            <v>8.2322357019064124E-2</v>
          </cell>
          <cell r="O193">
            <v>480</v>
          </cell>
          <cell r="P193">
            <v>68.571428571428569</v>
          </cell>
          <cell r="Q193">
            <v>9.8237803563341802E-2</v>
          </cell>
        </row>
        <row r="194">
          <cell r="A194">
            <v>6700</v>
          </cell>
          <cell r="B194" t="str">
            <v>LIMOGES</v>
          </cell>
          <cell r="C194">
            <v>3931</v>
          </cell>
          <cell r="D194">
            <v>22.97</v>
          </cell>
          <cell r="E194">
            <v>30.97</v>
          </cell>
          <cell r="F194">
            <v>397.33</v>
          </cell>
          <cell r="G194">
            <v>0.10107606207071991</v>
          </cell>
          <cell r="H194">
            <v>743</v>
          </cell>
          <cell r="I194">
            <v>106.14285714285714</v>
          </cell>
          <cell r="J194">
            <v>786</v>
          </cell>
          <cell r="K194">
            <v>0</v>
          </cell>
          <cell r="L194">
            <v>8</v>
          </cell>
          <cell r="M194">
            <v>59</v>
          </cell>
          <cell r="N194">
            <v>7.5063613231552168E-2</v>
          </cell>
          <cell r="O194">
            <v>169</v>
          </cell>
          <cell r="P194">
            <v>24.142857142857142</v>
          </cell>
          <cell r="Q194">
            <v>8.8069837651136046E-2</v>
          </cell>
        </row>
        <row r="195">
          <cell r="A195">
            <v>6731</v>
          </cell>
          <cell r="B195" t="str">
            <v>AUBUSSON</v>
          </cell>
          <cell r="C195">
            <v>766</v>
          </cell>
          <cell r="D195">
            <v>0</v>
          </cell>
          <cell r="E195">
            <v>5</v>
          </cell>
          <cell r="F195">
            <v>65.5</v>
          </cell>
          <cell r="G195">
            <v>8.5509138381201041E-2</v>
          </cell>
          <cell r="H195">
            <v>157</v>
          </cell>
          <cell r="I195">
            <v>22.428571428571427</v>
          </cell>
          <cell r="J195">
            <v>151</v>
          </cell>
          <cell r="K195">
            <v>0</v>
          </cell>
          <cell r="L195">
            <v>5</v>
          </cell>
          <cell r="M195">
            <v>15</v>
          </cell>
          <cell r="N195">
            <v>9.9337748344370855E-2</v>
          </cell>
          <cell r="O195">
            <v>29</v>
          </cell>
          <cell r="P195">
            <v>4.1428571428571432</v>
          </cell>
          <cell r="Q195">
            <v>9.2423443362785948E-2</v>
          </cell>
        </row>
        <row r="196">
          <cell r="A196">
            <v>56733</v>
          </cell>
          <cell r="B196" t="str">
            <v>Multisite GUERET</v>
          </cell>
          <cell r="C196">
            <v>1783</v>
          </cell>
          <cell r="D196">
            <v>32.72</v>
          </cell>
          <cell r="E196">
            <v>67.72</v>
          </cell>
          <cell r="F196">
            <v>241.43</v>
          </cell>
          <cell r="G196">
            <v>0.13540661805945037</v>
          </cell>
          <cell r="H196">
            <v>276</v>
          </cell>
          <cell r="I196">
            <v>39.428571428571431</v>
          </cell>
          <cell r="J196">
            <v>362</v>
          </cell>
          <cell r="K196">
            <v>3</v>
          </cell>
          <cell r="L196">
            <v>7</v>
          </cell>
          <cell r="M196">
            <v>49</v>
          </cell>
          <cell r="N196">
            <v>0.13535911602209943</v>
          </cell>
          <cell r="O196">
            <v>56</v>
          </cell>
          <cell r="P196">
            <v>8</v>
          </cell>
          <cell r="Q196">
            <v>0.1353828670407749</v>
          </cell>
        </row>
        <row r="197">
          <cell r="A197">
            <v>6733</v>
          </cell>
          <cell r="B197" t="str">
            <v>GUERET</v>
          </cell>
          <cell r="C197">
            <v>1162</v>
          </cell>
          <cell r="D197">
            <v>32.72</v>
          </cell>
          <cell r="E197">
            <v>67.72</v>
          </cell>
          <cell r="F197">
            <v>159.94</v>
          </cell>
          <cell r="G197">
            <v>0.13764199655765921</v>
          </cell>
          <cell r="H197">
            <v>178</v>
          </cell>
          <cell r="I197">
            <v>25.428571428571427</v>
          </cell>
          <cell r="J197">
            <v>240</v>
          </cell>
          <cell r="K197">
            <v>1</v>
          </cell>
          <cell r="L197">
            <v>1</v>
          </cell>
          <cell r="M197">
            <v>26</v>
          </cell>
          <cell r="N197">
            <v>0.10833333333333334</v>
          </cell>
          <cell r="O197">
            <v>44</v>
          </cell>
          <cell r="P197">
            <v>6.2857142857142856</v>
          </cell>
          <cell r="Q197">
            <v>0.12298766494549628</v>
          </cell>
        </row>
        <row r="198">
          <cell r="A198">
            <v>6739</v>
          </cell>
          <cell r="B198" t="str">
            <v>LA SOUTERRAINE</v>
          </cell>
          <cell r="C198">
            <v>621</v>
          </cell>
          <cell r="D198">
            <v>0</v>
          </cell>
          <cell r="E198">
            <v>0</v>
          </cell>
          <cell r="F198">
            <v>81.489999999999995</v>
          </cell>
          <cell r="G198">
            <v>0.13122383252818035</v>
          </cell>
          <cell r="H198">
            <v>99</v>
          </cell>
          <cell r="I198">
            <v>14.142857142857142</v>
          </cell>
          <cell r="J198">
            <v>122</v>
          </cell>
          <cell r="K198">
            <v>2</v>
          </cell>
          <cell r="L198">
            <v>6</v>
          </cell>
          <cell r="M198">
            <v>23</v>
          </cell>
          <cell r="N198">
            <v>0.18852459016393441</v>
          </cell>
          <cell r="O198">
            <v>13</v>
          </cell>
          <cell r="P198">
            <v>1.8571428571428572</v>
          </cell>
          <cell r="Q198">
            <v>0.15987421134605739</v>
          </cell>
        </row>
        <row r="199">
          <cell r="A199">
            <v>56734</v>
          </cell>
          <cell r="B199" t="str">
            <v>Multisite ST JUNIEN</v>
          </cell>
          <cell r="C199">
            <v>1995</v>
          </cell>
          <cell r="D199">
            <v>0</v>
          </cell>
          <cell r="E199">
            <v>25.5</v>
          </cell>
          <cell r="F199">
            <v>262.63</v>
          </cell>
          <cell r="G199">
            <v>0.13164411027568923</v>
          </cell>
          <cell r="H199">
            <v>316</v>
          </cell>
          <cell r="I199">
            <v>45.142857142857146</v>
          </cell>
          <cell r="J199">
            <v>391</v>
          </cell>
          <cell r="K199">
            <v>0</v>
          </cell>
          <cell r="L199">
            <v>1</v>
          </cell>
          <cell r="M199">
            <v>34</v>
          </cell>
          <cell r="N199">
            <v>8.6956521739130432E-2</v>
          </cell>
          <cell r="O199">
            <v>80</v>
          </cell>
          <cell r="P199">
            <v>11.428571428571429</v>
          </cell>
          <cell r="Q199">
            <v>0.10930031600740983</v>
          </cell>
        </row>
        <row r="200">
          <cell r="A200">
            <v>6734</v>
          </cell>
          <cell r="B200" t="str">
            <v>SAINT JUNIEN</v>
          </cell>
          <cell r="C200">
            <v>981</v>
          </cell>
          <cell r="D200">
            <v>0</v>
          </cell>
          <cell r="E200">
            <v>19</v>
          </cell>
          <cell r="F200">
            <v>192.13</v>
          </cell>
          <cell r="G200">
            <v>0.19585117227319063</v>
          </cell>
          <cell r="H200">
            <v>93</v>
          </cell>
          <cell r="I200">
            <v>13.285714285714286</v>
          </cell>
          <cell r="J200">
            <v>188</v>
          </cell>
          <cell r="K200">
            <v>0</v>
          </cell>
          <cell r="L200">
            <v>1</v>
          </cell>
          <cell r="M200">
            <v>16</v>
          </cell>
          <cell r="N200">
            <v>8.5106382978723402E-2</v>
          </cell>
          <cell r="O200">
            <v>39</v>
          </cell>
          <cell r="P200">
            <v>5.5714285714285712</v>
          </cell>
          <cell r="Q200">
            <v>0.14047877762595701</v>
          </cell>
        </row>
        <row r="201">
          <cell r="A201">
            <v>6737</v>
          </cell>
          <cell r="B201" t="str">
            <v>CONFOLENS</v>
          </cell>
          <cell r="C201">
            <v>551</v>
          </cell>
          <cell r="D201">
            <v>0</v>
          </cell>
          <cell r="E201">
            <v>0</v>
          </cell>
          <cell r="F201">
            <v>53</v>
          </cell>
          <cell r="G201">
            <v>9.6188747731397461E-2</v>
          </cell>
          <cell r="H201">
            <v>107</v>
          </cell>
          <cell r="I201">
            <v>15.285714285714286</v>
          </cell>
          <cell r="J201">
            <v>112</v>
          </cell>
          <cell r="K201">
            <v>0</v>
          </cell>
          <cell r="L201">
            <v>0</v>
          </cell>
          <cell r="M201">
            <v>11</v>
          </cell>
          <cell r="N201">
            <v>9.8214285714285712E-2</v>
          </cell>
          <cell r="O201">
            <v>22</v>
          </cell>
          <cell r="P201">
            <v>3.1428571428571428</v>
          </cell>
          <cell r="Q201">
            <v>9.720151672284158E-2</v>
          </cell>
        </row>
        <row r="202">
          <cell r="A202">
            <v>6740</v>
          </cell>
          <cell r="B202" t="str">
            <v>BELLAC</v>
          </cell>
          <cell r="C202">
            <v>463</v>
          </cell>
          <cell r="D202">
            <v>0</v>
          </cell>
          <cell r="E202">
            <v>6.5</v>
          </cell>
          <cell r="F202">
            <v>17.5</v>
          </cell>
          <cell r="G202">
            <v>3.7796976241900648E-2</v>
          </cell>
          <cell r="H202">
            <v>117</v>
          </cell>
          <cell r="I202">
            <v>16.714285714285715</v>
          </cell>
          <cell r="J202">
            <v>91</v>
          </cell>
          <cell r="K202">
            <v>0</v>
          </cell>
          <cell r="L202">
            <v>0</v>
          </cell>
          <cell r="M202">
            <v>7</v>
          </cell>
          <cell r="N202">
            <v>7.6923076923076927E-2</v>
          </cell>
          <cell r="O202">
            <v>20</v>
          </cell>
          <cell r="P202">
            <v>2.8571428571428572</v>
          </cell>
          <cell r="Q202">
            <v>5.7360026582488788E-2</v>
          </cell>
        </row>
        <row r="203">
          <cell r="A203">
            <v>56738</v>
          </cell>
          <cell r="B203" t="str">
            <v>Multisite LIMOGES PL CARMES</v>
          </cell>
          <cell r="C203">
            <v>3140</v>
          </cell>
          <cell r="D203">
            <v>5.2</v>
          </cell>
          <cell r="E203">
            <v>99.2</v>
          </cell>
          <cell r="F203">
            <v>359.01</v>
          </cell>
          <cell r="G203">
            <v>0.1143343949044586</v>
          </cell>
          <cell r="H203">
            <v>552</v>
          </cell>
          <cell r="I203">
            <v>78.857142857142861</v>
          </cell>
          <cell r="J203">
            <v>618</v>
          </cell>
          <cell r="K203">
            <v>1</v>
          </cell>
          <cell r="L203">
            <v>5</v>
          </cell>
          <cell r="M203">
            <v>33</v>
          </cell>
          <cell r="N203">
            <v>5.3398058252427182E-2</v>
          </cell>
          <cell r="O203">
            <v>147</v>
          </cell>
          <cell r="P203">
            <v>21</v>
          </cell>
          <cell r="Q203">
            <v>8.3866226578442893E-2</v>
          </cell>
        </row>
        <row r="204">
          <cell r="A204">
            <v>6738</v>
          </cell>
          <cell r="B204" t="str">
            <v>LIMOGES LES CARMES</v>
          </cell>
          <cell r="C204">
            <v>1427</v>
          </cell>
          <cell r="D204">
            <v>5.2</v>
          </cell>
          <cell r="E204">
            <v>20.2</v>
          </cell>
          <cell r="F204">
            <v>140.86000000000001</v>
          </cell>
          <cell r="G204">
            <v>9.8710581639803799E-2</v>
          </cell>
          <cell r="H204">
            <v>273</v>
          </cell>
          <cell r="I204">
            <v>39</v>
          </cell>
          <cell r="J204">
            <v>281</v>
          </cell>
          <cell r="K204">
            <v>1</v>
          </cell>
          <cell r="L204">
            <v>2</v>
          </cell>
          <cell r="M204">
            <v>21</v>
          </cell>
          <cell r="N204">
            <v>7.4733096085409248E-2</v>
          </cell>
          <cell r="O204">
            <v>61</v>
          </cell>
          <cell r="P204">
            <v>8.7142857142857135</v>
          </cell>
          <cell r="Q204">
            <v>8.6721838862606523E-2</v>
          </cell>
        </row>
        <row r="205">
          <cell r="A205">
            <v>6743</v>
          </cell>
          <cell r="B205" t="str">
            <v>ST YRIEIX LA PERCHE</v>
          </cell>
          <cell r="C205">
            <v>645</v>
          </cell>
          <cell r="D205">
            <v>0</v>
          </cell>
          <cell r="E205">
            <v>79</v>
          </cell>
          <cell r="F205">
            <v>189.15</v>
          </cell>
          <cell r="G205">
            <v>0.29325581395348838</v>
          </cell>
          <cell r="H205">
            <v>0</v>
          </cell>
          <cell r="I205">
            <v>0</v>
          </cell>
          <cell r="J205">
            <v>128</v>
          </cell>
          <cell r="K205">
            <v>0</v>
          </cell>
          <cell r="L205">
            <v>0</v>
          </cell>
          <cell r="M205">
            <v>3</v>
          </cell>
          <cell r="N205">
            <v>2.34375E-2</v>
          </cell>
          <cell r="O205">
            <v>35</v>
          </cell>
          <cell r="P205">
            <v>5</v>
          </cell>
          <cell r="Q205">
            <v>0.15834665697674419</v>
          </cell>
        </row>
        <row r="206">
          <cell r="A206">
            <v>6748</v>
          </cell>
          <cell r="B206" t="str">
            <v>LIMOGES PONT NEUF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</row>
        <row r="207">
          <cell r="A207">
            <v>6750</v>
          </cell>
          <cell r="B207" t="str">
            <v>LIMOGES CARNOT</v>
          </cell>
          <cell r="C207">
            <v>1068</v>
          </cell>
          <cell r="D207">
            <v>0</v>
          </cell>
          <cell r="E207">
            <v>0</v>
          </cell>
          <cell r="F207">
            <v>29</v>
          </cell>
          <cell r="G207">
            <v>2.7153558052434457E-2</v>
          </cell>
          <cell r="H207">
            <v>281</v>
          </cell>
          <cell r="I207">
            <v>40.142857142857146</v>
          </cell>
          <cell r="J207">
            <v>209</v>
          </cell>
          <cell r="K207">
            <v>0</v>
          </cell>
          <cell r="L207">
            <v>3</v>
          </cell>
          <cell r="M207">
            <v>9</v>
          </cell>
          <cell r="N207">
            <v>4.3062200956937802E-2</v>
          </cell>
          <cell r="O207">
            <v>52</v>
          </cell>
          <cell r="P207">
            <v>7.4285714285714288</v>
          </cell>
          <cell r="Q207">
            <v>3.5107879504686128E-2</v>
          </cell>
        </row>
        <row r="208">
          <cell r="A208">
            <v>43866</v>
          </cell>
          <cell r="B208" t="str">
            <v>DGA CORREZE</v>
          </cell>
          <cell r="C208">
            <v>7595</v>
          </cell>
          <cell r="D208">
            <v>14</v>
          </cell>
          <cell r="E208">
            <v>221.93</v>
          </cell>
          <cell r="F208">
            <v>945.88</v>
          </cell>
          <cell r="G208">
            <v>0.12453982883475971</v>
          </cell>
          <cell r="H208">
            <v>1257</v>
          </cell>
          <cell r="I208">
            <v>179.57142857142858</v>
          </cell>
          <cell r="J208">
            <v>1294</v>
          </cell>
          <cell r="K208">
            <v>2</v>
          </cell>
          <cell r="L208">
            <v>20</v>
          </cell>
          <cell r="M208">
            <v>157</v>
          </cell>
          <cell r="N208">
            <v>0.12132921174652241</v>
          </cell>
          <cell r="O208">
            <v>219</v>
          </cell>
          <cell r="P208">
            <v>31.285714285714285</v>
          </cell>
          <cell r="Q208">
            <v>0.12293452029064106</v>
          </cell>
        </row>
        <row r="209">
          <cell r="A209">
            <v>6732</v>
          </cell>
          <cell r="B209" t="str">
            <v>BRIVE</v>
          </cell>
          <cell r="C209">
            <v>2430</v>
          </cell>
          <cell r="D209">
            <v>1</v>
          </cell>
          <cell r="E209">
            <v>29</v>
          </cell>
          <cell r="F209">
            <v>184.22</v>
          </cell>
          <cell r="G209">
            <v>7.5810699588477359E-2</v>
          </cell>
          <cell r="H209">
            <v>521</v>
          </cell>
          <cell r="I209">
            <v>74.428571428571431</v>
          </cell>
          <cell r="J209">
            <v>418</v>
          </cell>
          <cell r="K209">
            <v>1</v>
          </cell>
          <cell r="L209">
            <v>5</v>
          </cell>
          <cell r="M209">
            <v>43</v>
          </cell>
          <cell r="N209">
            <v>0.10287081339712918</v>
          </cell>
          <cell r="O209">
            <v>79</v>
          </cell>
          <cell r="P209">
            <v>11.285714285714286</v>
          </cell>
          <cell r="Q209">
            <v>8.9340756492803264E-2</v>
          </cell>
        </row>
        <row r="210">
          <cell r="A210">
            <v>6735</v>
          </cell>
          <cell r="B210" t="str">
            <v>TULLE</v>
          </cell>
          <cell r="C210">
            <v>1470</v>
          </cell>
          <cell r="D210">
            <v>0</v>
          </cell>
          <cell r="E210">
            <v>97.93</v>
          </cell>
          <cell r="F210">
            <v>281.13</v>
          </cell>
          <cell r="G210">
            <v>0.19124489795918367</v>
          </cell>
          <cell r="H210">
            <v>146</v>
          </cell>
          <cell r="I210">
            <v>20.857142857142858</v>
          </cell>
          <cell r="J210">
            <v>230</v>
          </cell>
          <cell r="K210">
            <v>0</v>
          </cell>
          <cell r="L210">
            <v>3</v>
          </cell>
          <cell r="M210">
            <v>33</v>
          </cell>
          <cell r="N210">
            <v>0.14347826086956522</v>
          </cell>
          <cell r="O210">
            <v>34</v>
          </cell>
          <cell r="P210">
            <v>4.8571428571428568</v>
          </cell>
          <cell r="Q210">
            <v>0.16736157941437446</v>
          </cell>
        </row>
        <row r="211">
          <cell r="A211">
            <v>6736</v>
          </cell>
          <cell r="B211" t="str">
            <v>USSEL</v>
          </cell>
          <cell r="C211">
            <v>700</v>
          </cell>
          <cell r="D211">
            <v>0</v>
          </cell>
          <cell r="E211">
            <v>0</v>
          </cell>
          <cell r="F211">
            <v>120</v>
          </cell>
          <cell r="G211">
            <v>0.17142857142857143</v>
          </cell>
          <cell r="H211">
            <v>83</v>
          </cell>
          <cell r="I211">
            <v>11.857142857142858</v>
          </cell>
          <cell r="J211">
            <v>121</v>
          </cell>
          <cell r="K211">
            <v>1</v>
          </cell>
          <cell r="L211">
            <v>2</v>
          </cell>
          <cell r="M211">
            <v>10</v>
          </cell>
          <cell r="N211">
            <v>8.2644628099173556E-2</v>
          </cell>
          <cell r="O211">
            <v>26</v>
          </cell>
          <cell r="P211">
            <v>3.7142857142857144</v>
          </cell>
          <cell r="Q211">
            <v>0.12703659976387249</v>
          </cell>
        </row>
        <row r="212">
          <cell r="A212">
            <v>56741</v>
          </cell>
          <cell r="B212" t="str">
            <v>Multisite OBJAT</v>
          </cell>
          <cell r="C212">
            <v>2405</v>
          </cell>
          <cell r="D212">
            <v>13</v>
          </cell>
          <cell r="E212">
            <v>71.2</v>
          </cell>
          <cell r="F212">
            <v>302.23</v>
          </cell>
          <cell r="G212">
            <v>0.12566735966735967</v>
          </cell>
          <cell r="H212">
            <v>396</v>
          </cell>
          <cell r="I212">
            <v>56.571428571428569</v>
          </cell>
          <cell r="J212">
            <v>449</v>
          </cell>
          <cell r="K212">
            <v>0</v>
          </cell>
          <cell r="L212">
            <v>9</v>
          </cell>
          <cell r="M212">
            <v>57</v>
          </cell>
          <cell r="N212">
            <v>0.12694877505567928</v>
          </cell>
          <cell r="O212">
            <v>74</v>
          </cell>
          <cell r="P212">
            <v>10.571428571428571</v>
          </cell>
          <cell r="Q212">
            <v>0.12630806736151948</v>
          </cell>
        </row>
        <row r="213">
          <cell r="A213">
            <v>6741</v>
          </cell>
          <cell r="B213" t="str">
            <v>OBJAT</v>
          </cell>
          <cell r="C213">
            <v>700</v>
          </cell>
          <cell r="D213">
            <v>5</v>
          </cell>
          <cell r="E213">
            <v>19</v>
          </cell>
          <cell r="F213">
            <v>73.69</v>
          </cell>
          <cell r="G213">
            <v>0.10527142857142857</v>
          </cell>
          <cell r="H213">
            <v>130</v>
          </cell>
          <cell r="I213">
            <v>18.571428571428573</v>
          </cell>
          <cell r="J213">
            <v>125</v>
          </cell>
          <cell r="K213">
            <v>0</v>
          </cell>
          <cell r="L213">
            <v>6</v>
          </cell>
          <cell r="M213">
            <v>15</v>
          </cell>
          <cell r="N213">
            <v>0.12</v>
          </cell>
          <cell r="O213">
            <v>22</v>
          </cell>
          <cell r="P213">
            <v>3.1428571428571428</v>
          </cell>
          <cell r="Q213">
            <v>0.11263571428571428</v>
          </cell>
        </row>
        <row r="214">
          <cell r="A214">
            <v>6745</v>
          </cell>
          <cell r="B214" t="str">
            <v>TERRASSON</v>
          </cell>
          <cell r="C214">
            <v>625</v>
          </cell>
          <cell r="D214">
            <v>8</v>
          </cell>
          <cell r="E214">
            <v>43</v>
          </cell>
          <cell r="F214">
            <v>136.06</v>
          </cell>
          <cell r="G214">
            <v>0.217696</v>
          </cell>
          <cell r="H214">
            <v>46</v>
          </cell>
          <cell r="I214">
            <v>6.5714285714285712</v>
          </cell>
          <cell r="J214">
            <v>150</v>
          </cell>
          <cell r="K214">
            <v>0</v>
          </cell>
          <cell r="L214">
            <v>3</v>
          </cell>
          <cell r="M214">
            <v>29</v>
          </cell>
          <cell r="N214">
            <v>0.19333333333333333</v>
          </cell>
          <cell r="O214">
            <v>15</v>
          </cell>
          <cell r="P214">
            <v>2.1428571428571428</v>
          </cell>
          <cell r="Q214">
            <v>0.20551466666666668</v>
          </cell>
        </row>
        <row r="215">
          <cell r="A215">
            <v>6751</v>
          </cell>
          <cell r="B215" t="str">
            <v>MALEMORT</v>
          </cell>
          <cell r="C215">
            <v>1080</v>
          </cell>
          <cell r="D215">
            <v>0</v>
          </cell>
          <cell r="E215">
            <v>9.1999999999999993</v>
          </cell>
          <cell r="F215">
            <v>92.48</v>
          </cell>
          <cell r="G215">
            <v>8.5629629629629639E-2</v>
          </cell>
          <cell r="H215">
            <v>221</v>
          </cell>
          <cell r="I215">
            <v>31.571428571428573</v>
          </cell>
          <cell r="J215">
            <v>174</v>
          </cell>
          <cell r="K215">
            <v>0</v>
          </cell>
          <cell r="L215">
            <v>0</v>
          </cell>
          <cell r="M215">
            <v>13</v>
          </cell>
          <cell r="N215">
            <v>7.4712643678160925E-2</v>
          </cell>
          <cell r="O215">
            <v>38</v>
          </cell>
          <cell r="P215">
            <v>5.4285714285714288</v>
          </cell>
          <cell r="Q215">
            <v>8.0171136653895275E-2</v>
          </cell>
        </row>
        <row r="216">
          <cell r="A216">
            <v>6742</v>
          </cell>
          <cell r="B216" t="str">
            <v>EGLETONS</v>
          </cell>
          <cell r="C216">
            <v>590</v>
          </cell>
          <cell r="D216">
            <v>0</v>
          </cell>
          <cell r="E216">
            <v>23.8</v>
          </cell>
          <cell r="F216">
            <v>58.3</v>
          </cell>
          <cell r="G216">
            <v>9.8813559322033895E-2</v>
          </cell>
          <cell r="H216">
            <v>113</v>
          </cell>
          <cell r="I216">
            <v>16.142857142857142</v>
          </cell>
          <cell r="J216">
            <v>81</v>
          </cell>
          <cell r="K216">
            <v>0</v>
          </cell>
          <cell r="L216">
            <v>1</v>
          </cell>
          <cell r="M216">
            <v>14</v>
          </cell>
          <cell r="N216">
            <v>0.1728395061728395</v>
          </cell>
          <cell r="O216">
            <v>10</v>
          </cell>
          <cell r="P216">
            <v>1.4285714285714286</v>
          </cell>
          <cell r="Q216">
            <v>0.1358265327474367</v>
          </cell>
        </row>
      </sheetData>
      <sheetData sheetId="4" refreshError="1">
        <row r="1">
          <cell r="A1">
            <v>0.12720000000000001</v>
          </cell>
          <cell r="B1">
            <v>7</v>
          </cell>
          <cell r="C1">
            <v>6</v>
          </cell>
          <cell r="D1">
            <v>18</v>
          </cell>
          <cell r="E1">
            <v>19</v>
          </cell>
          <cell r="F1">
            <v>20</v>
          </cell>
          <cell r="J1">
            <v>7</v>
          </cell>
          <cell r="K1">
            <v>22</v>
          </cell>
          <cell r="L1">
            <v>23</v>
          </cell>
          <cell r="M1">
            <v>24</v>
          </cell>
        </row>
        <row r="4">
          <cell r="B4" t="str">
            <v>Du lundi 2 janvier 2018 au vendredi 30 mars 2018
Objectif 29% (plafond à 44% pour chaque critère)</v>
          </cell>
          <cell r="C4" t="str">
            <v>Animations DDR Etape 1</v>
          </cell>
          <cell r="J4" t="str">
            <v>Animations DDR Etape 1</v>
          </cell>
        </row>
        <row r="5">
          <cell r="B5" t="str">
            <v>Point de Passage (Q) Etape 1 = 12,72%</v>
          </cell>
          <cell r="C5" t="str">
            <v>Assureur</v>
          </cell>
          <cell r="J5" t="str">
            <v>Assureur</v>
          </cell>
        </row>
        <row r="6">
          <cell r="B6" t="str">
            <v>Résultats au 08/02/18</v>
          </cell>
          <cell r="C6" t="str">
            <v>MAS (Ajout 2 Roues)</v>
          </cell>
          <cell r="J6" t="str">
            <v>Prévoyance (Capital décès, Prévilion Prestige, GAV)</v>
          </cell>
        </row>
        <row r="7">
          <cell r="A7" t="str">
            <v>Unité</v>
          </cell>
          <cell r="B7" t="str">
            <v>Libellé</v>
          </cell>
          <cell r="C7" t="str">
            <v>OBJ
Annuel</v>
          </cell>
          <cell r="D7" t="str">
            <v>Prod
Veille</v>
          </cell>
          <cell r="E7" t="str">
            <v>Prod
Sem
en cours</v>
          </cell>
          <cell r="F7" t="str">
            <v>Prod
Etape 1</v>
          </cell>
          <cell r="G7" t="str">
            <v>Taux
Etape 1</v>
          </cell>
          <cell r="H7" t="str">
            <v>RàF
Etape 1</v>
          </cell>
          <cell r="I7" t="str">
            <v>Rythme
Hebdo
Requis</v>
          </cell>
          <cell r="J7" t="str">
            <v>OBJ
Annuel</v>
          </cell>
          <cell r="K7" t="str">
            <v>Prod
Veille</v>
          </cell>
          <cell r="L7" t="str">
            <v>Prod
Sem
en cours</v>
          </cell>
          <cell r="M7" t="str">
            <v>Prod
Etape 1</v>
          </cell>
          <cell r="N7" t="str">
            <v>Taux
Etape 1</v>
          </cell>
          <cell r="O7" t="str">
            <v>RàF
Etape 1</v>
          </cell>
          <cell r="P7" t="str">
            <v>Rythme
Hebdo
Requis</v>
          </cell>
          <cell r="Q7" t="str">
            <v>Taux
Moyen
Fil Rouge 3
Etape 1</v>
          </cell>
        </row>
        <row r="8">
          <cell r="A8">
            <v>69014</v>
          </cell>
          <cell r="B8" t="str">
            <v>Banque de Proximité</v>
          </cell>
          <cell r="C8">
            <v>240359</v>
          </cell>
          <cell r="D8">
            <v>988</v>
          </cell>
          <cell r="E8">
            <v>3740</v>
          </cell>
          <cell r="F8">
            <v>24711</v>
          </cell>
          <cell r="G8">
            <v>0.10280871529670202</v>
          </cell>
          <cell r="H8">
            <v>44994</v>
          </cell>
          <cell r="I8">
            <v>6427.7142857142853</v>
          </cell>
          <cell r="J8">
            <v>131703</v>
          </cell>
          <cell r="K8">
            <v>583</v>
          </cell>
          <cell r="L8">
            <v>2138</v>
          </cell>
          <cell r="M8">
            <v>13131</v>
          </cell>
          <cell r="N8">
            <v>9.9701601330265829E-2</v>
          </cell>
          <cell r="O8">
            <v>25063</v>
          </cell>
          <cell r="P8">
            <v>3580.4285714285716</v>
          </cell>
          <cell r="Q8">
            <v>0.10125515831348392</v>
          </cell>
        </row>
        <row r="9">
          <cell r="A9">
            <v>43003</v>
          </cell>
          <cell r="B9" t="str">
            <v>RSO DdR du Sud Ouest</v>
          </cell>
          <cell r="C9">
            <v>18569</v>
          </cell>
          <cell r="D9">
            <v>86</v>
          </cell>
          <cell r="E9">
            <v>302</v>
          </cell>
          <cell r="F9">
            <v>1905</v>
          </cell>
          <cell r="G9">
            <v>0.10259033873660402</v>
          </cell>
          <cell r="H9">
            <v>3481</v>
          </cell>
          <cell r="I9">
            <v>497.28571428571428</v>
          </cell>
          <cell r="J9">
            <v>8787</v>
          </cell>
          <cell r="K9">
            <v>47</v>
          </cell>
          <cell r="L9">
            <v>171</v>
          </cell>
          <cell r="M9">
            <v>835</v>
          </cell>
          <cell r="N9">
            <v>9.5026744053715723E-2</v>
          </cell>
          <cell r="O9">
            <v>1714</v>
          </cell>
          <cell r="P9">
            <v>244.85714285714286</v>
          </cell>
          <cell r="Q9">
            <v>9.8808541395159877E-2</v>
          </cell>
        </row>
        <row r="10">
          <cell r="A10">
            <v>43700</v>
          </cell>
          <cell r="B10" t="str">
            <v>RSO DR Gironde</v>
          </cell>
          <cell r="C10">
            <v>6020</v>
          </cell>
          <cell r="D10">
            <v>27</v>
          </cell>
          <cell r="E10">
            <v>97</v>
          </cell>
          <cell r="F10">
            <v>520</v>
          </cell>
          <cell r="G10">
            <v>8.6378737541528236E-2</v>
          </cell>
          <cell r="H10">
            <v>1226</v>
          </cell>
          <cell r="I10">
            <v>175.14285714285714</v>
          </cell>
          <cell r="J10">
            <v>2504</v>
          </cell>
          <cell r="K10">
            <v>20</v>
          </cell>
          <cell r="L10">
            <v>51</v>
          </cell>
          <cell r="M10">
            <v>232</v>
          </cell>
          <cell r="N10">
            <v>9.2651757188498399E-2</v>
          </cell>
          <cell r="O10">
            <v>495</v>
          </cell>
          <cell r="P10">
            <v>70.714285714285708</v>
          </cell>
          <cell r="Q10">
            <v>8.9515247365013317E-2</v>
          </cell>
        </row>
        <row r="11">
          <cell r="A11">
            <v>43780</v>
          </cell>
          <cell r="B11" t="str">
            <v>RSO DR Sud Aquitaine</v>
          </cell>
          <cell r="C11">
            <v>4943</v>
          </cell>
          <cell r="D11">
            <v>22</v>
          </cell>
          <cell r="E11">
            <v>71</v>
          </cell>
          <cell r="F11">
            <v>582</v>
          </cell>
          <cell r="G11">
            <v>0.1177422617843415</v>
          </cell>
          <cell r="H11">
            <v>852</v>
          </cell>
          <cell r="I11">
            <v>121.71428571428571</v>
          </cell>
          <cell r="J11">
            <v>2374</v>
          </cell>
          <cell r="K11">
            <v>9</v>
          </cell>
          <cell r="L11">
            <v>39</v>
          </cell>
          <cell r="M11">
            <v>216</v>
          </cell>
          <cell r="N11">
            <v>9.0985678180286439E-2</v>
          </cell>
          <cell r="O11">
            <v>473</v>
          </cell>
          <cell r="P11">
            <v>67.571428571428569</v>
          </cell>
          <cell r="Q11">
            <v>0.10436396998231397</v>
          </cell>
        </row>
        <row r="12">
          <cell r="A12">
            <v>43801</v>
          </cell>
          <cell r="B12" t="str">
            <v>RSO DR Poitou Charentes</v>
          </cell>
          <cell r="C12">
            <v>4628</v>
          </cell>
          <cell r="D12">
            <v>22</v>
          </cell>
          <cell r="E12">
            <v>74</v>
          </cell>
          <cell r="F12">
            <v>482</v>
          </cell>
          <cell r="G12">
            <v>0.10414866032843562</v>
          </cell>
          <cell r="H12">
            <v>861</v>
          </cell>
          <cell r="I12">
            <v>123</v>
          </cell>
          <cell r="J12">
            <v>2328</v>
          </cell>
          <cell r="K12">
            <v>12</v>
          </cell>
          <cell r="L12">
            <v>48</v>
          </cell>
          <cell r="M12">
            <v>221</v>
          </cell>
          <cell r="N12">
            <v>9.4931271477663226E-2</v>
          </cell>
          <cell r="O12">
            <v>455</v>
          </cell>
          <cell r="P12">
            <v>65</v>
          </cell>
          <cell r="Q12">
            <v>9.9539965903049421E-2</v>
          </cell>
        </row>
        <row r="13">
          <cell r="A13">
            <v>43861</v>
          </cell>
          <cell r="B13" t="str">
            <v>RSO DR Limousin Dordogne</v>
          </cell>
          <cell r="C13">
            <v>2774</v>
          </cell>
          <cell r="D13">
            <v>14</v>
          </cell>
          <cell r="E13">
            <v>55</v>
          </cell>
          <cell r="F13">
            <v>284</v>
          </cell>
          <cell r="G13">
            <v>0.10237923576063446</v>
          </cell>
          <cell r="H13">
            <v>521</v>
          </cell>
          <cell r="I13">
            <v>74.428571428571431</v>
          </cell>
          <cell r="J13">
            <v>1517</v>
          </cell>
          <cell r="K13">
            <v>6</v>
          </cell>
          <cell r="L13">
            <v>33</v>
          </cell>
          <cell r="M13">
            <v>157</v>
          </cell>
          <cell r="N13">
            <v>0.1034937376400791</v>
          </cell>
          <cell r="O13">
            <v>283</v>
          </cell>
          <cell r="P13">
            <v>40.428571428571431</v>
          </cell>
          <cell r="Q13">
            <v>0.10293648670035678</v>
          </cell>
        </row>
        <row r="14">
          <cell r="A14">
            <v>43703</v>
          </cell>
          <cell r="B14" t="str">
            <v>DGA BORDEAUX CENTRE</v>
          </cell>
          <cell r="C14">
            <v>1462</v>
          </cell>
          <cell r="D14">
            <v>5</v>
          </cell>
          <cell r="E14">
            <v>19</v>
          </cell>
          <cell r="F14">
            <v>115</v>
          </cell>
          <cell r="G14">
            <v>7.8659370725034206E-2</v>
          </cell>
          <cell r="H14">
            <v>309</v>
          </cell>
          <cell r="I14">
            <v>44.142857142857146</v>
          </cell>
          <cell r="J14">
            <v>611</v>
          </cell>
          <cell r="K14">
            <v>7</v>
          </cell>
          <cell r="L14">
            <v>12</v>
          </cell>
          <cell r="M14">
            <v>55</v>
          </cell>
          <cell r="N14">
            <v>9.0016366612111293E-2</v>
          </cell>
          <cell r="O14">
            <v>123</v>
          </cell>
          <cell r="P14">
            <v>17.571428571428573</v>
          </cell>
          <cell r="Q14">
            <v>8.4337868668572749E-2</v>
          </cell>
        </row>
        <row r="15">
          <cell r="A15">
            <v>51800</v>
          </cell>
          <cell r="B15" t="str">
            <v>Multisite BORDEAUX</v>
          </cell>
          <cell r="C15">
            <v>619</v>
          </cell>
          <cell r="D15">
            <v>2</v>
          </cell>
          <cell r="E15">
            <v>9</v>
          </cell>
          <cell r="F15">
            <v>49</v>
          </cell>
          <cell r="G15">
            <v>7.9159935379644594E-2</v>
          </cell>
          <cell r="H15">
            <v>131</v>
          </cell>
          <cell r="I15">
            <v>18.714285714285715</v>
          </cell>
          <cell r="J15">
            <v>240</v>
          </cell>
          <cell r="K15">
            <v>2</v>
          </cell>
          <cell r="L15">
            <v>4</v>
          </cell>
          <cell r="M15">
            <v>26</v>
          </cell>
          <cell r="N15">
            <v>0.10833333333333334</v>
          </cell>
          <cell r="O15">
            <v>44</v>
          </cell>
          <cell r="P15">
            <v>6.2857142857142856</v>
          </cell>
          <cell r="Q15">
            <v>9.3746634356488973E-2</v>
          </cell>
        </row>
        <row r="16">
          <cell r="A16">
            <v>1800</v>
          </cell>
          <cell r="B16" t="str">
            <v>BORDEAUX</v>
          </cell>
          <cell r="C16">
            <v>541</v>
          </cell>
          <cell r="D16">
            <v>2</v>
          </cell>
          <cell r="E16">
            <v>9</v>
          </cell>
          <cell r="F16">
            <v>42</v>
          </cell>
          <cell r="G16">
            <v>7.763401109057301E-2</v>
          </cell>
          <cell r="H16">
            <v>115</v>
          </cell>
          <cell r="I16">
            <v>16.428571428571427</v>
          </cell>
          <cell r="J16">
            <v>216</v>
          </cell>
          <cell r="K16">
            <v>2</v>
          </cell>
          <cell r="L16">
            <v>4</v>
          </cell>
          <cell r="M16">
            <v>25</v>
          </cell>
          <cell r="N16">
            <v>0.11574074074074074</v>
          </cell>
          <cell r="O16">
            <v>38</v>
          </cell>
          <cell r="P16">
            <v>5.4285714285714288</v>
          </cell>
          <cell r="Q16">
            <v>9.6687375915656876E-2</v>
          </cell>
        </row>
        <row r="17">
          <cell r="A17">
            <v>1866</v>
          </cell>
          <cell r="B17" t="str">
            <v>BORDEAUX - PALAIS</v>
          </cell>
          <cell r="C17">
            <v>78</v>
          </cell>
          <cell r="D17">
            <v>0</v>
          </cell>
          <cell r="E17">
            <v>0</v>
          </cell>
          <cell r="F17">
            <v>7</v>
          </cell>
          <cell r="G17">
            <v>8.9743589743589744E-2</v>
          </cell>
          <cell r="H17">
            <v>16</v>
          </cell>
          <cell r="I17">
            <v>2.2857142857142856</v>
          </cell>
          <cell r="J17">
            <v>24</v>
          </cell>
          <cell r="K17">
            <v>0</v>
          </cell>
          <cell r="L17">
            <v>0</v>
          </cell>
          <cell r="M17">
            <v>1</v>
          </cell>
          <cell r="N17">
            <v>4.1666666666666664E-2</v>
          </cell>
          <cell r="O17">
            <v>6</v>
          </cell>
          <cell r="P17">
            <v>0.8571428571428571</v>
          </cell>
          <cell r="Q17">
            <v>6.5705128205128208E-2</v>
          </cell>
        </row>
        <row r="18">
          <cell r="A18">
            <v>1868</v>
          </cell>
          <cell r="B18" t="str">
            <v>BORDEAUX TOURNY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A19">
            <v>1802</v>
          </cell>
          <cell r="B19" t="str">
            <v>BORDEAUX MARITIME</v>
          </cell>
          <cell r="C19">
            <v>19</v>
          </cell>
          <cell r="D19">
            <v>0</v>
          </cell>
          <cell r="E19">
            <v>0</v>
          </cell>
          <cell r="F19">
            <v>1</v>
          </cell>
          <cell r="G19">
            <v>5.2631578947368418E-2</v>
          </cell>
          <cell r="H19">
            <v>5</v>
          </cell>
          <cell r="I19">
            <v>0.7142857142857143</v>
          </cell>
          <cell r="J19">
            <v>10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3</v>
          </cell>
          <cell r="P19">
            <v>0.42857142857142855</v>
          </cell>
          <cell r="Q19">
            <v>2.6315789473684209E-2</v>
          </cell>
        </row>
        <row r="20">
          <cell r="A20">
            <v>51832</v>
          </cell>
          <cell r="B20" t="str">
            <v>Multisite BORDEAUX CHARTRONS</v>
          </cell>
          <cell r="C20">
            <v>304</v>
          </cell>
          <cell r="D20">
            <v>0</v>
          </cell>
          <cell r="E20">
            <v>5</v>
          </cell>
          <cell r="F20">
            <v>29</v>
          </cell>
          <cell r="G20">
            <v>9.5394736842105268E-2</v>
          </cell>
          <cell r="H20">
            <v>60</v>
          </cell>
          <cell r="I20">
            <v>8.5714285714285712</v>
          </cell>
          <cell r="J20">
            <v>130</v>
          </cell>
          <cell r="K20">
            <v>2</v>
          </cell>
          <cell r="L20">
            <v>5</v>
          </cell>
          <cell r="M20">
            <v>12</v>
          </cell>
          <cell r="N20">
            <v>9.2307692307692313E-2</v>
          </cell>
          <cell r="O20">
            <v>26</v>
          </cell>
          <cell r="P20">
            <v>3.7142857142857144</v>
          </cell>
          <cell r="Q20">
            <v>9.3851214574898784E-2</v>
          </cell>
        </row>
        <row r="21">
          <cell r="A21">
            <v>1830</v>
          </cell>
          <cell r="B21" t="str">
            <v>LE BOUSCAT RAVEZIES</v>
          </cell>
          <cell r="C21">
            <v>55</v>
          </cell>
          <cell r="D21">
            <v>0</v>
          </cell>
          <cell r="E21">
            <v>0</v>
          </cell>
          <cell r="F21">
            <v>6</v>
          </cell>
          <cell r="G21">
            <v>0.10909090909090909</v>
          </cell>
          <cell r="H21">
            <v>10</v>
          </cell>
          <cell r="I21">
            <v>1.4285714285714286</v>
          </cell>
          <cell r="J21">
            <v>24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7</v>
          </cell>
          <cell r="P21">
            <v>1</v>
          </cell>
          <cell r="Q21">
            <v>5.4545454545454543E-2</v>
          </cell>
        </row>
        <row r="22">
          <cell r="A22">
            <v>1832</v>
          </cell>
          <cell r="B22" t="str">
            <v>BORDEAUX CHARTRONS</v>
          </cell>
          <cell r="C22">
            <v>142</v>
          </cell>
          <cell r="D22">
            <v>0</v>
          </cell>
          <cell r="E22">
            <v>4</v>
          </cell>
          <cell r="F22">
            <v>15</v>
          </cell>
          <cell r="G22">
            <v>0.10563380281690141</v>
          </cell>
          <cell r="H22">
            <v>27</v>
          </cell>
          <cell r="I22">
            <v>3.8571428571428572</v>
          </cell>
          <cell r="J22">
            <v>58</v>
          </cell>
          <cell r="K22">
            <v>1</v>
          </cell>
          <cell r="L22">
            <v>3</v>
          </cell>
          <cell r="M22">
            <v>8</v>
          </cell>
          <cell r="N22">
            <v>0.13793103448275862</v>
          </cell>
          <cell r="O22">
            <v>9</v>
          </cell>
          <cell r="P22">
            <v>1.2857142857142858</v>
          </cell>
          <cell r="Q22">
            <v>0.12178241864983001</v>
          </cell>
        </row>
        <row r="23">
          <cell r="A23">
            <v>1844</v>
          </cell>
          <cell r="B23" t="str">
            <v>BORDEAUX CITE GRAND PARC</v>
          </cell>
          <cell r="C23">
            <v>107</v>
          </cell>
          <cell r="D23">
            <v>0</v>
          </cell>
          <cell r="E23">
            <v>1</v>
          </cell>
          <cell r="F23">
            <v>8</v>
          </cell>
          <cell r="G23">
            <v>7.476635514018691E-2</v>
          </cell>
          <cell r="H23">
            <v>24</v>
          </cell>
          <cell r="I23">
            <v>3.4285714285714284</v>
          </cell>
          <cell r="J23">
            <v>48</v>
          </cell>
          <cell r="K23">
            <v>1</v>
          </cell>
          <cell r="L23">
            <v>2</v>
          </cell>
          <cell r="M23">
            <v>4</v>
          </cell>
          <cell r="N23">
            <v>8.3333333333333329E-2</v>
          </cell>
          <cell r="O23">
            <v>10</v>
          </cell>
          <cell r="P23">
            <v>1.4285714285714286</v>
          </cell>
          <cell r="Q23">
            <v>7.904984423676012E-2</v>
          </cell>
        </row>
        <row r="24">
          <cell r="A24">
            <v>1833</v>
          </cell>
          <cell r="B24" t="str">
            <v>BORDEAUX VICTOR HUGO</v>
          </cell>
          <cell r="C24">
            <v>148</v>
          </cell>
          <cell r="D24">
            <v>0</v>
          </cell>
          <cell r="E24">
            <v>0</v>
          </cell>
          <cell r="F24">
            <v>12</v>
          </cell>
          <cell r="G24">
            <v>8.1081081081081086E-2</v>
          </cell>
          <cell r="H24">
            <v>31</v>
          </cell>
          <cell r="I24">
            <v>4.4285714285714288</v>
          </cell>
          <cell r="J24">
            <v>68</v>
          </cell>
          <cell r="K24">
            <v>0</v>
          </cell>
          <cell r="L24">
            <v>0</v>
          </cell>
          <cell r="M24">
            <v>2</v>
          </cell>
          <cell r="N24">
            <v>2.9411764705882353E-2</v>
          </cell>
          <cell r="O24">
            <v>18</v>
          </cell>
          <cell r="P24">
            <v>2.5714285714285716</v>
          </cell>
          <cell r="Q24">
            <v>5.5246422893481723E-2</v>
          </cell>
        </row>
        <row r="25">
          <cell r="A25">
            <v>1841</v>
          </cell>
          <cell r="B25" t="str">
            <v>LE BOUSCAT BARRIERE DU MEDOC</v>
          </cell>
          <cell r="C25">
            <v>131</v>
          </cell>
          <cell r="D25">
            <v>0</v>
          </cell>
          <cell r="E25">
            <v>0</v>
          </cell>
          <cell r="F25">
            <v>5</v>
          </cell>
          <cell r="G25">
            <v>3.8167938931297711E-2</v>
          </cell>
          <cell r="H25">
            <v>33</v>
          </cell>
          <cell r="I25">
            <v>4.7142857142857144</v>
          </cell>
          <cell r="J25">
            <v>54</v>
          </cell>
          <cell r="K25">
            <v>0</v>
          </cell>
          <cell r="L25">
            <v>0</v>
          </cell>
          <cell r="M25">
            <v>5</v>
          </cell>
          <cell r="N25">
            <v>9.2592592592592587E-2</v>
          </cell>
          <cell r="O25">
            <v>11</v>
          </cell>
          <cell r="P25">
            <v>1.5714285714285714</v>
          </cell>
          <cell r="Q25">
            <v>6.5380265761945153E-2</v>
          </cell>
        </row>
        <row r="26">
          <cell r="A26">
            <v>51847</v>
          </cell>
          <cell r="B26" t="str">
            <v>Multisite BORDEAUX VICTOIRE</v>
          </cell>
          <cell r="C26">
            <v>274</v>
          </cell>
          <cell r="D26">
            <v>3</v>
          </cell>
          <cell r="E26">
            <v>5</v>
          </cell>
          <cell r="F26">
            <v>19</v>
          </cell>
          <cell r="G26">
            <v>6.9343065693430656E-2</v>
          </cell>
          <cell r="H26">
            <v>61</v>
          </cell>
          <cell r="I26">
            <v>8.7142857142857135</v>
          </cell>
          <cell r="J26">
            <v>114</v>
          </cell>
          <cell r="K26">
            <v>3</v>
          </cell>
          <cell r="L26">
            <v>3</v>
          </cell>
          <cell r="M26">
            <v>10</v>
          </cell>
          <cell r="N26">
            <v>8.771929824561403E-2</v>
          </cell>
          <cell r="O26">
            <v>24</v>
          </cell>
          <cell r="P26">
            <v>3.4285714285714284</v>
          </cell>
          <cell r="Q26">
            <v>7.8531181969522343E-2</v>
          </cell>
        </row>
        <row r="27">
          <cell r="A27">
            <v>1847</v>
          </cell>
          <cell r="B27" t="str">
            <v>BORDEAUX VICTOIRE</v>
          </cell>
          <cell r="C27">
            <v>189</v>
          </cell>
          <cell r="D27">
            <v>3</v>
          </cell>
          <cell r="E27">
            <v>5</v>
          </cell>
          <cell r="F27">
            <v>16</v>
          </cell>
          <cell r="G27">
            <v>8.4656084656084651E-2</v>
          </cell>
          <cell r="H27">
            <v>39</v>
          </cell>
          <cell r="I27">
            <v>5.5714285714285712</v>
          </cell>
          <cell r="J27">
            <v>74</v>
          </cell>
          <cell r="K27">
            <v>3</v>
          </cell>
          <cell r="L27">
            <v>3</v>
          </cell>
          <cell r="M27">
            <v>7</v>
          </cell>
          <cell r="N27">
            <v>9.45945945945946E-2</v>
          </cell>
          <cell r="O27">
            <v>15</v>
          </cell>
          <cell r="P27">
            <v>2.1428571428571428</v>
          </cell>
          <cell r="Q27">
            <v>8.9625339625339626E-2</v>
          </cell>
        </row>
        <row r="28">
          <cell r="A28">
            <v>1854</v>
          </cell>
          <cell r="B28" t="str">
            <v>BORDEAUX SAINT-JEAN</v>
          </cell>
          <cell r="C28">
            <v>85</v>
          </cell>
          <cell r="D28">
            <v>0</v>
          </cell>
          <cell r="E28">
            <v>0</v>
          </cell>
          <cell r="F28">
            <v>3</v>
          </cell>
          <cell r="G28">
            <v>3.5294117647058823E-2</v>
          </cell>
          <cell r="H28">
            <v>22</v>
          </cell>
          <cell r="I28">
            <v>3.1428571428571428</v>
          </cell>
          <cell r="J28">
            <v>40</v>
          </cell>
          <cell r="K28">
            <v>0</v>
          </cell>
          <cell r="L28">
            <v>0</v>
          </cell>
          <cell r="M28">
            <v>3</v>
          </cell>
          <cell r="N28">
            <v>7.4999999999999997E-2</v>
          </cell>
          <cell r="O28">
            <v>9</v>
          </cell>
          <cell r="P28">
            <v>1.2857142857142858</v>
          </cell>
          <cell r="Q28">
            <v>5.514705882352941E-2</v>
          </cell>
        </row>
        <row r="29">
          <cell r="A29">
            <v>43711</v>
          </cell>
          <cell r="B29" t="str">
            <v>DGA MERIGNAC - MEDOC</v>
          </cell>
          <cell r="C29">
            <v>1434</v>
          </cell>
          <cell r="D29">
            <v>14</v>
          </cell>
          <cell r="E29">
            <v>34</v>
          </cell>
          <cell r="F29">
            <v>136</v>
          </cell>
          <cell r="G29">
            <v>9.4839609483960946E-2</v>
          </cell>
          <cell r="H29">
            <v>280</v>
          </cell>
          <cell r="I29">
            <v>40</v>
          </cell>
          <cell r="J29">
            <v>596</v>
          </cell>
          <cell r="K29">
            <v>3</v>
          </cell>
          <cell r="L29">
            <v>12</v>
          </cell>
          <cell r="M29">
            <v>62</v>
          </cell>
          <cell r="N29">
            <v>0.1040268456375839</v>
          </cell>
          <cell r="O29">
            <v>111</v>
          </cell>
          <cell r="P29">
            <v>15.857142857142858</v>
          </cell>
          <cell r="Q29">
            <v>9.9433227560772414E-2</v>
          </cell>
        </row>
        <row r="30">
          <cell r="A30">
            <v>1837</v>
          </cell>
          <cell r="B30" t="str">
            <v>PAUILLAC</v>
          </cell>
          <cell r="C30">
            <v>131</v>
          </cell>
          <cell r="D30">
            <v>6</v>
          </cell>
          <cell r="E30">
            <v>6</v>
          </cell>
          <cell r="F30">
            <v>18</v>
          </cell>
          <cell r="G30">
            <v>0.13740458015267176</v>
          </cell>
          <cell r="H30">
            <v>20</v>
          </cell>
          <cell r="I30">
            <v>2.8571428571428572</v>
          </cell>
          <cell r="J30">
            <v>50</v>
          </cell>
          <cell r="K30">
            <v>1</v>
          </cell>
          <cell r="L30">
            <v>1</v>
          </cell>
          <cell r="M30">
            <v>6</v>
          </cell>
          <cell r="N30">
            <v>0.12</v>
          </cell>
          <cell r="O30">
            <v>9</v>
          </cell>
          <cell r="P30">
            <v>1.2857142857142858</v>
          </cell>
          <cell r="Q30">
            <v>0.12870229007633588</v>
          </cell>
        </row>
        <row r="31">
          <cell r="A31">
            <v>1840</v>
          </cell>
          <cell r="B31" t="str">
            <v>MERIGNAC</v>
          </cell>
          <cell r="C31">
            <v>292</v>
          </cell>
          <cell r="D31">
            <v>0</v>
          </cell>
          <cell r="E31">
            <v>2</v>
          </cell>
          <cell r="F31">
            <v>21</v>
          </cell>
          <cell r="G31">
            <v>7.1917808219178078E-2</v>
          </cell>
          <cell r="H31">
            <v>64</v>
          </cell>
          <cell r="I31">
            <v>9.1428571428571423</v>
          </cell>
          <cell r="J31">
            <v>127</v>
          </cell>
          <cell r="K31">
            <v>0</v>
          </cell>
          <cell r="L31">
            <v>0</v>
          </cell>
          <cell r="M31">
            <v>11</v>
          </cell>
          <cell r="N31">
            <v>8.6614173228346455E-2</v>
          </cell>
          <cell r="O31">
            <v>26</v>
          </cell>
          <cell r="P31">
            <v>3.7142857142857144</v>
          </cell>
          <cell r="Q31">
            <v>7.9265990723762267E-2</v>
          </cell>
        </row>
        <row r="32">
          <cell r="A32">
            <v>1843</v>
          </cell>
          <cell r="B32" t="str">
            <v>SAINT MEDARD EN JALLES</v>
          </cell>
          <cell r="C32">
            <v>226</v>
          </cell>
          <cell r="D32">
            <v>3</v>
          </cell>
          <cell r="E32">
            <v>6</v>
          </cell>
          <cell r="F32">
            <v>22</v>
          </cell>
          <cell r="G32">
            <v>9.7345132743362831E-2</v>
          </cell>
          <cell r="H32">
            <v>44</v>
          </cell>
          <cell r="I32">
            <v>6.2857142857142856</v>
          </cell>
          <cell r="J32">
            <v>92</v>
          </cell>
          <cell r="K32">
            <v>0</v>
          </cell>
          <cell r="L32">
            <v>2</v>
          </cell>
          <cell r="M32">
            <v>5</v>
          </cell>
          <cell r="N32">
            <v>5.434782608695652E-2</v>
          </cell>
          <cell r="O32">
            <v>22</v>
          </cell>
          <cell r="P32">
            <v>3.1428571428571428</v>
          </cell>
          <cell r="Q32">
            <v>7.5846479415159679E-2</v>
          </cell>
        </row>
        <row r="33">
          <cell r="A33">
            <v>1850</v>
          </cell>
          <cell r="B33" t="str">
            <v>LESPARRE MEDOC</v>
          </cell>
          <cell r="C33">
            <v>192</v>
          </cell>
          <cell r="D33">
            <v>0</v>
          </cell>
          <cell r="E33">
            <v>5</v>
          </cell>
          <cell r="F33">
            <v>16</v>
          </cell>
          <cell r="G33">
            <v>8.3333333333333329E-2</v>
          </cell>
          <cell r="H33">
            <v>40</v>
          </cell>
          <cell r="I33">
            <v>5.7142857142857144</v>
          </cell>
          <cell r="J33">
            <v>82</v>
          </cell>
          <cell r="K33">
            <v>0</v>
          </cell>
          <cell r="L33">
            <v>1</v>
          </cell>
          <cell r="M33">
            <v>3</v>
          </cell>
          <cell r="N33">
            <v>3.6585365853658534E-2</v>
          </cell>
          <cell r="O33">
            <v>21</v>
          </cell>
          <cell r="P33">
            <v>3</v>
          </cell>
          <cell r="Q33">
            <v>5.9959349593495928E-2</v>
          </cell>
        </row>
        <row r="34">
          <cell r="A34">
            <v>51851</v>
          </cell>
          <cell r="B34" t="str">
            <v>Multisite CAUDERAN</v>
          </cell>
          <cell r="C34">
            <v>304</v>
          </cell>
          <cell r="D34">
            <v>2</v>
          </cell>
          <cell r="E34">
            <v>3</v>
          </cell>
          <cell r="F34">
            <v>26</v>
          </cell>
          <cell r="G34">
            <v>8.5526315789473686E-2</v>
          </cell>
          <cell r="H34">
            <v>63</v>
          </cell>
          <cell r="I34">
            <v>9</v>
          </cell>
          <cell r="J34">
            <v>121</v>
          </cell>
          <cell r="K34">
            <v>2</v>
          </cell>
          <cell r="L34">
            <v>4</v>
          </cell>
          <cell r="M34">
            <v>12</v>
          </cell>
          <cell r="N34">
            <v>9.9173553719008267E-2</v>
          </cell>
          <cell r="O34">
            <v>24</v>
          </cell>
          <cell r="P34">
            <v>3.4285714285714284</v>
          </cell>
          <cell r="Q34">
            <v>9.234993475424097E-2</v>
          </cell>
        </row>
        <row r="35">
          <cell r="A35">
            <v>1851</v>
          </cell>
          <cell r="B35" t="str">
            <v>BORDEAUX CAUDERAN</v>
          </cell>
          <cell r="C35">
            <v>184</v>
          </cell>
          <cell r="D35">
            <v>1</v>
          </cell>
          <cell r="E35">
            <v>1</v>
          </cell>
          <cell r="F35">
            <v>22</v>
          </cell>
          <cell r="G35">
            <v>0.11956521739130435</v>
          </cell>
          <cell r="H35">
            <v>32</v>
          </cell>
          <cell r="I35">
            <v>4.5714285714285712</v>
          </cell>
          <cell r="J35">
            <v>71</v>
          </cell>
          <cell r="K35">
            <v>0</v>
          </cell>
          <cell r="L35">
            <v>2</v>
          </cell>
          <cell r="M35">
            <v>8</v>
          </cell>
          <cell r="N35">
            <v>0.11267605633802817</v>
          </cell>
          <cell r="O35">
            <v>13</v>
          </cell>
          <cell r="P35">
            <v>1.8571428571428572</v>
          </cell>
          <cell r="Q35">
            <v>0.11612063686466625</v>
          </cell>
        </row>
        <row r="36">
          <cell r="A36">
            <v>1864</v>
          </cell>
          <cell r="B36" t="str">
            <v>MERIGNAC MONDESIR</v>
          </cell>
          <cell r="C36">
            <v>120</v>
          </cell>
          <cell r="D36">
            <v>1</v>
          </cell>
          <cell r="E36">
            <v>2</v>
          </cell>
          <cell r="F36">
            <v>4</v>
          </cell>
          <cell r="G36">
            <v>3.3333333333333333E-2</v>
          </cell>
          <cell r="H36">
            <v>31</v>
          </cell>
          <cell r="I36">
            <v>4.4285714285714288</v>
          </cell>
          <cell r="J36">
            <v>50</v>
          </cell>
          <cell r="K36">
            <v>2</v>
          </cell>
          <cell r="L36">
            <v>2</v>
          </cell>
          <cell r="M36">
            <v>4</v>
          </cell>
          <cell r="N36">
            <v>0.08</v>
          </cell>
          <cell r="O36">
            <v>11</v>
          </cell>
          <cell r="P36">
            <v>1.5714285714285714</v>
          </cell>
          <cell r="Q36">
            <v>5.6666666666666671E-2</v>
          </cell>
        </row>
        <row r="37">
          <cell r="A37">
            <v>1838</v>
          </cell>
          <cell r="B37" t="str">
            <v>BORDEAUX BAR JUDAIQUE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A38">
            <v>51859</v>
          </cell>
          <cell r="B38" t="str">
            <v>Multisite BRUGES</v>
          </cell>
          <cell r="C38">
            <v>319</v>
          </cell>
          <cell r="D38">
            <v>3</v>
          </cell>
          <cell r="E38">
            <v>12</v>
          </cell>
          <cell r="F38">
            <v>33</v>
          </cell>
          <cell r="G38">
            <v>0.10344827586206896</v>
          </cell>
          <cell r="H38">
            <v>60</v>
          </cell>
          <cell r="I38">
            <v>8.5714285714285712</v>
          </cell>
          <cell r="J38">
            <v>124</v>
          </cell>
          <cell r="K38">
            <v>0</v>
          </cell>
          <cell r="L38">
            <v>4</v>
          </cell>
          <cell r="M38">
            <v>25</v>
          </cell>
          <cell r="N38">
            <v>0.20161290322580644</v>
          </cell>
          <cell r="O38">
            <v>11</v>
          </cell>
          <cell r="P38">
            <v>1.5714285714285714</v>
          </cell>
          <cell r="Q38">
            <v>0.15253058954393769</v>
          </cell>
        </row>
        <row r="39">
          <cell r="A39">
            <v>1858</v>
          </cell>
          <cell r="B39" t="str">
            <v>EYSINES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A40">
            <v>1859</v>
          </cell>
          <cell r="B40" t="str">
            <v>BRUGES</v>
          </cell>
          <cell r="C40">
            <v>162</v>
          </cell>
          <cell r="D40">
            <v>2</v>
          </cell>
          <cell r="E40">
            <v>4</v>
          </cell>
          <cell r="F40">
            <v>13</v>
          </cell>
          <cell r="G40">
            <v>8.0246913580246909E-2</v>
          </cell>
          <cell r="H40">
            <v>34</v>
          </cell>
          <cell r="I40">
            <v>4.8571428571428568</v>
          </cell>
          <cell r="J40">
            <v>65</v>
          </cell>
          <cell r="K40">
            <v>0</v>
          </cell>
          <cell r="L40">
            <v>1</v>
          </cell>
          <cell r="M40">
            <v>9</v>
          </cell>
          <cell r="N40">
            <v>0.13846153846153847</v>
          </cell>
          <cell r="O40">
            <v>10</v>
          </cell>
          <cell r="P40">
            <v>1.4285714285714286</v>
          </cell>
          <cell r="Q40">
            <v>0.10935422602089269</v>
          </cell>
        </row>
        <row r="41">
          <cell r="A41">
            <v>1860</v>
          </cell>
          <cell r="B41" t="str">
            <v>BLANQUEFORT</v>
          </cell>
          <cell r="C41">
            <v>157</v>
          </cell>
          <cell r="D41">
            <v>1</v>
          </cell>
          <cell r="E41">
            <v>8</v>
          </cell>
          <cell r="F41">
            <v>20</v>
          </cell>
          <cell r="G41">
            <v>0.12738853503184713</v>
          </cell>
          <cell r="H41">
            <v>26</v>
          </cell>
          <cell r="I41">
            <v>3.7142857142857144</v>
          </cell>
          <cell r="J41">
            <v>59</v>
          </cell>
          <cell r="K41">
            <v>0</v>
          </cell>
          <cell r="L41">
            <v>3</v>
          </cell>
          <cell r="M41">
            <v>16</v>
          </cell>
          <cell r="N41">
            <v>0.2711864406779661</v>
          </cell>
          <cell r="O41">
            <v>2</v>
          </cell>
          <cell r="P41">
            <v>0.2857142857142857</v>
          </cell>
          <cell r="Q41">
            <v>0.19928748785490663</v>
          </cell>
        </row>
        <row r="42">
          <cell r="A42">
            <v>43717</v>
          </cell>
          <cell r="B42" t="str">
            <v>DGA SUD GIRONDE</v>
          </cell>
          <cell r="C42">
            <v>1160</v>
          </cell>
          <cell r="D42">
            <v>2</v>
          </cell>
          <cell r="E42">
            <v>10</v>
          </cell>
          <cell r="F42">
            <v>95</v>
          </cell>
          <cell r="G42">
            <v>8.1896551724137928E-2</v>
          </cell>
          <cell r="H42">
            <v>242</v>
          </cell>
          <cell r="I42">
            <v>34.571428571428569</v>
          </cell>
          <cell r="J42">
            <v>489</v>
          </cell>
          <cell r="K42">
            <v>4</v>
          </cell>
          <cell r="L42">
            <v>11</v>
          </cell>
          <cell r="M42">
            <v>31</v>
          </cell>
          <cell r="N42">
            <v>6.3394683026584867E-2</v>
          </cell>
          <cell r="O42">
            <v>111</v>
          </cell>
          <cell r="P42">
            <v>15.857142857142858</v>
          </cell>
          <cell r="Q42">
            <v>7.2645617375361404E-2</v>
          </cell>
        </row>
        <row r="43">
          <cell r="A43">
            <v>1842</v>
          </cell>
          <cell r="B43" t="str">
            <v>BORDEAUX BARRIERE DE PESSAC</v>
          </cell>
          <cell r="C43">
            <v>107</v>
          </cell>
          <cell r="D43">
            <v>0</v>
          </cell>
          <cell r="E43">
            <v>0</v>
          </cell>
          <cell r="F43">
            <v>9</v>
          </cell>
          <cell r="G43">
            <v>8.4112149532710276E-2</v>
          </cell>
          <cell r="H43">
            <v>23</v>
          </cell>
          <cell r="I43">
            <v>3.2857142857142856</v>
          </cell>
          <cell r="J43">
            <v>47</v>
          </cell>
          <cell r="K43">
            <v>0</v>
          </cell>
          <cell r="L43">
            <v>1</v>
          </cell>
          <cell r="M43">
            <v>1</v>
          </cell>
          <cell r="N43">
            <v>2.1276595744680851E-2</v>
          </cell>
          <cell r="O43">
            <v>13</v>
          </cell>
          <cell r="P43">
            <v>1.8571428571428572</v>
          </cell>
          <cell r="Q43">
            <v>5.2694372638695565E-2</v>
          </cell>
        </row>
        <row r="44">
          <cell r="A44">
            <v>51845</v>
          </cell>
          <cell r="B44" t="str">
            <v>Multisite PESSAC</v>
          </cell>
          <cell r="C44">
            <v>317</v>
          </cell>
          <cell r="D44">
            <v>1</v>
          </cell>
          <cell r="E44">
            <v>3</v>
          </cell>
          <cell r="F44">
            <v>26</v>
          </cell>
          <cell r="G44">
            <v>8.2018927444794956E-2</v>
          </cell>
          <cell r="H44">
            <v>66</v>
          </cell>
          <cell r="I44">
            <v>9.4285714285714288</v>
          </cell>
          <cell r="J44">
            <v>146</v>
          </cell>
          <cell r="K44">
            <v>1</v>
          </cell>
          <cell r="L44">
            <v>2</v>
          </cell>
          <cell r="M44">
            <v>6</v>
          </cell>
          <cell r="N44">
            <v>4.1095890410958902E-2</v>
          </cell>
          <cell r="O44">
            <v>37</v>
          </cell>
          <cell r="P44">
            <v>5.2857142857142856</v>
          </cell>
          <cell r="Q44">
            <v>6.1557408927876929E-2</v>
          </cell>
        </row>
        <row r="45">
          <cell r="A45">
            <v>1845</v>
          </cell>
          <cell r="B45" t="str">
            <v>PESSAC</v>
          </cell>
          <cell r="C45">
            <v>199</v>
          </cell>
          <cell r="D45">
            <v>0</v>
          </cell>
          <cell r="E45">
            <v>2</v>
          </cell>
          <cell r="F45">
            <v>17</v>
          </cell>
          <cell r="G45">
            <v>8.5427135678391955E-2</v>
          </cell>
          <cell r="H45">
            <v>41</v>
          </cell>
          <cell r="I45">
            <v>5.8571428571428568</v>
          </cell>
          <cell r="J45">
            <v>99</v>
          </cell>
          <cell r="K45">
            <v>1</v>
          </cell>
          <cell r="L45">
            <v>2</v>
          </cell>
          <cell r="M45">
            <v>4</v>
          </cell>
          <cell r="N45">
            <v>4.0404040404040407E-2</v>
          </cell>
          <cell r="O45">
            <v>25</v>
          </cell>
          <cell r="P45">
            <v>3.5714285714285716</v>
          </cell>
          <cell r="Q45">
            <v>6.2915588041216178E-2</v>
          </cell>
        </row>
        <row r="46">
          <cell r="A46">
            <v>1865</v>
          </cell>
          <cell r="B46" t="str">
            <v>PESSAC ALOUETTE</v>
          </cell>
          <cell r="C46">
            <v>118</v>
          </cell>
          <cell r="D46">
            <v>1</v>
          </cell>
          <cell r="E46">
            <v>1</v>
          </cell>
          <cell r="F46">
            <v>9</v>
          </cell>
          <cell r="G46">
            <v>7.6271186440677971E-2</v>
          </cell>
          <cell r="H46">
            <v>26</v>
          </cell>
          <cell r="I46">
            <v>3.7142857142857144</v>
          </cell>
          <cell r="J46">
            <v>47</v>
          </cell>
          <cell r="K46">
            <v>0</v>
          </cell>
          <cell r="L46">
            <v>0</v>
          </cell>
          <cell r="M46">
            <v>2</v>
          </cell>
          <cell r="N46">
            <v>4.2553191489361701E-2</v>
          </cell>
          <cell r="O46">
            <v>12</v>
          </cell>
          <cell r="P46">
            <v>1.7142857142857142</v>
          </cell>
          <cell r="Q46">
            <v>5.9412188965019833E-2</v>
          </cell>
        </row>
        <row r="47">
          <cell r="A47">
            <v>1846</v>
          </cell>
          <cell r="B47" t="str">
            <v>BORDEAUX BARRIER DE TOULOUSE</v>
          </cell>
          <cell r="C47">
            <v>118</v>
          </cell>
          <cell r="D47">
            <v>0</v>
          </cell>
          <cell r="E47">
            <v>1</v>
          </cell>
          <cell r="F47">
            <v>9</v>
          </cell>
          <cell r="G47">
            <v>7.6271186440677971E-2</v>
          </cell>
          <cell r="H47">
            <v>26</v>
          </cell>
          <cell r="I47">
            <v>3.7142857142857144</v>
          </cell>
          <cell r="J47">
            <v>46</v>
          </cell>
          <cell r="K47">
            <v>0</v>
          </cell>
          <cell r="L47">
            <v>0</v>
          </cell>
          <cell r="M47">
            <v>2</v>
          </cell>
          <cell r="N47">
            <v>4.3478260869565216E-2</v>
          </cell>
          <cell r="O47">
            <v>12</v>
          </cell>
          <cell r="P47">
            <v>1.7142857142857142</v>
          </cell>
          <cell r="Q47">
            <v>5.9874723655121594E-2</v>
          </cell>
        </row>
        <row r="48">
          <cell r="A48">
            <v>51855</v>
          </cell>
          <cell r="B48" t="str">
            <v>Multisite TALENCE</v>
          </cell>
          <cell r="C48">
            <v>439</v>
          </cell>
          <cell r="D48">
            <v>0</v>
          </cell>
          <cell r="E48">
            <v>4</v>
          </cell>
          <cell r="F48">
            <v>34</v>
          </cell>
          <cell r="G48">
            <v>7.7448747152619596E-2</v>
          </cell>
          <cell r="H48">
            <v>94</v>
          </cell>
          <cell r="I48">
            <v>13.428571428571429</v>
          </cell>
          <cell r="J48">
            <v>175</v>
          </cell>
          <cell r="K48">
            <v>3</v>
          </cell>
          <cell r="L48">
            <v>8</v>
          </cell>
          <cell r="M48">
            <v>15</v>
          </cell>
          <cell r="N48">
            <v>8.5714285714285715E-2</v>
          </cell>
          <cell r="O48">
            <v>36</v>
          </cell>
          <cell r="P48">
            <v>5.1428571428571432</v>
          </cell>
          <cell r="Q48">
            <v>8.1581516433452655E-2</v>
          </cell>
        </row>
        <row r="49">
          <cell r="A49">
            <v>1855</v>
          </cell>
          <cell r="B49" t="str">
            <v>TALENCE</v>
          </cell>
          <cell r="C49">
            <v>246</v>
          </cell>
          <cell r="D49">
            <v>0</v>
          </cell>
          <cell r="E49">
            <v>2</v>
          </cell>
          <cell r="F49">
            <v>19</v>
          </cell>
          <cell r="G49">
            <v>7.7235772357723581E-2</v>
          </cell>
          <cell r="H49">
            <v>53</v>
          </cell>
          <cell r="I49">
            <v>7.5714285714285712</v>
          </cell>
          <cell r="J49">
            <v>111</v>
          </cell>
          <cell r="K49">
            <v>3</v>
          </cell>
          <cell r="L49">
            <v>6</v>
          </cell>
          <cell r="M49">
            <v>11</v>
          </cell>
          <cell r="N49">
            <v>9.90990990990991E-2</v>
          </cell>
          <cell r="O49">
            <v>22</v>
          </cell>
          <cell r="P49">
            <v>3.1428571428571428</v>
          </cell>
          <cell r="Q49">
            <v>8.8167435728411347E-2</v>
          </cell>
        </row>
        <row r="50">
          <cell r="A50">
            <v>1857</v>
          </cell>
          <cell r="B50" t="str">
            <v>VILLENAVE D'ORNON</v>
          </cell>
          <cell r="C50">
            <v>193</v>
          </cell>
          <cell r="D50">
            <v>0</v>
          </cell>
          <cell r="E50">
            <v>2</v>
          </cell>
          <cell r="F50">
            <v>15</v>
          </cell>
          <cell r="G50">
            <v>7.7720207253886009E-2</v>
          </cell>
          <cell r="H50">
            <v>41</v>
          </cell>
          <cell r="I50">
            <v>5.8571428571428568</v>
          </cell>
          <cell r="J50">
            <v>64</v>
          </cell>
          <cell r="K50">
            <v>0</v>
          </cell>
          <cell r="L50">
            <v>2</v>
          </cell>
          <cell r="M50">
            <v>4</v>
          </cell>
          <cell r="N50">
            <v>6.25E-2</v>
          </cell>
          <cell r="O50">
            <v>15</v>
          </cell>
          <cell r="P50">
            <v>2.1428571428571428</v>
          </cell>
          <cell r="Q50">
            <v>7.0110103626943004E-2</v>
          </cell>
        </row>
        <row r="51">
          <cell r="A51">
            <v>1856</v>
          </cell>
          <cell r="B51" t="str">
            <v>GRADIGNAN</v>
          </cell>
          <cell r="C51">
            <v>192</v>
          </cell>
          <cell r="D51">
            <v>1</v>
          </cell>
          <cell r="E51">
            <v>2</v>
          </cell>
          <cell r="F51">
            <v>17</v>
          </cell>
          <cell r="G51">
            <v>8.8541666666666671E-2</v>
          </cell>
          <cell r="H51">
            <v>39</v>
          </cell>
          <cell r="I51">
            <v>5.5714285714285712</v>
          </cell>
          <cell r="J51">
            <v>75</v>
          </cell>
          <cell r="K51">
            <v>0</v>
          </cell>
          <cell r="L51">
            <v>0</v>
          </cell>
          <cell r="M51">
            <v>7</v>
          </cell>
          <cell r="N51">
            <v>9.3333333333333338E-2</v>
          </cell>
          <cell r="O51">
            <v>15</v>
          </cell>
          <cell r="P51">
            <v>2.1428571428571428</v>
          </cell>
          <cell r="Q51">
            <v>9.0937500000000004E-2</v>
          </cell>
        </row>
        <row r="52">
          <cell r="A52">
            <v>43739</v>
          </cell>
          <cell r="B52" t="str">
            <v>DGA BASSIN D'ARCACHON</v>
          </cell>
          <cell r="C52">
            <v>817</v>
          </cell>
          <cell r="D52">
            <v>3</v>
          </cell>
          <cell r="E52">
            <v>13</v>
          </cell>
          <cell r="F52">
            <v>71</v>
          </cell>
          <cell r="G52">
            <v>8.6903304773561812E-2</v>
          </cell>
          <cell r="H52">
            <v>166</v>
          </cell>
          <cell r="I52">
            <v>23.714285714285715</v>
          </cell>
          <cell r="J52">
            <v>347</v>
          </cell>
          <cell r="K52">
            <v>3</v>
          </cell>
          <cell r="L52">
            <v>6</v>
          </cell>
          <cell r="M52">
            <v>39</v>
          </cell>
          <cell r="N52">
            <v>0.11239193083573487</v>
          </cell>
          <cell r="O52">
            <v>62</v>
          </cell>
          <cell r="P52">
            <v>8.8571428571428577</v>
          </cell>
          <cell r="Q52">
            <v>9.9647617804648342E-2</v>
          </cell>
        </row>
        <row r="53">
          <cell r="A53">
            <v>1831</v>
          </cell>
          <cell r="B53" t="str">
            <v>ARCACHON</v>
          </cell>
          <cell r="C53">
            <v>170</v>
          </cell>
          <cell r="D53">
            <v>1</v>
          </cell>
          <cell r="E53">
            <v>5</v>
          </cell>
          <cell r="F53">
            <v>14</v>
          </cell>
          <cell r="G53">
            <v>8.2352941176470587E-2</v>
          </cell>
          <cell r="H53">
            <v>36</v>
          </cell>
          <cell r="I53">
            <v>5.1428571428571432</v>
          </cell>
          <cell r="J53">
            <v>79</v>
          </cell>
          <cell r="K53">
            <v>1</v>
          </cell>
          <cell r="L53">
            <v>1</v>
          </cell>
          <cell r="M53">
            <v>8</v>
          </cell>
          <cell r="N53">
            <v>0.10126582278481013</v>
          </cell>
          <cell r="O53">
            <v>15</v>
          </cell>
          <cell r="P53">
            <v>2.1428571428571428</v>
          </cell>
          <cell r="Q53">
            <v>9.1809381980640356E-2</v>
          </cell>
        </row>
        <row r="54">
          <cell r="A54">
            <v>51848</v>
          </cell>
          <cell r="B54" t="str">
            <v>Multisite LA TESTE DE BUCH</v>
          </cell>
          <cell r="C54">
            <v>351</v>
          </cell>
          <cell r="D54">
            <v>1</v>
          </cell>
          <cell r="E54">
            <v>6</v>
          </cell>
          <cell r="F54">
            <v>29</v>
          </cell>
          <cell r="G54">
            <v>8.2621082621082614E-2</v>
          </cell>
          <cell r="H54">
            <v>73</v>
          </cell>
          <cell r="I54">
            <v>10.428571428571429</v>
          </cell>
          <cell r="J54">
            <v>148</v>
          </cell>
          <cell r="K54">
            <v>0</v>
          </cell>
          <cell r="L54">
            <v>2</v>
          </cell>
          <cell r="M54">
            <v>17</v>
          </cell>
          <cell r="N54">
            <v>0.11486486486486487</v>
          </cell>
          <cell r="O54">
            <v>26</v>
          </cell>
          <cell r="P54">
            <v>3.7142857142857144</v>
          </cell>
          <cell r="Q54">
            <v>9.874297374297375E-2</v>
          </cell>
        </row>
        <row r="55">
          <cell r="A55">
            <v>1848</v>
          </cell>
          <cell r="B55" t="str">
            <v>LA TESTE DE BUCH</v>
          </cell>
          <cell r="C55">
            <v>218</v>
          </cell>
          <cell r="D55">
            <v>1</v>
          </cell>
          <cell r="E55">
            <v>4</v>
          </cell>
          <cell r="F55">
            <v>19</v>
          </cell>
          <cell r="G55">
            <v>8.7155963302752298E-2</v>
          </cell>
          <cell r="H55">
            <v>45</v>
          </cell>
          <cell r="I55">
            <v>6.4285714285714288</v>
          </cell>
          <cell r="J55">
            <v>96</v>
          </cell>
          <cell r="K55">
            <v>0</v>
          </cell>
          <cell r="L55">
            <v>2</v>
          </cell>
          <cell r="M55">
            <v>12</v>
          </cell>
          <cell r="N55">
            <v>0.125</v>
          </cell>
          <cell r="O55">
            <v>16</v>
          </cell>
          <cell r="P55">
            <v>2.2857142857142856</v>
          </cell>
          <cell r="Q55">
            <v>0.10607798165137615</v>
          </cell>
        </row>
        <row r="56">
          <cell r="A56">
            <v>1870</v>
          </cell>
          <cell r="B56" t="str">
            <v>GUJAN MESTRAS</v>
          </cell>
          <cell r="C56">
            <v>133</v>
          </cell>
          <cell r="D56">
            <v>0</v>
          </cell>
          <cell r="E56">
            <v>2</v>
          </cell>
          <cell r="F56">
            <v>10</v>
          </cell>
          <cell r="G56">
            <v>7.5187969924812026E-2</v>
          </cell>
          <cell r="H56">
            <v>29</v>
          </cell>
          <cell r="I56">
            <v>4.1428571428571432</v>
          </cell>
          <cell r="J56">
            <v>52</v>
          </cell>
          <cell r="K56">
            <v>0</v>
          </cell>
          <cell r="L56">
            <v>0</v>
          </cell>
          <cell r="M56">
            <v>5</v>
          </cell>
          <cell r="N56">
            <v>9.6153846153846159E-2</v>
          </cell>
          <cell r="O56">
            <v>11</v>
          </cell>
          <cell r="P56">
            <v>1.5714285714285714</v>
          </cell>
          <cell r="Q56">
            <v>8.5670908039329086E-2</v>
          </cell>
        </row>
        <row r="57">
          <cell r="A57">
            <v>51852</v>
          </cell>
          <cell r="B57" t="str">
            <v>Multisite ANDERNOS LES BAINS</v>
          </cell>
          <cell r="C57">
            <v>313</v>
          </cell>
          <cell r="D57">
            <v>1</v>
          </cell>
          <cell r="E57">
            <v>2</v>
          </cell>
          <cell r="F57">
            <v>28</v>
          </cell>
          <cell r="G57">
            <v>8.9456869009584661E-2</v>
          </cell>
          <cell r="H57">
            <v>63</v>
          </cell>
          <cell r="I57">
            <v>9</v>
          </cell>
          <cell r="J57">
            <v>131</v>
          </cell>
          <cell r="K57">
            <v>2</v>
          </cell>
          <cell r="L57">
            <v>3</v>
          </cell>
          <cell r="M57">
            <v>14</v>
          </cell>
          <cell r="N57">
            <v>0.10687022900763359</v>
          </cell>
          <cell r="O57">
            <v>24</v>
          </cell>
          <cell r="P57">
            <v>3.4285714285714284</v>
          </cell>
          <cell r="Q57">
            <v>9.816354900860913E-2</v>
          </cell>
        </row>
        <row r="58">
          <cell r="A58">
            <v>1852</v>
          </cell>
          <cell r="B58" t="str">
            <v>ANDERNOS LES BAINS</v>
          </cell>
          <cell r="C58">
            <v>184</v>
          </cell>
          <cell r="D58">
            <v>0</v>
          </cell>
          <cell r="E58">
            <v>1</v>
          </cell>
          <cell r="F58">
            <v>17</v>
          </cell>
          <cell r="G58">
            <v>9.2391304347826081E-2</v>
          </cell>
          <cell r="H58">
            <v>37</v>
          </cell>
          <cell r="I58">
            <v>5.2857142857142856</v>
          </cell>
          <cell r="J58">
            <v>78</v>
          </cell>
          <cell r="K58">
            <v>2</v>
          </cell>
          <cell r="L58">
            <v>3</v>
          </cell>
          <cell r="M58">
            <v>13</v>
          </cell>
          <cell r="N58">
            <v>0.16666666666666666</v>
          </cell>
          <cell r="O58">
            <v>10</v>
          </cell>
          <cell r="P58">
            <v>1.4285714285714286</v>
          </cell>
          <cell r="Q58">
            <v>0.12952898550724637</v>
          </cell>
        </row>
        <row r="59">
          <cell r="A59">
            <v>1873</v>
          </cell>
          <cell r="B59" t="str">
            <v>BIGANOS</v>
          </cell>
          <cell r="C59">
            <v>129</v>
          </cell>
          <cell r="D59">
            <v>1</v>
          </cell>
          <cell r="E59">
            <v>1</v>
          </cell>
          <cell r="F59">
            <v>11</v>
          </cell>
          <cell r="G59">
            <v>8.5271317829457363E-2</v>
          </cell>
          <cell r="H59">
            <v>27</v>
          </cell>
          <cell r="I59">
            <v>3.8571428571428572</v>
          </cell>
          <cell r="J59">
            <v>53</v>
          </cell>
          <cell r="K59">
            <v>0</v>
          </cell>
          <cell r="L59">
            <v>0</v>
          </cell>
          <cell r="M59">
            <v>1</v>
          </cell>
          <cell r="N59">
            <v>1.8867924528301886E-2</v>
          </cell>
          <cell r="O59">
            <v>15</v>
          </cell>
          <cell r="P59">
            <v>2.1428571428571428</v>
          </cell>
          <cell r="Q59">
            <v>5.2069621178879623E-2</v>
          </cell>
        </row>
        <row r="60">
          <cell r="A60">
            <v>43741</v>
          </cell>
          <cell r="B60" t="str">
            <v>DGA BORDEAUX RIVE DROITE</v>
          </cell>
          <cell r="C60">
            <v>1104</v>
          </cell>
          <cell r="D60">
            <v>3</v>
          </cell>
          <cell r="E60">
            <v>21</v>
          </cell>
          <cell r="F60">
            <v>103</v>
          </cell>
          <cell r="G60">
            <v>9.329710144927536E-2</v>
          </cell>
          <cell r="H60">
            <v>218</v>
          </cell>
          <cell r="I60">
            <v>31.142857142857142</v>
          </cell>
          <cell r="J60">
            <v>462</v>
          </cell>
          <cell r="K60">
            <v>3</v>
          </cell>
          <cell r="L60">
            <v>10</v>
          </cell>
          <cell r="M60">
            <v>45</v>
          </cell>
          <cell r="N60">
            <v>9.7402597402597407E-2</v>
          </cell>
          <cell r="O60">
            <v>89</v>
          </cell>
          <cell r="P60">
            <v>12.714285714285714</v>
          </cell>
          <cell r="Q60">
            <v>9.5349849425936384E-2</v>
          </cell>
        </row>
        <row r="61">
          <cell r="A61">
            <v>1834</v>
          </cell>
          <cell r="B61" t="str">
            <v>LANGON</v>
          </cell>
          <cell r="C61">
            <v>191</v>
          </cell>
          <cell r="D61">
            <v>0</v>
          </cell>
          <cell r="E61">
            <v>1</v>
          </cell>
          <cell r="F61">
            <v>9</v>
          </cell>
          <cell r="G61">
            <v>4.712041884816754E-2</v>
          </cell>
          <cell r="H61">
            <v>47</v>
          </cell>
          <cell r="I61">
            <v>6.7142857142857144</v>
          </cell>
          <cell r="J61">
            <v>76</v>
          </cell>
          <cell r="K61">
            <v>0</v>
          </cell>
          <cell r="L61">
            <v>1</v>
          </cell>
          <cell r="M61">
            <v>4</v>
          </cell>
          <cell r="N61">
            <v>5.2631578947368418E-2</v>
          </cell>
          <cell r="O61">
            <v>19</v>
          </cell>
          <cell r="P61">
            <v>2.7142857142857144</v>
          </cell>
          <cell r="Q61">
            <v>4.9875998897767976E-2</v>
          </cell>
        </row>
        <row r="62">
          <cell r="A62">
            <v>51835</v>
          </cell>
          <cell r="B62" t="str">
            <v>Multisite LIBOURNE</v>
          </cell>
          <cell r="C62">
            <v>404</v>
          </cell>
          <cell r="D62">
            <v>1</v>
          </cell>
          <cell r="E62">
            <v>12</v>
          </cell>
          <cell r="F62">
            <v>54</v>
          </cell>
          <cell r="G62">
            <v>0.13366336633663367</v>
          </cell>
          <cell r="H62">
            <v>64</v>
          </cell>
          <cell r="I62">
            <v>9.1428571428571423</v>
          </cell>
          <cell r="J62">
            <v>169</v>
          </cell>
          <cell r="K62">
            <v>2</v>
          </cell>
          <cell r="L62">
            <v>7</v>
          </cell>
          <cell r="M62">
            <v>25</v>
          </cell>
          <cell r="N62">
            <v>0.14792899408284024</v>
          </cell>
          <cell r="O62">
            <v>25</v>
          </cell>
          <cell r="P62">
            <v>3.5714285714285716</v>
          </cell>
          <cell r="Q62">
            <v>0.14079618020973694</v>
          </cell>
        </row>
        <row r="63">
          <cell r="A63">
            <v>1825</v>
          </cell>
          <cell r="B63" t="str">
            <v>SAINT ANDRE DE CUBZAC</v>
          </cell>
          <cell r="C63">
            <v>143</v>
          </cell>
          <cell r="D63">
            <v>0</v>
          </cell>
          <cell r="E63">
            <v>3</v>
          </cell>
          <cell r="F63">
            <v>16</v>
          </cell>
          <cell r="G63">
            <v>0.11188811188811189</v>
          </cell>
          <cell r="H63">
            <v>26</v>
          </cell>
          <cell r="I63">
            <v>3.7142857142857144</v>
          </cell>
          <cell r="J63">
            <v>59</v>
          </cell>
          <cell r="K63">
            <v>1</v>
          </cell>
          <cell r="L63">
            <v>4</v>
          </cell>
          <cell r="M63">
            <v>11</v>
          </cell>
          <cell r="N63">
            <v>0.1864406779661017</v>
          </cell>
          <cell r="O63">
            <v>7</v>
          </cell>
          <cell r="P63">
            <v>1</v>
          </cell>
          <cell r="Q63">
            <v>0.14916439492710679</v>
          </cell>
        </row>
        <row r="64">
          <cell r="A64">
            <v>1835</v>
          </cell>
          <cell r="B64" t="str">
            <v>LIBOURNE</v>
          </cell>
          <cell r="C64">
            <v>235</v>
          </cell>
          <cell r="D64">
            <v>1</v>
          </cell>
          <cell r="E64">
            <v>9</v>
          </cell>
          <cell r="F64">
            <v>35</v>
          </cell>
          <cell r="G64">
            <v>0.14893617021276595</v>
          </cell>
          <cell r="H64">
            <v>34</v>
          </cell>
          <cell r="I64">
            <v>4.8571428571428568</v>
          </cell>
          <cell r="J64">
            <v>102</v>
          </cell>
          <cell r="K64">
            <v>1</v>
          </cell>
          <cell r="L64">
            <v>2</v>
          </cell>
          <cell r="M64">
            <v>12</v>
          </cell>
          <cell r="N64">
            <v>0.11764705882352941</v>
          </cell>
          <cell r="O64">
            <v>18</v>
          </cell>
          <cell r="P64">
            <v>2.5714285714285716</v>
          </cell>
          <cell r="Q64">
            <v>0.13329161451814769</v>
          </cell>
        </row>
        <row r="65">
          <cell r="A65">
            <v>1878</v>
          </cell>
          <cell r="B65" t="str">
            <v>SAINT EMILION</v>
          </cell>
          <cell r="C65">
            <v>26</v>
          </cell>
          <cell r="D65">
            <v>0</v>
          </cell>
          <cell r="E65">
            <v>0</v>
          </cell>
          <cell r="F65">
            <v>3</v>
          </cell>
          <cell r="G65">
            <v>0.11538461538461539</v>
          </cell>
          <cell r="H65">
            <v>5</v>
          </cell>
          <cell r="I65">
            <v>0.7142857142857143</v>
          </cell>
          <cell r="J65">
            <v>8</v>
          </cell>
          <cell r="K65">
            <v>0</v>
          </cell>
          <cell r="L65">
            <v>1</v>
          </cell>
          <cell r="M65">
            <v>2</v>
          </cell>
          <cell r="N65">
            <v>0.25</v>
          </cell>
          <cell r="O65">
            <v>1</v>
          </cell>
          <cell r="P65">
            <v>0.14285714285714285</v>
          </cell>
          <cell r="Q65">
            <v>0.18269230769230771</v>
          </cell>
        </row>
        <row r="66">
          <cell r="A66">
            <v>1836</v>
          </cell>
          <cell r="B66" t="str">
            <v>BORDEAUX LA BASTIDE</v>
          </cell>
          <cell r="C66">
            <v>198</v>
          </cell>
          <cell r="D66">
            <v>2</v>
          </cell>
          <cell r="E66">
            <v>6</v>
          </cell>
          <cell r="F66">
            <v>17</v>
          </cell>
          <cell r="G66">
            <v>8.5858585858585856E-2</v>
          </cell>
          <cell r="H66">
            <v>41</v>
          </cell>
          <cell r="I66">
            <v>5.8571428571428568</v>
          </cell>
          <cell r="J66">
            <v>80</v>
          </cell>
          <cell r="K66">
            <v>0</v>
          </cell>
          <cell r="L66">
            <v>1</v>
          </cell>
          <cell r="M66">
            <v>9</v>
          </cell>
          <cell r="N66">
            <v>0.1125</v>
          </cell>
          <cell r="O66">
            <v>15</v>
          </cell>
          <cell r="P66">
            <v>2.1428571428571428</v>
          </cell>
          <cell r="Q66">
            <v>9.9179292929292923E-2</v>
          </cell>
        </row>
        <row r="67">
          <cell r="A67">
            <v>51853</v>
          </cell>
          <cell r="B67" t="str">
            <v>Multisite CENON</v>
          </cell>
          <cell r="C67">
            <v>334</v>
          </cell>
          <cell r="D67">
            <v>0</v>
          </cell>
          <cell r="E67">
            <v>2</v>
          </cell>
          <cell r="F67">
            <v>23</v>
          </cell>
          <cell r="G67">
            <v>6.8862275449101798E-2</v>
          </cell>
          <cell r="H67">
            <v>74</v>
          </cell>
          <cell r="I67">
            <v>10.571428571428571</v>
          </cell>
          <cell r="J67">
            <v>137</v>
          </cell>
          <cell r="K67">
            <v>1</v>
          </cell>
          <cell r="L67">
            <v>1</v>
          </cell>
          <cell r="M67">
            <v>7</v>
          </cell>
          <cell r="N67">
            <v>5.1094890510948905E-2</v>
          </cell>
          <cell r="O67">
            <v>33</v>
          </cell>
          <cell r="P67">
            <v>4.7142857142857144</v>
          </cell>
          <cell r="Q67">
            <v>5.9978582980025355E-2</v>
          </cell>
        </row>
        <row r="68">
          <cell r="A68">
            <v>1824</v>
          </cell>
          <cell r="B68" t="str">
            <v>AMBARES ET LAGRAVE</v>
          </cell>
          <cell r="C68">
            <v>78</v>
          </cell>
          <cell r="D68">
            <v>0</v>
          </cell>
          <cell r="E68">
            <v>0</v>
          </cell>
          <cell r="F68">
            <v>5</v>
          </cell>
          <cell r="G68">
            <v>6.4102564102564097E-2</v>
          </cell>
          <cell r="H68">
            <v>18</v>
          </cell>
          <cell r="I68">
            <v>2.5714285714285716</v>
          </cell>
          <cell r="J68">
            <v>33</v>
          </cell>
          <cell r="K68">
            <v>0</v>
          </cell>
          <cell r="L68">
            <v>0</v>
          </cell>
          <cell r="M68">
            <v>3</v>
          </cell>
          <cell r="N68">
            <v>9.0909090909090912E-2</v>
          </cell>
          <cell r="O68">
            <v>7</v>
          </cell>
          <cell r="P68">
            <v>1</v>
          </cell>
          <cell r="Q68">
            <v>7.7505827505827504E-2</v>
          </cell>
        </row>
        <row r="69">
          <cell r="A69">
            <v>1853</v>
          </cell>
          <cell r="B69" t="str">
            <v>CENON</v>
          </cell>
          <cell r="C69">
            <v>256</v>
          </cell>
          <cell r="D69">
            <v>0</v>
          </cell>
          <cell r="E69">
            <v>2</v>
          </cell>
          <cell r="F69">
            <v>18</v>
          </cell>
          <cell r="G69">
            <v>7.03125E-2</v>
          </cell>
          <cell r="H69">
            <v>57</v>
          </cell>
          <cell r="I69">
            <v>8.1428571428571423</v>
          </cell>
          <cell r="J69">
            <v>104</v>
          </cell>
          <cell r="K69">
            <v>1</v>
          </cell>
          <cell r="L69">
            <v>1</v>
          </cell>
          <cell r="M69">
            <v>4</v>
          </cell>
          <cell r="N69">
            <v>3.8461538461538464E-2</v>
          </cell>
          <cell r="O69">
            <v>27</v>
          </cell>
          <cell r="P69">
            <v>3.8571428571428572</v>
          </cell>
          <cell r="Q69">
            <v>5.4387019230769232E-2</v>
          </cell>
        </row>
        <row r="70">
          <cell r="A70">
            <v>43733</v>
          </cell>
          <cell r="B70" t="str">
            <v>DGA LOT ET GARONNE</v>
          </cell>
          <cell r="C70">
            <v>703</v>
          </cell>
          <cell r="D70">
            <v>3</v>
          </cell>
          <cell r="E70">
            <v>9</v>
          </cell>
          <cell r="F70">
            <v>71</v>
          </cell>
          <cell r="G70">
            <v>0.10099573257467995</v>
          </cell>
          <cell r="H70">
            <v>133</v>
          </cell>
          <cell r="I70">
            <v>19</v>
          </cell>
          <cell r="J70">
            <v>324</v>
          </cell>
          <cell r="K70">
            <v>4</v>
          </cell>
          <cell r="L70">
            <v>13</v>
          </cell>
          <cell r="M70">
            <v>38</v>
          </cell>
          <cell r="N70">
            <v>0.11728395061728394</v>
          </cell>
          <cell r="O70">
            <v>56</v>
          </cell>
          <cell r="P70">
            <v>8</v>
          </cell>
          <cell r="Q70">
            <v>0.10913984159598195</v>
          </cell>
        </row>
        <row r="71">
          <cell r="A71">
            <v>51200</v>
          </cell>
          <cell r="B71" t="str">
            <v>Multisite AGEN</v>
          </cell>
          <cell r="C71">
            <v>379</v>
          </cell>
          <cell r="D71">
            <v>2</v>
          </cell>
          <cell r="E71">
            <v>6</v>
          </cell>
          <cell r="F71">
            <v>47</v>
          </cell>
          <cell r="G71">
            <v>0.12401055408970976</v>
          </cell>
          <cell r="H71">
            <v>63</v>
          </cell>
          <cell r="I71">
            <v>9</v>
          </cell>
          <cell r="J71">
            <v>182</v>
          </cell>
          <cell r="K71">
            <v>1</v>
          </cell>
          <cell r="L71">
            <v>5</v>
          </cell>
          <cell r="M71">
            <v>18</v>
          </cell>
          <cell r="N71">
            <v>9.8901098901098897E-2</v>
          </cell>
          <cell r="O71">
            <v>35</v>
          </cell>
          <cell r="P71">
            <v>5</v>
          </cell>
          <cell r="Q71">
            <v>0.11145582649540434</v>
          </cell>
        </row>
        <row r="72">
          <cell r="A72">
            <v>1200</v>
          </cell>
          <cell r="B72" t="str">
            <v>AGEN</v>
          </cell>
          <cell r="C72">
            <v>148</v>
          </cell>
          <cell r="D72">
            <v>0</v>
          </cell>
          <cell r="E72">
            <v>3</v>
          </cell>
          <cell r="F72">
            <v>12</v>
          </cell>
          <cell r="G72">
            <v>8.1081081081081086E-2</v>
          </cell>
          <cell r="H72">
            <v>31</v>
          </cell>
          <cell r="I72">
            <v>4.4285714285714288</v>
          </cell>
          <cell r="J72">
            <v>68</v>
          </cell>
          <cell r="K72">
            <v>0</v>
          </cell>
          <cell r="L72">
            <v>2</v>
          </cell>
          <cell r="M72">
            <v>6</v>
          </cell>
          <cell r="N72">
            <v>8.8235294117647065E-2</v>
          </cell>
          <cell r="O72">
            <v>14</v>
          </cell>
          <cell r="P72">
            <v>2</v>
          </cell>
          <cell r="Q72">
            <v>8.4658187599364082E-2</v>
          </cell>
        </row>
        <row r="73">
          <cell r="A73">
            <v>1236</v>
          </cell>
          <cell r="B73" t="str">
            <v>AGEN QUARTIER DE LA PORTE DU PIN</v>
          </cell>
          <cell r="C73">
            <v>97</v>
          </cell>
          <cell r="D73">
            <v>1</v>
          </cell>
          <cell r="E73">
            <v>1</v>
          </cell>
          <cell r="F73">
            <v>11</v>
          </cell>
          <cell r="G73">
            <v>0.1134020618556701</v>
          </cell>
          <cell r="H73">
            <v>18</v>
          </cell>
          <cell r="I73">
            <v>2.5714285714285716</v>
          </cell>
          <cell r="J73">
            <v>46</v>
          </cell>
          <cell r="K73">
            <v>0</v>
          </cell>
          <cell r="L73">
            <v>0</v>
          </cell>
          <cell r="M73">
            <v>3</v>
          </cell>
          <cell r="N73">
            <v>6.5217391304347824E-2</v>
          </cell>
          <cell r="O73">
            <v>11</v>
          </cell>
          <cell r="P73">
            <v>1.5714285714285714</v>
          </cell>
          <cell r="Q73">
            <v>8.9309726580008963E-2</v>
          </cell>
        </row>
        <row r="74">
          <cell r="A74">
            <v>1237</v>
          </cell>
          <cell r="B74" t="str">
            <v>NERAC</v>
          </cell>
          <cell r="C74">
            <v>63</v>
          </cell>
          <cell r="D74">
            <v>1</v>
          </cell>
          <cell r="E74">
            <v>1</v>
          </cell>
          <cell r="F74">
            <v>13</v>
          </cell>
          <cell r="G74">
            <v>0.20634920634920634</v>
          </cell>
          <cell r="H74">
            <v>6</v>
          </cell>
          <cell r="I74">
            <v>0.8571428571428571</v>
          </cell>
          <cell r="J74">
            <v>33</v>
          </cell>
          <cell r="K74">
            <v>0</v>
          </cell>
          <cell r="L74">
            <v>2</v>
          </cell>
          <cell r="M74">
            <v>6</v>
          </cell>
          <cell r="N74">
            <v>0.18181818181818182</v>
          </cell>
          <cell r="O74">
            <v>4</v>
          </cell>
          <cell r="P74">
            <v>0.5714285714285714</v>
          </cell>
          <cell r="Q74">
            <v>0.19408369408369408</v>
          </cell>
        </row>
        <row r="75">
          <cell r="A75">
            <v>1240</v>
          </cell>
          <cell r="B75" t="str">
            <v>LE PASSAGE D'AGEN</v>
          </cell>
          <cell r="C75">
            <v>71</v>
          </cell>
          <cell r="D75">
            <v>0</v>
          </cell>
          <cell r="E75">
            <v>1</v>
          </cell>
          <cell r="F75">
            <v>11</v>
          </cell>
          <cell r="G75">
            <v>0.15492957746478872</v>
          </cell>
          <cell r="H75">
            <v>10</v>
          </cell>
          <cell r="I75">
            <v>1.4285714285714286</v>
          </cell>
          <cell r="J75">
            <v>35</v>
          </cell>
          <cell r="K75">
            <v>1</v>
          </cell>
          <cell r="L75">
            <v>1</v>
          </cell>
          <cell r="M75">
            <v>3</v>
          </cell>
          <cell r="N75">
            <v>8.5714285714285715E-2</v>
          </cell>
          <cell r="O75">
            <v>8</v>
          </cell>
          <cell r="P75">
            <v>1.1428571428571428</v>
          </cell>
          <cell r="Q75">
            <v>0.12032193158953722</v>
          </cell>
        </row>
        <row r="76">
          <cell r="A76">
            <v>51232</v>
          </cell>
          <cell r="B76" t="str">
            <v>Multisite MARMANDE</v>
          </cell>
          <cell r="C76">
            <v>203</v>
          </cell>
          <cell r="D76">
            <v>1</v>
          </cell>
          <cell r="E76">
            <v>3</v>
          </cell>
          <cell r="F76">
            <v>22</v>
          </cell>
          <cell r="G76">
            <v>0.10837438423645321</v>
          </cell>
          <cell r="H76">
            <v>37</v>
          </cell>
          <cell r="I76">
            <v>5.2857142857142856</v>
          </cell>
          <cell r="J76">
            <v>91</v>
          </cell>
          <cell r="K76">
            <v>1</v>
          </cell>
          <cell r="L76">
            <v>5</v>
          </cell>
          <cell r="M76">
            <v>15</v>
          </cell>
          <cell r="N76">
            <v>0.16483516483516483</v>
          </cell>
          <cell r="O76">
            <v>12</v>
          </cell>
          <cell r="P76">
            <v>1.7142857142857142</v>
          </cell>
          <cell r="Q76">
            <v>0.13660477453580902</v>
          </cell>
        </row>
        <row r="77">
          <cell r="A77">
            <v>1232</v>
          </cell>
          <cell r="B77" t="str">
            <v>MARMANDE</v>
          </cell>
          <cell r="C77">
            <v>142</v>
          </cell>
          <cell r="D77">
            <v>1</v>
          </cell>
          <cell r="E77">
            <v>3</v>
          </cell>
          <cell r="F77">
            <v>16</v>
          </cell>
          <cell r="G77">
            <v>0.11267605633802817</v>
          </cell>
          <cell r="H77">
            <v>26</v>
          </cell>
          <cell r="I77">
            <v>3.7142857142857144</v>
          </cell>
          <cell r="J77">
            <v>62</v>
          </cell>
          <cell r="K77">
            <v>0</v>
          </cell>
          <cell r="L77">
            <v>4</v>
          </cell>
          <cell r="M77">
            <v>10</v>
          </cell>
          <cell r="N77">
            <v>0.16129032258064516</v>
          </cell>
          <cell r="O77">
            <v>8</v>
          </cell>
          <cell r="P77">
            <v>1.1428571428571428</v>
          </cell>
          <cell r="Q77">
            <v>0.13698318945933666</v>
          </cell>
        </row>
        <row r="78">
          <cell r="A78">
            <v>1239</v>
          </cell>
          <cell r="B78" t="str">
            <v>TONNEINS</v>
          </cell>
          <cell r="C78">
            <v>61</v>
          </cell>
          <cell r="D78">
            <v>0</v>
          </cell>
          <cell r="E78">
            <v>0</v>
          </cell>
          <cell r="F78">
            <v>6</v>
          </cell>
          <cell r="G78">
            <v>9.8360655737704916E-2</v>
          </cell>
          <cell r="H78">
            <v>12</v>
          </cell>
          <cell r="I78">
            <v>1.7142857142857142</v>
          </cell>
          <cell r="J78">
            <v>29</v>
          </cell>
          <cell r="K78">
            <v>1</v>
          </cell>
          <cell r="L78">
            <v>1</v>
          </cell>
          <cell r="M78">
            <v>5</v>
          </cell>
          <cell r="N78">
            <v>0.17241379310344829</v>
          </cell>
          <cell r="O78">
            <v>4</v>
          </cell>
          <cell r="P78">
            <v>0.5714285714285714</v>
          </cell>
          <cell r="Q78">
            <v>0.1353872244205766</v>
          </cell>
        </row>
        <row r="79">
          <cell r="A79">
            <v>1235</v>
          </cell>
          <cell r="B79" t="str">
            <v>VILLENEUVE SUR LOT</v>
          </cell>
          <cell r="C79">
            <v>135</v>
          </cell>
          <cell r="D79">
            <v>0</v>
          </cell>
          <cell r="E79">
            <v>0</v>
          </cell>
          <cell r="F79">
            <v>2</v>
          </cell>
          <cell r="G79">
            <v>1.4814814814814815E-2</v>
          </cell>
          <cell r="H79">
            <v>38</v>
          </cell>
          <cell r="I79">
            <v>5.4285714285714288</v>
          </cell>
          <cell r="J79">
            <v>51</v>
          </cell>
          <cell r="K79">
            <v>2</v>
          </cell>
          <cell r="L79">
            <v>3</v>
          </cell>
          <cell r="M79">
            <v>5</v>
          </cell>
          <cell r="N79">
            <v>9.8039215686274508E-2</v>
          </cell>
          <cell r="O79">
            <v>10</v>
          </cell>
          <cell r="P79">
            <v>1.4285714285714286</v>
          </cell>
          <cell r="Q79">
            <v>5.6427015250544665E-2</v>
          </cell>
        </row>
        <row r="80">
          <cell r="A80">
            <v>43763</v>
          </cell>
          <cell r="B80" t="str">
            <v>DGA LANDES NORD</v>
          </cell>
          <cell r="C80">
            <v>803</v>
          </cell>
          <cell r="D80">
            <v>5</v>
          </cell>
          <cell r="E80">
            <v>10</v>
          </cell>
          <cell r="F80">
            <v>96</v>
          </cell>
          <cell r="G80">
            <v>0.11955168119551682</v>
          </cell>
          <cell r="H80">
            <v>137</v>
          </cell>
          <cell r="I80">
            <v>19.571428571428573</v>
          </cell>
          <cell r="J80">
            <v>382</v>
          </cell>
          <cell r="K80">
            <v>0</v>
          </cell>
          <cell r="L80">
            <v>4</v>
          </cell>
          <cell r="M80">
            <v>24</v>
          </cell>
          <cell r="N80">
            <v>6.2827225130890049E-2</v>
          </cell>
          <cell r="O80">
            <v>87</v>
          </cell>
          <cell r="P80">
            <v>12.428571428571429</v>
          </cell>
          <cell r="Q80">
            <v>9.1189453163203427E-2</v>
          </cell>
        </row>
        <row r="81">
          <cell r="A81">
            <v>51734</v>
          </cell>
          <cell r="B81" t="str">
            <v>Multisite MONT DE MARSAN</v>
          </cell>
          <cell r="C81">
            <v>448</v>
          </cell>
          <cell r="D81">
            <v>3</v>
          </cell>
          <cell r="E81">
            <v>6</v>
          </cell>
          <cell r="F81">
            <v>57</v>
          </cell>
          <cell r="G81">
            <v>0.12723214285714285</v>
          </cell>
          <cell r="H81">
            <v>73</v>
          </cell>
          <cell r="I81">
            <v>10.428571428571429</v>
          </cell>
          <cell r="J81">
            <v>213</v>
          </cell>
          <cell r="K81">
            <v>0</v>
          </cell>
          <cell r="L81">
            <v>2</v>
          </cell>
          <cell r="M81">
            <v>15</v>
          </cell>
          <cell r="N81">
            <v>7.0422535211267609E-2</v>
          </cell>
          <cell r="O81">
            <v>47</v>
          </cell>
          <cell r="P81">
            <v>6.7142857142857144</v>
          </cell>
          <cell r="Q81">
            <v>9.8827339034205236E-2</v>
          </cell>
        </row>
        <row r="82">
          <cell r="A82">
            <v>1734</v>
          </cell>
          <cell r="B82" t="str">
            <v>MONT DE MARSAN</v>
          </cell>
          <cell r="C82">
            <v>290</v>
          </cell>
          <cell r="D82">
            <v>3</v>
          </cell>
          <cell r="E82">
            <v>6</v>
          </cell>
          <cell r="F82">
            <v>34</v>
          </cell>
          <cell r="G82">
            <v>0.11724137931034483</v>
          </cell>
          <cell r="H82">
            <v>51</v>
          </cell>
          <cell r="I82">
            <v>7.2857142857142856</v>
          </cell>
          <cell r="J82">
            <v>141</v>
          </cell>
          <cell r="K82">
            <v>0</v>
          </cell>
          <cell r="L82">
            <v>2</v>
          </cell>
          <cell r="M82">
            <v>11</v>
          </cell>
          <cell r="N82">
            <v>7.8014184397163122E-2</v>
          </cell>
          <cell r="O82">
            <v>30</v>
          </cell>
          <cell r="P82">
            <v>4.2857142857142856</v>
          </cell>
          <cell r="Q82">
            <v>9.7627781853753981E-2</v>
          </cell>
        </row>
        <row r="83">
          <cell r="A83">
            <v>1739</v>
          </cell>
          <cell r="B83" t="str">
            <v>HAGETMAU</v>
          </cell>
          <cell r="C83">
            <v>86</v>
          </cell>
          <cell r="D83">
            <v>0</v>
          </cell>
          <cell r="E83">
            <v>0</v>
          </cell>
          <cell r="F83">
            <v>15</v>
          </cell>
          <cell r="G83">
            <v>0.1744186046511628</v>
          </cell>
          <cell r="H83">
            <v>10</v>
          </cell>
          <cell r="I83">
            <v>1.4285714285714286</v>
          </cell>
          <cell r="J83">
            <v>38</v>
          </cell>
          <cell r="K83">
            <v>0</v>
          </cell>
          <cell r="L83">
            <v>0</v>
          </cell>
          <cell r="M83">
            <v>1</v>
          </cell>
          <cell r="N83">
            <v>2.6315789473684209E-2</v>
          </cell>
          <cell r="O83">
            <v>11</v>
          </cell>
          <cell r="P83">
            <v>1.5714285714285714</v>
          </cell>
          <cell r="Q83">
            <v>0.1003671970624235</v>
          </cell>
        </row>
        <row r="84">
          <cell r="A84">
            <v>1748</v>
          </cell>
          <cell r="B84" t="str">
            <v>AIRE SUR L'ADOUR</v>
          </cell>
          <cell r="C84">
            <v>72</v>
          </cell>
          <cell r="D84">
            <v>0</v>
          </cell>
          <cell r="E84">
            <v>0</v>
          </cell>
          <cell r="F84">
            <v>8</v>
          </cell>
          <cell r="G84">
            <v>0.1111111111111111</v>
          </cell>
          <cell r="H84">
            <v>13</v>
          </cell>
          <cell r="I84">
            <v>1.8571428571428572</v>
          </cell>
          <cell r="J84">
            <v>34</v>
          </cell>
          <cell r="K84">
            <v>0</v>
          </cell>
          <cell r="L84">
            <v>0</v>
          </cell>
          <cell r="M84">
            <v>3</v>
          </cell>
          <cell r="N84">
            <v>8.8235294117647065E-2</v>
          </cell>
          <cell r="O84">
            <v>7</v>
          </cell>
          <cell r="P84">
            <v>1</v>
          </cell>
          <cell r="Q84">
            <v>9.9673202614379092E-2</v>
          </cell>
        </row>
        <row r="85">
          <cell r="A85">
            <v>51736</v>
          </cell>
          <cell r="B85" t="str">
            <v>Multisite MIMIZAN</v>
          </cell>
          <cell r="C85">
            <v>229</v>
          </cell>
          <cell r="D85">
            <v>2</v>
          </cell>
          <cell r="E85">
            <v>3</v>
          </cell>
          <cell r="F85">
            <v>27</v>
          </cell>
          <cell r="G85">
            <v>0.11790393013100436</v>
          </cell>
          <cell r="H85">
            <v>40</v>
          </cell>
          <cell r="I85">
            <v>5.7142857142857144</v>
          </cell>
          <cell r="J85">
            <v>105</v>
          </cell>
          <cell r="K85">
            <v>0</v>
          </cell>
          <cell r="L85">
            <v>2</v>
          </cell>
          <cell r="M85">
            <v>8</v>
          </cell>
          <cell r="N85">
            <v>7.6190476190476197E-2</v>
          </cell>
          <cell r="O85">
            <v>23</v>
          </cell>
          <cell r="P85">
            <v>3.2857142857142856</v>
          </cell>
          <cell r="Q85">
            <v>9.7047203160740281E-2</v>
          </cell>
        </row>
        <row r="86">
          <cell r="A86">
            <v>1736</v>
          </cell>
          <cell r="B86" t="str">
            <v>MIMIZAN</v>
          </cell>
          <cell r="C86">
            <v>161</v>
          </cell>
          <cell r="D86">
            <v>2</v>
          </cell>
          <cell r="E86">
            <v>3</v>
          </cell>
          <cell r="F86">
            <v>22</v>
          </cell>
          <cell r="G86">
            <v>0.13664596273291926</v>
          </cell>
          <cell r="H86">
            <v>25</v>
          </cell>
          <cell r="I86">
            <v>3.5714285714285716</v>
          </cell>
          <cell r="J86">
            <v>72</v>
          </cell>
          <cell r="K86">
            <v>0</v>
          </cell>
          <cell r="L86">
            <v>2</v>
          </cell>
          <cell r="M86">
            <v>7</v>
          </cell>
          <cell r="N86">
            <v>9.7222222222222224E-2</v>
          </cell>
          <cell r="O86">
            <v>14</v>
          </cell>
          <cell r="P86">
            <v>2</v>
          </cell>
          <cell r="Q86">
            <v>0.11693409247757075</v>
          </cell>
        </row>
        <row r="87">
          <cell r="A87">
            <v>1744</v>
          </cell>
          <cell r="B87" t="str">
            <v>MORCENX</v>
          </cell>
          <cell r="C87">
            <v>68</v>
          </cell>
          <cell r="D87">
            <v>0</v>
          </cell>
          <cell r="E87">
            <v>0</v>
          </cell>
          <cell r="F87">
            <v>5</v>
          </cell>
          <cell r="G87">
            <v>7.3529411764705885E-2</v>
          </cell>
          <cell r="H87">
            <v>15</v>
          </cell>
          <cell r="I87">
            <v>2.1428571428571428</v>
          </cell>
          <cell r="J87">
            <v>33</v>
          </cell>
          <cell r="K87">
            <v>0</v>
          </cell>
          <cell r="L87">
            <v>0</v>
          </cell>
          <cell r="M87">
            <v>1</v>
          </cell>
          <cell r="N87">
            <v>3.0303030303030304E-2</v>
          </cell>
          <cell r="O87">
            <v>9</v>
          </cell>
          <cell r="P87">
            <v>1.2857142857142858</v>
          </cell>
          <cell r="Q87">
            <v>5.1916221033868094E-2</v>
          </cell>
        </row>
        <row r="88">
          <cell r="A88">
            <v>1741</v>
          </cell>
          <cell r="B88" t="str">
            <v>BISCARROSSE</v>
          </cell>
          <cell r="C88">
            <v>142</v>
          </cell>
          <cell r="D88">
            <v>0</v>
          </cell>
          <cell r="E88">
            <v>1</v>
          </cell>
          <cell r="F88">
            <v>12</v>
          </cell>
          <cell r="G88">
            <v>8.4507042253521125E-2</v>
          </cell>
          <cell r="H88">
            <v>30</v>
          </cell>
          <cell r="I88">
            <v>4.2857142857142856</v>
          </cell>
          <cell r="J88">
            <v>64</v>
          </cell>
          <cell r="K88">
            <v>0</v>
          </cell>
          <cell r="L88">
            <v>0</v>
          </cell>
          <cell r="M88">
            <v>1</v>
          </cell>
          <cell r="N88">
            <v>1.5625E-2</v>
          </cell>
          <cell r="O88">
            <v>18</v>
          </cell>
          <cell r="P88">
            <v>2.5714285714285716</v>
          </cell>
          <cell r="Q88">
            <v>5.0066021126760563E-2</v>
          </cell>
        </row>
        <row r="89">
          <cell r="A89">
            <v>43765</v>
          </cell>
          <cell r="B89" t="str">
            <v>DGA PAU PYRENEES</v>
          </cell>
          <cell r="C89">
            <v>1502</v>
          </cell>
          <cell r="D89">
            <v>2</v>
          </cell>
          <cell r="E89">
            <v>19</v>
          </cell>
          <cell r="F89">
            <v>165</v>
          </cell>
          <cell r="G89">
            <v>0.10985352862849534</v>
          </cell>
          <cell r="H89">
            <v>271</v>
          </cell>
          <cell r="I89">
            <v>38.714285714285715</v>
          </cell>
          <cell r="J89">
            <v>711</v>
          </cell>
          <cell r="K89">
            <v>1</v>
          </cell>
          <cell r="L89">
            <v>6</v>
          </cell>
          <cell r="M89">
            <v>51</v>
          </cell>
          <cell r="N89">
            <v>7.1729957805907171E-2</v>
          </cell>
          <cell r="O89">
            <v>156</v>
          </cell>
          <cell r="P89">
            <v>22.285714285714285</v>
          </cell>
          <cell r="Q89">
            <v>9.0791743217201265E-2</v>
          </cell>
        </row>
        <row r="90">
          <cell r="A90">
            <v>53500</v>
          </cell>
          <cell r="B90" t="str">
            <v>Multisite PAU</v>
          </cell>
          <cell r="C90">
            <v>318</v>
          </cell>
          <cell r="D90">
            <v>0</v>
          </cell>
          <cell r="E90">
            <v>2</v>
          </cell>
          <cell r="F90">
            <v>39</v>
          </cell>
          <cell r="G90">
            <v>0.12264150943396226</v>
          </cell>
          <cell r="H90">
            <v>54</v>
          </cell>
          <cell r="I90">
            <v>7.7142857142857144</v>
          </cell>
          <cell r="J90">
            <v>131</v>
          </cell>
          <cell r="K90">
            <v>0</v>
          </cell>
          <cell r="L90">
            <v>3</v>
          </cell>
          <cell r="M90">
            <v>16</v>
          </cell>
          <cell r="N90">
            <v>0.12213740458015267</v>
          </cell>
          <cell r="O90">
            <v>22</v>
          </cell>
          <cell r="P90">
            <v>3.1428571428571428</v>
          </cell>
          <cell r="Q90">
            <v>0.12238945700705747</v>
          </cell>
        </row>
        <row r="91">
          <cell r="A91">
            <v>3500</v>
          </cell>
          <cell r="B91" t="str">
            <v>PAU</v>
          </cell>
          <cell r="C91">
            <v>241</v>
          </cell>
          <cell r="D91">
            <v>0</v>
          </cell>
          <cell r="E91">
            <v>1</v>
          </cell>
          <cell r="F91">
            <v>20</v>
          </cell>
          <cell r="G91">
            <v>8.2987551867219914E-2</v>
          </cell>
          <cell r="H91">
            <v>50</v>
          </cell>
          <cell r="I91">
            <v>7.1428571428571432</v>
          </cell>
          <cell r="J91">
            <v>99</v>
          </cell>
          <cell r="K91">
            <v>0</v>
          </cell>
          <cell r="L91">
            <v>3</v>
          </cell>
          <cell r="M91">
            <v>14</v>
          </cell>
          <cell r="N91">
            <v>0.14141414141414141</v>
          </cell>
          <cell r="O91">
            <v>15</v>
          </cell>
          <cell r="P91">
            <v>2.1428571428571428</v>
          </cell>
          <cell r="Q91">
            <v>0.11220084664068067</v>
          </cell>
        </row>
        <row r="92">
          <cell r="A92">
            <v>3536</v>
          </cell>
          <cell r="B92" t="str">
            <v>PAU CROIX DU PRINCE</v>
          </cell>
          <cell r="C92">
            <v>77</v>
          </cell>
          <cell r="D92">
            <v>0</v>
          </cell>
          <cell r="E92">
            <v>1</v>
          </cell>
          <cell r="F92">
            <v>19</v>
          </cell>
          <cell r="G92">
            <v>0.24675324675324675</v>
          </cell>
          <cell r="H92">
            <v>4</v>
          </cell>
          <cell r="I92">
            <v>0.5714285714285714</v>
          </cell>
          <cell r="J92">
            <v>32</v>
          </cell>
          <cell r="K92">
            <v>0</v>
          </cell>
          <cell r="L92">
            <v>0</v>
          </cell>
          <cell r="M92">
            <v>2</v>
          </cell>
          <cell r="N92">
            <v>6.25E-2</v>
          </cell>
          <cell r="O92">
            <v>8</v>
          </cell>
          <cell r="P92">
            <v>1.1428571428571428</v>
          </cell>
          <cell r="Q92">
            <v>0.15462662337662336</v>
          </cell>
        </row>
        <row r="93">
          <cell r="A93">
            <v>3532</v>
          </cell>
          <cell r="B93" t="str">
            <v>OLORON SAINTE MARIE</v>
          </cell>
          <cell r="C93">
            <v>119</v>
          </cell>
          <cell r="D93">
            <v>1</v>
          </cell>
          <cell r="E93">
            <v>4</v>
          </cell>
          <cell r="F93">
            <v>12</v>
          </cell>
          <cell r="G93">
            <v>0.10084033613445378</v>
          </cell>
          <cell r="H93">
            <v>23</v>
          </cell>
          <cell r="I93">
            <v>3.2857142857142856</v>
          </cell>
          <cell r="J93">
            <v>62</v>
          </cell>
          <cell r="K93">
            <v>0</v>
          </cell>
          <cell r="L93">
            <v>0</v>
          </cell>
          <cell r="M93">
            <v>6</v>
          </cell>
          <cell r="N93">
            <v>9.6774193548387094E-2</v>
          </cell>
          <cell r="O93">
            <v>12</v>
          </cell>
          <cell r="P93">
            <v>1.7142857142857142</v>
          </cell>
          <cell r="Q93">
            <v>9.8807264841420439E-2</v>
          </cell>
        </row>
        <row r="94">
          <cell r="A94">
            <v>53533</v>
          </cell>
          <cell r="B94" t="str">
            <v>Multisite ORTHEZ</v>
          </cell>
          <cell r="C94">
            <v>301</v>
          </cell>
          <cell r="D94">
            <v>0</v>
          </cell>
          <cell r="E94">
            <v>7</v>
          </cell>
          <cell r="F94">
            <v>45</v>
          </cell>
          <cell r="G94">
            <v>0.14950166112956811</v>
          </cell>
          <cell r="H94">
            <v>43</v>
          </cell>
          <cell r="I94">
            <v>6.1428571428571432</v>
          </cell>
          <cell r="J94">
            <v>142</v>
          </cell>
          <cell r="K94">
            <v>0</v>
          </cell>
          <cell r="L94">
            <v>1</v>
          </cell>
          <cell r="M94">
            <v>10</v>
          </cell>
          <cell r="N94">
            <v>7.0422535211267609E-2</v>
          </cell>
          <cell r="O94">
            <v>32</v>
          </cell>
          <cell r="P94">
            <v>4.5714285714285712</v>
          </cell>
          <cell r="Q94">
            <v>0.10996209817041785</v>
          </cell>
        </row>
        <row r="95">
          <cell r="A95">
            <v>3533</v>
          </cell>
          <cell r="B95" t="str">
            <v>ORTHEZ</v>
          </cell>
          <cell r="C95">
            <v>147</v>
          </cell>
          <cell r="D95">
            <v>0</v>
          </cell>
          <cell r="E95">
            <v>3</v>
          </cell>
          <cell r="F95">
            <v>13</v>
          </cell>
          <cell r="G95">
            <v>8.8435374149659865E-2</v>
          </cell>
          <cell r="H95">
            <v>30</v>
          </cell>
          <cell r="I95">
            <v>4.2857142857142856</v>
          </cell>
          <cell r="J95">
            <v>75</v>
          </cell>
          <cell r="K95">
            <v>0</v>
          </cell>
          <cell r="L95">
            <v>1</v>
          </cell>
          <cell r="M95">
            <v>4</v>
          </cell>
          <cell r="N95">
            <v>5.3333333333333337E-2</v>
          </cell>
          <cell r="O95">
            <v>18</v>
          </cell>
          <cell r="P95">
            <v>2.5714285714285716</v>
          </cell>
          <cell r="Q95">
            <v>7.0884353741496597E-2</v>
          </cell>
        </row>
        <row r="96">
          <cell r="A96">
            <v>3534</v>
          </cell>
          <cell r="B96" t="str">
            <v>SALIES DE BEARN</v>
          </cell>
          <cell r="C96">
            <v>71</v>
          </cell>
          <cell r="D96">
            <v>0</v>
          </cell>
          <cell r="E96">
            <v>3</v>
          </cell>
          <cell r="F96">
            <v>21</v>
          </cell>
          <cell r="G96">
            <v>0.29577464788732394</v>
          </cell>
          <cell r="H96">
            <v>0</v>
          </cell>
          <cell r="I96">
            <v>0</v>
          </cell>
          <cell r="J96">
            <v>26</v>
          </cell>
          <cell r="K96">
            <v>0</v>
          </cell>
          <cell r="L96">
            <v>0</v>
          </cell>
          <cell r="M96">
            <v>2</v>
          </cell>
          <cell r="N96">
            <v>7.6923076923076927E-2</v>
          </cell>
          <cell r="O96">
            <v>6</v>
          </cell>
          <cell r="P96">
            <v>0.8571428571428571</v>
          </cell>
          <cell r="Q96">
            <v>0.18634886240520043</v>
          </cell>
        </row>
        <row r="97">
          <cell r="A97">
            <v>3537</v>
          </cell>
          <cell r="B97" t="str">
            <v>MOURENX</v>
          </cell>
          <cell r="C97">
            <v>83</v>
          </cell>
          <cell r="D97">
            <v>0</v>
          </cell>
          <cell r="E97">
            <v>1</v>
          </cell>
          <cell r="F97">
            <v>11</v>
          </cell>
          <cell r="G97">
            <v>0.13253012048192772</v>
          </cell>
          <cell r="H97">
            <v>14</v>
          </cell>
          <cell r="I97">
            <v>2</v>
          </cell>
          <cell r="J97">
            <v>41</v>
          </cell>
          <cell r="K97">
            <v>0</v>
          </cell>
          <cell r="L97">
            <v>0</v>
          </cell>
          <cell r="M97">
            <v>4</v>
          </cell>
          <cell r="N97">
            <v>9.7560975609756101E-2</v>
          </cell>
          <cell r="O97">
            <v>8</v>
          </cell>
          <cell r="P97">
            <v>1.1428571428571428</v>
          </cell>
          <cell r="Q97">
            <v>0.11504554804584191</v>
          </cell>
        </row>
        <row r="98">
          <cell r="A98">
            <v>3535</v>
          </cell>
          <cell r="B98" t="str">
            <v>PAU MERMOZ</v>
          </cell>
          <cell r="C98">
            <v>154</v>
          </cell>
          <cell r="D98">
            <v>0</v>
          </cell>
          <cell r="E98">
            <v>0</v>
          </cell>
          <cell r="F98">
            <v>16</v>
          </cell>
          <cell r="G98">
            <v>0.1038961038961039</v>
          </cell>
          <cell r="H98">
            <v>29</v>
          </cell>
          <cell r="I98">
            <v>4.1428571428571432</v>
          </cell>
          <cell r="J98">
            <v>68</v>
          </cell>
          <cell r="K98">
            <v>0</v>
          </cell>
          <cell r="L98">
            <v>0</v>
          </cell>
          <cell r="M98">
            <v>4</v>
          </cell>
          <cell r="N98">
            <v>5.8823529411764705E-2</v>
          </cell>
          <cell r="O98">
            <v>16</v>
          </cell>
          <cell r="P98">
            <v>2.2857142857142856</v>
          </cell>
          <cell r="Q98">
            <v>8.1359816653934297E-2</v>
          </cell>
        </row>
        <row r="99">
          <cell r="A99">
            <v>53542</v>
          </cell>
          <cell r="B99" t="str">
            <v>Multisite LONS</v>
          </cell>
          <cell r="C99">
            <v>276</v>
          </cell>
          <cell r="D99">
            <v>0</v>
          </cell>
          <cell r="E99">
            <v>2</v>
          </cell>
          <cell r="F99">
            <v>21</v>
          </cell>
          <cell r="G99">
            <v>7.6086956521739135E-2</v>
          </cell>
          <cell r="H99">
            <v>60</v>
          </cell>
          <cell r="I99">
            <v>8.5714285714285712</v>
          </cell>
          <cell r="J99">
            <v>141</v>
          </cell>
          <cell r="K99">
            <v>1</v>
          </cell>
          <cell r="L99">
            <v>2</v>
          </cell>
          <cell r="M99">
            <v>7</v>
          </cell>
          <cell r="N99">
            <v>4.9645390070921988E-2</v>
          </cell>
          <cell r="O99">
            <v>34</v>
          </cell>
          <cell r="P99">
            <v>4.8571428571428568</v>
          </cell>
          <cell r="Q99">
            <v>6.2866173296330569E-2</v>
          </cell>
        </row>
        <row r="100">
          <cell r="A100">
            <v>3539</v>
          </cell>
          <cell r="B100" t="str">
            <v>BILLERE</v>
          </cell>
          <cell r="C100">
            <v>113</v>
          </cell>
          <cell r="D100">
            <v>0</v>
          </cell>
          <cell r="E100">
            <v>1</v>
          </cell>
          <cell r="F100">
            <v>7</v>
          </cell>
          <cell r="G100">
            <v>6.1946902654867256E-2</v>
          </cell>
          <cell r="H100">
            <v>26</v>
          </cell>
          <cell r="I100">
            <v>3.7142857142857144</v>
          </cell>
          <cell r="J100">
            <v>64</v>
          </cell>
          <cell r="K100">
            <v>1</v>
          </cell>
          <cell r="L100">
            <v>2</v>
          </cell>
          <cell r="M100">
            <v>6</v>
          </cell>
          <cell r="N100">
            <v>9.375E-2</v>
          </cell>
          <cell r="O100">
            <v>13</v>
          </cell>
          <cell r="P100">
            <v>1.8571428571428572</v>
          </cell>
          <cell r="Q100">
            <v>7.7848451327433621E-2</v>
          </cell>
        </row>
        <row r="101">
          <cell r="A101">
            <v>3542</v>
          </cell>
          <cell r="B101" t="str">
            <v>LONS COMEDIE</v>
          </cell>
          <cell r="C101">
            <v>163</v>
          </cell>
          <cell r="D101">
            <v>0</v>
          </cell>
          <cell r="E101">
            <v>1</v>
          </cell>
          <cell r="F101">
            <v>14</v>
          </cell>
          <cell r="G101">
            <v>8.5889570552147243E-2</v>
          </cell>
          <cell r="H101">
            <v>34</v>
          </cell>
          <cell r="I101">
            <v>4.8571428571428568</v>
          </cell>
          <cell r="J101">
            <v>77</v>
          </cell>
          <cell r="K101">
            <v>0</v>
          </cell>
          <cell r="L101">
            <v>0</v>
          </cell>
          <cell r="M101">
            <v>1</v>
          </cell>
          <cell r="N101">
            <v>1.2987012987012988E-2</v>
          </cell>
          <cell r="O101">
            <v>22</v>
          </cell>
          <cell r="P101">
            <v>3.1428571428571428</v>
          </cell>
          <cell r="Q101">
            <v>4.9438291769580117E-2</v>
          </cell>
        </row>
        <row r="102">
          <cell r="A102">
            <v>3543</v>
          </cell>
          <cell r="B102" t="str">
            <v>LESCAR L'EUROPE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</row>
        <row r="103">
          <cell r="A103">
            <v>53538</v>
          </cell>
          <cell r="B103" t="str">
            <v>Multisite PAU THIERS</v>
          </cell>
          <cell r="C103">
            <v>362</v>
          </cell>
          <cell r="D103">
            <v>1</v>
          </cell>
          <cell r="E103">
            <v>4</v>
          </cell>
          <cell r="F103">
            <v>32</v>
          </cell>
          <cell r="G103">
            <v>8.8397790055248615E-2</v>
          </cell>
          <cell r="H103">
            <v>73</v>
          </cell>
          <cell r="I103">
            <v>10.428571428571429</v>
          </cell>
          <cell r="J103">
            <v>167</v>
          </cell>
          <cell r="K103">
            <v>0</v>
          </cell>
          <cell r="L103">
            <v>0</v>
          </cell>
          <cell r="M103">
            <v>8</v>
          </cell>
          <cell r="N103">
            <v>4.790419161676647E-2</v>
          </cell>
          <cell r="O103">
            <v>41</v>
          </cell>
          <cell r="P103">
            <v>5.8571428571428568</v>
          </cell>
          <cell r="Q103">
            <v>6.8150990836007536E-2</v>
          </cell>
        </row>
        <row r="104">
          <cell r="A104">
            <v>3538</v>
          </cell>
          <cell r="B104" t="str">
            <v>PAU THIERS</v>
          </cell>
          <cell r="C104">
            <v>149</v>
          </cell>
          <cell r="D104">
            <v>0</v>
          </cell>
          <cell r="E104">
            <v>1</v>
          </cell>
          <cell r="F104">
            <v>17</v>
          </cell>
          <cell r="G104">
            <v>0.11409395973154363</v>
          </cell>
          <cell r="H104">
            <v>27</v>
          </cell>
          <cell r="I104">
            <v>3.8571428571428572</v>
          </cell>
          <cell r="J104">
            <v>64</v>
          </cell>
          <cell r="K104">
            <v>0</v>
          </cell>
          <cell r="L104">
            <v>0</v>
          </cell>
          <cell r="M104">
            <v>4</v>
          </cell>
          <cell r="N104">
            <v>6.25E-2</v>
          </cell>
          <cell r="O104">
            <v>15</v>
          </cell>
          <cell r="P104">
            <v>2.1428571428571428</v>
          </cell>
          <cell r="Q104">
            <v>8.8296979865771813E-2</v>
          </cell>
        </row>
        <row r="105">
          <cell r="A105">
            <v>3540</v>
          </cell>
          <cell r="B105" t="str">
            <v>NAY</v>
          </cell>
          <cell r="C105">
            <v>86</v>
          </cell>
          <cell r="D105">
            <v>1</v>
          </cell>
          <cell r="E105">
            <v>2</v>
          </cell>
          <cell r="F105">
            <v>6</v>
          </cell>
          <cell r="G105">
            <v>6.9767441860465115E-2</v>
          </cell>
          <cell r="H105">
            <v>19</v>
          </cell>
          <cell r="I105">
            <v>2.7142857142857144</v>
          </cell>
          <cell r="J105">
            <v>41</v>
          </cell>
          <cell r="K105">
            <v>0</v>
          </cell>
          <cell r="L105">
            <v>0</v>
          </cell>
          <cell r="M105">
            <v>4</v>
          </cell>
          <cell r="N105">
            <v>9.7560975609756101E-2</v>
          </cell>
          <cell r="O105">
            <v>8</v>
          </cell>
          <cell r="P105">
            <v>1.1428571428571428</v>
          </cell>
          <cell r="Q105">
            <v>8.3664208735110601E-2</v>
          </cell>
        </row>
        <row r="106">
          <cell r="A106">
            <v>3541</v>
          </cell>
          <cell r="B106" t="str">
            <v>PAU HERMES</v>
          </cell>
          <cell r="C106">
            <v>127</v>
          </cell>
          <cell r="D106">
            <v>0</v>
          </cell>
          <cell r="E106">
            <v>1</v>
          </cell>
          <cell r="F106">
            <v>9</v>
          </cell>
          <cell r="G106">
            <v>7.0866141732283464E-2</v>
          </cell>
          <cell r="H106">
            <v>28</v>
          </cell>
          <cell r="I106">
            <v>4</v>
          </cell>
          <cell r="J106">
            <v>62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18</v>
          </cell>
          <cell r="P106">
            <v>2.5714285714285716</v>
          </cell>
          <cell r="Q106">
            <v>3.5433070866141732E-2</v>
          </cell>
        </row>
        <row r="107">
          <cell r="A107">
            <v>43783</v>
          </cell>
          <cell r="B107" t="str">
            <v>DGA COTE BASQUE</v>
          </cell>
          <cell r="C107">
            <v>1125</v>
          </cell>
          <cell r="D107">
            <v>7</v>
          </cell>
          <cell r="E107">
            <v>20</v>
          </cell>
          <cell r="F107">
            <v>138</v>
          </cell>
          <cell r="G107">
            <v>0.12266666666666666</v>
          </cell>
          <cell r="H107">
            <v>189</v>
          </cell>
          <cell r="I107">
            <v>27</v>
          </cell>
          <cell r="J107">
            <v>599</v>
          </cell>
          <cell r="K107">
            <v>1</v>
          </cell>
          <cell r="L107">
            <v>5</v>
          </cell>
          <cell r="M107">
            <v>71</v>
          </cell>
          <cell r="N107">
            <v>0.11853088480801335</v>
          </cell>
          <cell r="O107">
            <v>103</v>
          </cell>
          <cell r="P107">
            <v>14.714285714285714</v>
          </cell>
          <cell r="Q107">
            <v>0.12059877573734001</v>
          </cell>
        </row>
        <row r="108">
          <cell r="A108">
            <v>51700</v>
          </cell>
          <cell r="B108" t="str">
            <v>Multisite BAYONNE</v>
          </cell>
          <cell r="C108">
            <v>384</v>
          </cell>
          <cell r="D108">
            <v>0</v>
          </cell>
          <cell r="E108">
            <v>5</v>
          </cell>
          <cell r="F108">
            <v>46</v>
          </cell>
          <cell r="G108">
            <v>0.11979166666666667</v>
          </cell>
          <cell r="H108">
            <v>66</v>
          </cell>
          <cell r="I108">
            <v>9.4285714285714288</v>
          </cell>
          <cell r="J108">
            <v>191</v>
          </cell>
          <cell r="K108">
            <v>0</v>
          </cell>
          <cell r="L108">
            <v>0</v>
          </cell>
          <cell r="M108">
            <v>27</v>
          </cell>
          <cell r="N108">
            <v>0.14136125654450263</v>
          </cell>
          <cell r="O108">
            <v>29</v>
          </cell>
          <cell r="P108">
            <v>4.1428571428571432</v>
          </cell>
          <cell r="Q108">
            <v>0.13057646160558464</v>
          </cell>
        </row>
        <row r="109">
          <cell r="A109">
            <v>1700</v>
          </cell>
          <cell r="B109" t="str">
            <v>BAYONNE</v>
          </cell>
          <cell r="C109">
            <v>214</v>
          </cell>
          <cell r="D109">
            <v>0</v>
          </cell>
          <cell r="E109">
            <v>1</v>
          </cell>
          <cell r="F109">
            <v>15</v>
          </cell>
          <cell r="G109">
            <v>7.0093457943925228E-2</v>
          </cell>
          <cell r="H109">
            <v>48</v>
          </cell>
          <cell r="I109">
            <v>6.8571428571428568</v>
          </cell>
          <cell r="J109">
            <v>103</v>
          </cell>
          <cell r="K109">
            <v>0</v>
          </cell>
          <cell r="L109">
            <v>0</v>
          </cell>
          <cell r="M109">
            <v>9</v>
          </cell>
          <cell r="N109">
            <v>8.7378640776699032E-2</v>
          </cell>
          <cell r="O109">
            <v>21</v>
          </cell>
          <cell r="P109">
            <v>3</v>
          </cell>
          <cell r="Q109">
            <v>7.873604936031213E-2</v>
          </cell>
        </row>
        <row r="110">
          <cell r="A110">
            <v>1737</v>
          </cell>
          <cell r="B110" t="str">
            <v>BAYONNE SAINT ESPRIT</v>
          </cell>
          <cell r="C110">
            <v>70</v>
          </cell>
          <cell r="D110">
            <v>0</v>
          </cell>
          <cell r="E110">
            <v>1</v>
          </cell>
          <cell r="F110">
            <v>8</v>
          </cell>
          <cell r="G110">
            <v>0.11428571428571428</v>
          </cell>
          <cell r="H110">
            <v>13</v>
          </cell>
          <cell r="I110">
            <v>1.8571428571428572</v>
          </cell>
          <cell r="J110">
            <v>34</v>
          </cell>
          <cell r="K110">
            <v>0</v>
          </cell>
          <cell r="L110">
            <v>0</v>
          </cell>
          <cell r="M110">
            <v>6</v>
          </cell>
          <cell r="N110">
            <v>0.17647058823529413</v>
          </cell>
          <cell r="O110">
            <v>4</v>
          </cell>
          <cell r="P110">
            <v>0.5714285714285714</v>
          </cell>
          <cell r="Q110">
            <v>0.14537815126050421</v>
          </cell>
        </row>
        <row r="111">
          <cell r="A111">
            <v>1747</v>
          </cell>
          <cell r="B111" t="str">
            <v>BAYONNE CITE DU PALAIS</v>
          </cell>
          <cell r="C111">
            <v>100</v>
          </cell>
          <cell r="D111">
            <v>0</v>
          </cell>
          <cell r="E111">
            <v>3</v>
          </cell>
          <cell r="F111">
            <v>23</v>
          </cell>
          <cell r="G111">
            <v>0.23</v>
          </cell>
          <cell r="H111">
            <v>6</v>
          </cell>
          <cell r="I111">
            <v>0.8571428571428571</v>
          </cell>
          <cell r="J111">
            <v>54</v>
          </cell>
          <cell r="K111">
            <v>0</v>
          </cell>
          <cell r="L111">
            <v>0</v>
          </cell>
          <cell r="M111">
            <v>12</v>
          </cell>
          <cell r="N111">
            <v>0.22222222222222221</v>
          </cell>
          <cell r="O111">
            <v>4</v>
          </cell>
          <cell r="P111">
            <v>0.5714285714285714</v>
          </cell>
          <cell r="Q111">
            <v>0.2261111111111111</v>
          </cell>
        </row>
        <row r="112">
          <cell r="A112">
            <v>51731</v>
          </cell>
          <cell r="B112" t="str">
            <v>Multisite BIARRITZ</v>
          </cell>
          <cell r="C112">
            <v>213</v>
          </cell>
          <cell r="D112">
            <v>1</v>
          </cell>
          <cell r="E112">
            <v>4</v>
          </cell>
          <cell r="F112">
            <v>24</v>
          </cell>
          <cell r="G112">
            <v>0.11267605633802817</v>
          </cell>
          <cell r="H112">
            <v>38</v>
          </cell>
          <cell r="I112">
            <v>5.4285714285714288</v>
          </cell>
          <cell r="J112">
            <v>116</v>
          </cell>
          <cell r="K112">
            <v>1</v>
          </cell>
          <cell r="L112">
            <v>2</v>
          </cell>
          <cell r="M112">
            <v>10</v>
          </cell>
          <cell r="N112">
            <v>8.6206896551724144E-2</v>
          </cell>
          <cell r="O112">
            <v>24</v>
          </cell>
          <cell r="P112">
            <v>3.4285714285714284</v>
          </cell>
          <cell r="Q112">
            <v>9.9441476444876165E-2</v>
          </cell>
        </row>
        <row r="113">
          <cell r="A113">
            <v>1731</v>
          </cell>
          <cell r="B113" t="str">
            <v>BIARRITZ</v>
          </cell>
          <cell r="C113">
            <v>152</v>
          </cell>
          <cell r="D113">
            <v>1</v>
          </cell>
          <cell r="E113">
            <v>2</v>
          </cell>
          <cell r="F113">
            <v>20</v>
          </cell>
          <cell r="G113">
            <v>0.13157894736842105</v>
          </cell>
          <cell r="H113">
            <v>25</v>
          </cell>
          <cell r="I113">
            <v>3.5714285714285716</v>
          </cell>
          <cell r="J113">
            <v>83</v>
          </cell>
          <cell r="K113">
            <v>1</v>
          </cell>
          <cell r="L113">
            <v>2</v>
          </cell>
          <cell r="M113">
            <v>7</v>
          </cell>
          <cell r="N113">
            <v>8.4337349397590355E-2</v>
          </cell>
          <cell r="O113">
            <v>18</v>
          </cell>
          <cell r="P113">
            <v>2.5714285714285716</v>
          </cell>
          <cell r="Q113">
            <v>0.1079581483830057</v>
          </cell>
        </row>
        <row r="114">
          <cell r="A114">
            <v>1749</v>
          </cell>
          <cell r="B114" t="str">
            <v>BIARRITZ SAINT CHARLES</v>
          </cell>
          <cell r="C114">
            <v>61</v>
          </cell>
          <cell r="D114">
            <v>0</v>
          </cell>
          <cell r="E114">
            <v>2</v>
          </cell>
          <cell r="F114">
            <v>4</v>
          </cell>
          <cell r="G114">
            <v>6.5573770491803282E-2</v>
          </cell>
          <cell r="H114">
            <v>14</v>
          </cell>
          <cell r="I114">
            <v>2</v>
          </cell>
          <cell r="J114">
            <v>33</v>
          </cell>
          <cell r="K114">
            <v>0</v>
          </cell>
          <cell r="L114">
            <v>0</v>
          </cell>
          <cell r="M114">
            <v>3</v>
          </cell>
          <cell r="N114">
            <v>9.0909090909090912E-2</v>
          </cell>
          <cell r="O114">
            <v>7</v>
          </cell>
          <cell r="P114">
            <v>1</v>
          </cell>
          <cell r="Q114">
            <v>7.824143070044709E-2</v>
          </cell>
        </row>
        <row r="115">
          <cell r="A115">
            <v>51735</v>
          </cell>
          <cell r="B115" t="str">
            <v>Multisite ST JEAN DE LUZ</v>
          </cell>
          <cell r="C115">
            <v>237</v>
          </cell>
          <cell r="D115">
            <v>2</v>
          </cell>
          <cell r="E115">
            <v>5</v>
          </cell>
          <cell r="F115">
            <v>40</v>
          </cell>
          <cell r="G115">
            <v>0.16877637130801687</v>
          </cell>
          <cell r="H115">
            <v>29</v>
          </cell>
          <cell r="I115">
            <v>4.1428571428571432</v>
          </cell>
          <cell r="J115">
            <v>122</v>
          </cell>
          <cell r="K115">
            <v>0</v>
          </cell>
          <cell r="L115">
            <v>3</v>
          </cell>
          <cell r="M115">
            <v>19</v>
          </cell>
          <cell r="N115">
            <v>0.15573770491803279</v>
          </cell>
          <cell r="O115">
            <v>17</v>
          </cell>
          <cell r="P115">
            <v>2.4285714285714284</v>
          </cell>
          <cell r="Q115">
            <v>0.16225703811302483</v>
          </cell>
        </row>
        <row r="116">
          <cell r="A116">
            <v>1733</v>
          </cell>
          <cell r="B116" t="str">
            <v>HENDAYE</v>
          </cell>
          <cell r="C116">
            <v>76</v>
          </cell>
          <cell r="D116">
            <v>0</v>
          </cell>
          <cell r="E116">
            <v>1</v>
          </cell>
          <cell r="F116">
            <v>6</v>
          </cell>
          <cell r="G116">
            <v>7.8947368421052627E-2</v>
          </cell>
          <cell r="H116">
            <v>17</v>
          </cell>
          <cell r="I116">
            <v>2.4285714285714284</v>
          </cell>
          <cell r="J116">
            <v>38</v>
          </cell>
          <cell r="K116">
            <v>0</v>
          </cell>
          <cell r="L116">
            <v>0</v>
          </cell>
          <cell r="M116">
            <v>1</v>
          </cell>
          <cell r="N116">
            <v>2.6315789473684209E-2</v>
          </cell>
          <cell r="O116">
            <v>11</v>
          </cell>
          <cell r="P116">
            <v>1.5714285714285714</v>
          </cell>
          <cell r="Q116">
            <v>5.2631578947368418E-2</v>
          </cell>
        </row>
        <row r="117">
          <cell r="A117">
            <v>1735</v>
          </cell>
          <cell r="B117" t="str">
            <v>ST JEAN DE LUZ</v>
          </cell>
          <cell r="C117">
            <v>161</v>
          </cell>
          <cell r="D117">
            <v>2</v>
          </cell>
          <cell r="E117">
            <v>4</v>
          </cell>
          <cell r="F117">
            <v>34</v>
          </cell>
          <cell r="G117">
            <v>0.21118012422360249</v>
          </cell>
          <cell r="H117">
            <v>13</v>
          </cell>
          <cell r="I117">
            <v>1.8571428571428572</v>
          </cell>
          <cell r="J117">
            <v>84</v>
          </cell>
          <cell r="K117">
            <v>0</v>
          </cell>
          <cell r="L117">
            <v>3</v>
          </cell>
          <cell r="M117">
            <v>18</v>
          </cell>
          <cell r="N117">
            <v>0.21428571428571427</v>
          </cell>
          <cell r="O117">
            <v>7</v>
          </cell>
          <cell r="P117">
            <v>1</v>
          </cell>
          <cell r="Q117">
            <v>0.21273291925465837</v>
          </cell>
        </row>
        <row r="118">
          <cell r="A118">
            <v>51738</v>
          </cell>
          <cell r="B118" t="str">
            <v>Multisite ANGLET</v>
          </cell>
          <cell r="C118">
            <v>239</v>
          </cell>
          <cell r="D118">
            <v>4</v>
          </cell>
          <cell r="E118">
            <v>6</v>
          </cell>
          <cell r="F118">
            <v>24</v>
          </cell>
          <cell r="G118">
            <v>0.100418410041841</v>
          </cell>
          <cell r="H118">
            <v>46</v>
          </cell>
          <cell r="I118">
            <v>6.5714285714285712</v>
          </cell>
          <cell r="J118">
            <v>132</v>
          </cell>
          <cell r="K118">
            <v>0</v>
          </cell>
          <cell r="L118">
            <v>0</v>
          </cell>
          <cell r="M118">
            <v>13</v>
          </cell>
          <cell r="N118">
            <v>9.8484848484848481E-2</v>
          </cell>
          <cell r="O118">
            <v>26</v>
          </cell>
          <cell r="P118">
            <v>3.7142857142857144</v>
          </cell>
          <cell r="Q118">
            <v>9.9451629263344749E-2</v>
          </cell>
        </row>
        <row r="119">
          <cell r="A119">
            <v>1738</v>
          </cell>
          <cell r="B119" t="str">
            <v>ANGLET</v>
          </cell>
          <cell r="C119">
            <v>145</v>
          </cell>
          <cell r="D119">
            <v>0</v>
          </cell>
          <cell r="E119">
            <v>1</v>
          </cell>
          <cell r="F119">
            <v>10</v>
          </cell>
          <cell r="G119">
            <v>6.8965517241379309E-2</v>
          </cell>
          <cell r="H119">
            <v>33</v>
          </cell>
          <cell r="I119">
            <v>4.7142857142857144</v>
          </cell>
          <cell r="J119">
            <v>77</v>
          </cell>
          <cell r="K119">
            <v>0</v>
          </cell>
          <cell r="L119">
            <v>0</v>
          </cell>
          <cell r="M119">
            <v>6</v>
          </cell>
          <cell r="N119">
            <v>7.792207792207792E-2</v>
          </cell>
          <cell r="O119">
            <v>17</v>
          </cell>
          <cell r="P119">
            <v>2.4285714285714284</v>
          </cell>
          <cell r="Q119">
            <v>7.3443797581728615E-2</v>
          </cell>
        </row>
        <row r="120">
          <cell r="A120">
            <v>1754</v>
          </cell>
          <cell r="B120" t="str">
            <v>ANGLET ERDIAN</v>
          </cell>
          <cell r="C120">
            <v>44</v>
          </cell>
          <cell r="D120">
            <v>0</v>
          </cell>
          <cell r="E120">
            <v>0</v>
          </cell>
          <cell r="F120">
            <v>4</v>
          </cell>
          <cell r="G120">
            <v>9.0909090909090912E-2</v>
          </cell>
          <cell r="H120">
            <v>9</v>
          </cell>
          <cell r="I120">
            <v>1.2857142857142858</v>
          </cell>
          <cell r="J120">
            <v>27</v>
          </cell>
          <cell r="K120">
            <v>0</v>
          </cell>
          <cell r="L120">
            <v>0</v>
          </cell>
          <cell r="M120">
            <v>1</v>
          </cell>
          <cell r="N120">
            <v>3.7037037037037035E-2</v>
          </cell>
          <cell r="O120">
            <v>7</v>
          </cell>
          <cell r="P120">
            <v>1</v>
          </cell>
          <cell r="Q120">
            <v>6.3973063973063973E-2</v>
          </cell>
        </row>
        <row r="121">
          <cell r="A121">
            <v>1755</v>
          </cell>
          <cell r="B121" t="str">
            <v>USTARITZ</v>
          </cell>
          <cell r="C121">
            <v>50</v>
          </cell>
          <cell r="D121">
            <v>4</v>
          </cell>
          <cell r="E121">
            <v>5</v>
          </cell>
          <cell r="F121">
            <v>10</v>
          </cell>
          <cell r="G121">
            <v>0.2</v>
          </cell>
          <cell r="H121">
            <v>5</v>
          </cell>
          <cell r="I121">
            <v>0.7142857142857143</v>
          </cell>
          <cell r="J121">
            <v>28</v>
          </cell>
          <cell r="K121">
            <v>0</v>
          </cell>
          <cell r="L121">
            <v>0</v>
          </cell>
          <cell r="M121">
            <v>6</v>
          </cell>
          <cell r="N121">
            <v>0.21428571428571427</v>
          </cell>
          <cell r="O121">
            <v>3</v>
          </cell>
          <cell r="P121">
            <v>0.42857142857142855</v>
          </cell>
          <cell r="Q121">
            <v>0.20714285714285713</v>
          </cell>
        </row>
        <row r="122">
          <cell r="A122">
            <v>1743</v>
          </cell>
          <cell r="B122" t="str">
            <v>CAMBO LES BAINS</v>
          </cell>
          <cell r="C122">
            <v>76</v>
          </cell>
          <cell r="D122">
            <v>0</v>
          </cell>
          <cell r="E122">
            <v>0</v>
          </cell>
          <cell r="F122">
            <v>4</v>
          </cell>
          <cell r="G122">
            <v>5.2631578947368418E-2</v>
          </cell>
          <cell r="H122">
            <v>19</v>
          </cell>
          <cell r="I122">
            <v>2.7142857142857144</v>
          </cell>
          <cell r="J122">
            <v>38</v>
          </cell>
          <cell r="K122">
            <v>0</v>
          </cell>
          <cell r="L122">
            <v>0</v>
          </cell>
          <cell r="M122">
            <v>2</v>
          </cell>
          <cell r="N122">
            <v>5.2631578947368418E-2</v>
          </cell>
          <cell r="O122">
            <v>10</v>
          </cell>
          <cell r="P122">
            <v>1.4285714285714286</v>
          </cell>
          <cell r="Q122">
            <v>5.2631578947368418E-2</v>
          </cell>
        </row>
        <row r="123">
          <cell r="A123">
            <v>43787</v>
          </cell>
          <cell r="B123" t="str">
            <v>DGA LANDES SUD</v>
          </cell>
          <cell r="C123">
            <v>780</v>
          </cell>
          <cell r="D123">
            <v>5</v>
          </cell>
          <cell r="E123">
            <v>13</v>
          </cell>
          <cell r="F123">
            <v>112</v>
          </cell>
          <cell r="G123">
            <v>0.14358974358974358</v>
          </cell>
          <cell r="H123">
            <v>115</v>
          </cell>
          <cell r="I123">
            <v>16.428571428571427</v>
          </cell>
          <cell r="J123">
            <v>364</v>
          </cell>
          <cell r="K123">
            <v>3</v>
          </cell>
          <cell r="L123">
            <v>11</v>
          </cell>
          <cell r="M123">
            <v>32</v>
          </cell>
          <cell r="N123">
            <v>8.7912087912087919E-2</v>
          </cell>
          <cell r="O123">
            <v>74</v>
          </cell>
          <cell r="P123">
            <v>10.571428571428571</v>
          </cell>
          <cell r="Q123">
            <v>0.11575091575091576</v>
          </cell>
        </row>
        <row r="124">
          <cell r="A124">
            <v>51732</v>
          </cell>
          <cell r="B124" t="str">
            <v>Multisite DAX</v>
          </cell>
          <cell r="C124">
            <v>397</v>
          </cell>
          <cell r="D124">
            <v>2</v>
          </cell>
          <cell r="E124">
            <v>4</v>
          </cell>
          <cell r="F124">
            <v>48</v>
          </cell>
          <cell r="G124">
            <v>0.12090680100755667</v>
          </cell>
          <cell r="H124">
            <v>68</v>
          </cell>
          <cell r="I124">
            <v>9.7142857142857135</v>
          </cell>
          <cell r="J124">
            <v>184</v>
          </cell>
          <cell r="K124">
            <v>1</v>
          </cell>
          <cell r="L124">
            <v>1</v>
          </cell>
          <cell r="M124">
            <v>12</v>
          </cell>
          <cell r="N124">
            <v>6.5217391304347824E-2</v>
          </cell>
          <cell r="O124">
            <v>42</v>
          </cell>
          <cell r="P124">
            <v>6</v>
          </cell>
          <cell r="Q124">
            <v>9.3062096155952248E-2</v>
          </cell>
        </row>
        <row r="125">
          <cell r="A125">
            <v>1732</v>
          </cell>
          <cell r="B125" t="str">
            <v>DAX</v>
          </cell>
          <cell r="C125">
            <v>236</v>
          </cell>
          <cell r="D125">
            <v>2</v>
          </cell>
          <cell r="E125">
            <v>3</v>
          </cell>
          <cell r="F125">
            <v>29</v>
          </cell>
          <cell r="G125">
            <v>0.1228813559322034</v>
          </cell>
          <cell r="H125">
            <v>40</v>
          </cell>
          <cell r="I125">
            <v>5.7142857142857144</v>
          </cell>
          <cell r="J125">
            <v>111</v>
          </cell>
          <cell r="K125">
            <v>1</v>
          </cell>
          <cell r="L125">
            <v>1</v>
          </cell>
          <cell r="M125">
            <v>11</v>
          </cell>
          <cell r="N125">
            <v>9.90990990990991E-2</v>
          </cell>
          <cell r="O125">
            <v>22</v>
          </cell>
          <cell r="P125">
            <v>3.1428571428571428</v>
          </cell>
          <cell r="Q125">
            <v>0.11099022751565124</v>
          </cell>
        </row>
        <row r="126">
          <cell r="A126">
            <v>1742</v>
          </cell>
          <cell r="B126" t="str">
            <v>PEYREHORADE</v>
          </cell>
          <cell r="C126">
            <v>70</v>
          </cell>
          <cell r="D126">
            <v>0</v>
          </cell>
          <cell r="E126">
            <v>0</v>
          </cell>
          <cell r="F126">
            <v>7</v>
          </cell>
          <cell r="G126">
            <v>0.1</v>
          </cell>
          <cell r="H126">
            <v>14</v>
          </cell>
          <cell r="I126">
            <v>2</v>
          </cell>
          <cell r="J126">
            <v>31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9</v>
          </cell>
          <cell r="P126">
            <v>1.2857142857142858</v>
          </cell>
          <cell r="Q126">
            <v>0.05</v>
          </cell>
        </row>
        <row r="127">
          <cell r="A127">
            <v>1745</v>
          </cell>
          <cell r="B127" t="str">
            <v>SAINT PAUL LES DAX</v>
          </cell>
          <cell r="C127">
            <v>91</v>
          </cell>
          <cell r="D127">
            <v>0</v>
          </cell>
          <cell r="E127">
            <v>1</v>
          </cell>
          <cell r="F127">
            <v>12</v>
          </cell>
          <cell r="G127">
            <v>0.13186813186813187</v>
          </cell>
          <cell r="H127">
            <v>15</v>
          </cell>
          <cell r="I127">
            <v>2.1428571428571428</v>
          </cell>
          <cell r="J127">
            <v>42</v>
          </cell>
          <cell r="K127">
            <v>0</v>
          </cell>
          <cell r="L127">
            <v>0</v>
          </cell>
          <cell r="M127">
            <v>1</v>
          </cell>
          <cell r="N127">
            <v>2.3809523809523808E-2</v>
          </cell>
          <cell r="O127">
            <v>12</v>
          </cell>
          <cell r="P127">
            <v>1.7142857142857142</v>
          </cell>
          <cell r="Q127">
            <v>7.783882783882784E-2</v>
          </cell>
        </row>
        <row r="128">
          <cell r="A128">
            <v>51746</v>
          </cell>
          <cell r="B128" t="str">
            <v>Multisite CAPBRETON</v>
          </cell>
          <cell r="C128">
            <v>400</v>
          </cell>
          <cell r="D128">
            <v>3</v>
          </cell>
          <cell r="E128">
            <v>9</v>
          </cell>
          <cell r="F128">
            <v>64</v>
          </cell>
          <cell r="G128">
            <v>0.16</v>
          </cell>
          <cell r="H128">
            <v>52</v>
          </cell>
          <cell r="I128">
            <v>7.4285714285714288</v>
          </cell>
          <cell r="J128">
            <v>180</v>
          </cell>
          <cell r="K128">
            <v>2</v>
          </cell>
          <cell r="L128">
            <v>10</v>
          </cell>
          <cell r="M128">
            <v>20</v>
          </cell>
          <cell r="N128">
            <v>0.1111111111111111</v>
          </cell>
          <cell r="O128">
            <v>33</v>
          </cell>
          <cell r="P128">
            <v>4.7142857142857144</v>
          </cell>
          <cell r="Q128">
            <v>0.13555555555555554</v>
          </cell>
        </row>
        <row r="129">
          <cell r="A129">
            <v>1740</v>
          </cell>
          <cell r="B129" t="str">
            <v>TARNOS</v>
          </cell>
          <cell r="C129">
            <v>131</v>
          </cell>
          <cell r="D129">
            <v>0</v>
          </cell>
          <cell r="E129">
            <v>1</v>
          </cell>
          <cell r="F129">
            <v>23</v>
          </cell>
          <cell r="G129">
            <v>0.17557251908396945</v>
          </cell>
          <cell r="H129">
            <v>15</v>
          </cell>
          <cell r="I129">
            <v>2.1428571428571428</v>
          </cell>
          <cell r="J129">
            <v>62</v>
          </cell>
          <cell r="K129">
            <v>0</v>
          </cell>
          <cell r="L129">
            <v>4</v>
          </cell>
          <cell r="M129">
            <v>9</v>
          </cell>
          <cell r="N129">
            <v>0.14516129032258066</v>
          </cell>
          <cell r="O129">
            <v>9</v>
          </cell>
          <cell r="P129">
            <v>1.2857142857142858</v>
          </cell>
          <cell r="Q129">
            <v>0.16036690470327505</v>
          </cell>
        </row>
        <row r="130">
          <cell r="A130">
            <v>1746</v>
          </cell>
          <cell r="B130" t="str">
            <v>CAPBRETON</v>
          </cell>
          <cell r="C130">
            <v>155</v>
          </cell>
          <cell r="D130">
            <v>1</v>
          </cell>
          <cell r="E130">
            <v>3</v>
          </cell>
          <cell r="F130">
            <v>23</v>
          </cell>
          <cell r="G130">
            <v>0.14838709677419354</v>
          </cell>
          <cell r="H130">
            <v>22</v>
          </cell>
          <cell r="I130">
            <v>3.1428571428571428</v>
          </cell>
          <cell r="J130">
            <v>66</v>
          </cell>
          <cell r="K130">
            <v>1</v>
          </cell>
          <cell r="L130">
            <v>3</v>
          </cell>
          <cell r="M130">
            <v>4</v>
          </cell>
          <cell r="N130">
            <v>6.0606060606060608E-2</v>
          </cell>
          <cell r="O130">
            <v>16</v>
          </cell>
          <cell r="P130">
            <v>2.2857142857142856</v>
          </cell>
          <cell r="Q130">
            <v>0.10449657869012707</v>
          </cell>
        </row>
        <row r="131">
          <cell r="A131">
            <v>1753</v>
          </cell>
          <cell r="B131" t="str">
            <v>SAINT VINCENT DE TYROSSE</v>
          </cell>
          <cell r="C131">
            <v>114</v>
          </cell>
          <cell r="D131">
            <v>2</v>
          </cell>
          <cell r="E131">
            <v>5</v>
          </cell>
          <cell r="F131">
            <v>18</v>
          </cell>
          <cell r="G131">
            <v>0.15789473684210525</v>
          </cell>
          <cell r="H131">
            <v>16</v>
          </cell>
          <cell r="I131">
            <v>2.2857142857142856</v>
          </cell>
          <cell r="J131">
            <v>52</v>
          </cell>
          <cell r="K131">
            <v>1</v>
          </cell>
          <cell r="L131">
            <v>3</v>
          </cell>
          <cell r="M131">
            <v>7</v>
          </cell>
          <cell r="N131">
            <v>0.13461538461538461</v>
          </cell>
          <cell r="O131">
            <v>9</v>
          </cell>
          <cell r="P131">
            <v>1.2857142857142858</v>
          </cell>
          <cell r="Q131">
            <v>0.14625506072874495</v>
          </cell>
        </row>
        <row r="132">
          <cell r="A132">
            <v>43804</v>
          </cell>
          <cell r="B132" t="str">
            <v>DGA VIENNE</v>
          </cell>
          <cell r="C132">
            <v>1075</v>
          </cell>
          <cell r="D132">
            <v>5</v>
          </cell>
          <cell r="E132">
            <v>13</v>
          </cell>
          <cell r="F132">
            <v>110</v>
          </cell>
          <cell r="G132">
            <v>0.10232558139534884</v>
          </cell>
          <cell r="H132">
            <v>202</v>
          </cell>
          <cell r="I132">
            <v>28.857142857142858</v>
          </cell>
          <cell r="J132">
            <v>565</v>
          </cell>
          <cell r="K132">
            <v>1</v>
          </cell>
          <cell r="L132">
            <v>13</v>
          </cell>
          <cell r="M132">
            <v>68</v>
          </cell>
          <cell r="N132">
            <v>0.12035398230088495</v>
          </cell>
          <cell r="O132">
            <v>96</v>
          </cell>
          <cell r="P132">
            <v>13.714285714285714</v>
          </cell>
          <cell r="Q132">
            <v>0.11133978184811689</v>
          </cell>
        </row>
        <row r="133">
          <cell r="A133">
            <v>57800</v>
          </cell>
          <cell r="B133" t="str">
            <v>Multisite POITIERS</v>
          </cell>
          <cell r="C133">
            <v>420</v>
          </cell>
          <cell r="D133">
            <v>4</v>
          </cell>
          <cell r="E133">
            <v>5</v>
          </cell>
          <cell r="F133">
            <v>43</v>
          </cell>
          <cell r="G133">
            <v>0.10238095238095238</v>
          </cell>
          <cell r="H133">
            <v>79</v>
          </cell>
          <cell r="I133">
            <v>11.285714285714286</v>
          </cell>
          <cell r="J133">
            <v>225</v>
          </cell>
          <cell r="K133">
            <v>0</v>
          </cell>
          <cell r="L133">
            <v>7</v>
          </cell>
          <cell r="M133">
            <v>24</v>
          </cell>
          <cell r="N133">
            <v>0.10666666666666667</v>
          </cell>
          <cell r="O133">
            <v>42</v>
          </cell>
          <cell r="P133">
            <v>6</v>
          </cell>
          <cell r="Q133">
            <v>0.10452380952380952</v>
          </cell>
        </row>
        <row r="134">
          <cell r="A134">
            <v>7800</v>
          </cell>
          <cell r="B134" t="str">
            <v>POITIERS</v>
          </cell>
          <cell r="C134">
            <v>299</v>
          </cell>
          <cell r="D134">
            <v>1</v>
          </cell>
          <cell r="E134">
            <v>2</v>
          </cell>
          <cell r="F134">
            <v>18</v>
          </cell>
          <cell r="G134">
            <v>6.0200668896321072E-2</v>
          </cell>
          <cell r="H134">
            <v>69</v>
          </cell>
          <cell r="I134">
            <v>9.8571428571428577</v>
          </cell>
          <cell r="J134">
            <v>165</v>
          </cell>
          <cell r="K134">
            <v>0</v>
          </cell>
          <cell r="L134">
            <v>6</v>
          </cell>
          <cell r="M134">
            <v>20</v>
          </cell>
          <cell r="N134">
            <v>0.12121212121212122</v>
          </cell>
          <cell r="O134">
            <v>28</v>
          </cell>
          <cell r="P134">
            <v>4</v>
          </cell>
          <cell r="Q134">
            <v>9.0706395054221151E-2</v>
          </cell>
        </row>
        <row r="135">
          <cell r="A135">
            <v>7803</v>
          </cell>
          <cell r="B135" t="str">
            <v>POITIERS BOURBEAU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</row>
        <row r="136">
          <cell r="A136">
            <v>7839</v>
          </cell>
          <cell r="B136" t="str">
            <v>POITIERS LIBERATION</v>
          </cell>
          <cell r="C136">
            <v>121</v>
          </cell>
          <cell r="D136">
            <v>3</v>
          </cell>
          <cell r="E136">
            <v>3</v>
          </cell>
          <cell r="F136">
            <v>25</v>
          </cell>
          <cell r="G136">
            <v>0.20661157024793389</v>
          </cell>
          <cell r="H136">
            <v>11</v>
          </cell>
          <cell r="I136">
            <v>1.5714285714285714</v>
          </cell>
          <cell r="J136">
            <v>60</v>
          </cell>
          <cell r="K136">
            <v>0</v>
          </cell>
          <cell r="L136">
            <v>1</v>
          </cell>
          <cell r="M136">
            <v>4</v>
          </cell>
          <cell r="N136">
            <v>6.6666666666666666E-2</v>
          </cell>
          <cell r="O136">
            <v>14</v>
          </cell>
          <cell r="P136">
            <v>2</v>
          </cell>
          <cell r="Q136">
            <v>0.13663911845730028</v>
          </cell>
        </row>
        <row r="137">
          <cell r="A137">
            <v>7831</v>
          </cell>
          <cell r="B137" t="str">
            <v>CHATELLERAULT</v>
          </cell>
          <cell r="C137">
            <v>290</v>
          </cell>
          <cell r="D137">
            <v>0</v>
          </cell>
          <cell r="E137">
            <v>3</v>
          </cell>
          <cell r="F137">
            <v>29</v>
          </cell>
          <cell r="G137">
            <v>0.1</v>
          </cell>
          <cell r="H137">
            <v>56</v>
          </cell>
          <cell r="I137">
            <v>8</v>
          </cell>
          <cell r="J137">
            <v>139</v>
          </cell>
          <cell r="K137">
            <v>0</v>
          </cell>
          <cell r="L137">
            <v>3</v>
          </cell>
          <cell r="M137">
            <v>21</v>
          </cell>
          <cell r="N137">
            <v>0.15107913669064749</v>
          </cell>
          <cell r="O137">
            <v>20</v>
          </cell>
          <cell r="P137">
            <v>2.8571428571428572</v>
          </cell>
          <cell r="Q137">
            <v>0.12553956834532376</v>
          </cell>
        </row>
        <row r="138">
          <cell r="A138">
            <v>57836</v>
          </cell>
          <cell r="B138" t="str">
            <v>Multisite POITIERS PROVENCE</v>
          </cell>
          <cell r="C138">
            <v>381</v>
          </cell>
          <cell r="D138">
            <v>1</v>
          </cell>
          <cell r="E138">
            <v>5</v>
          </cell>
          <cell r="F138">
            <v>38</v>
          </cell>
          <cell r="G138">
            <v>9.9737532808398949E-2</v>
          </cell>
          <cell r="H138">
            <v>73</v>
          </cell>
          <cell r="I138">
            <v>10.428571428571429</v>
          </cell>
          <cell r="J138">
            <v>201</v>
          </cell>
          <cell r="K138">
            <v>1</v>
          </cell>
          <cell r="L138">
            <v>3</v>
          </cell>
          <cell r="M138">
            <v>23</v>
          </cell>
          <cell r="N138">
            <v>0.11442786069651742</v>
          </cell>
          <cell r="O138">
            <v>36</v>
          </cell>
          <cell r="P138">
            <v>5.1428571428571432</v>
          </cell>
          <cell r="Q138">
            <v>0.10708269675245818</v>
          </cell>
        </row>
        <row r="139">
          <cell r="A139">
            <v>7802</v>
          </cell>
          <cell r="B139" t="str">
            <v>NEUVILLE DE POITOU</v>
          </cell>
          <cell r="C139">
            <v>86</v>
          </cell>
          <cell r="D139">
            <v>0</v>
          </cell>
          <cell r="E139">
            <v>3</v>
          </cell>
          <cell r="F139">
            <v>15</v>
          </cell>
          <cell r="G139">
            <v>0.1744186046511628</v>
          </cell>
          <cell r="H139">
            <v>10</v>
          </cell>
          <cell r="I139">
            <v>1.4285714285714286</v>
          </cell>
          <cell r="J139">
            <v>43</v>
          </cell>
          <cell r="K139">
            <v>0</v>
          </cell>
          <cell r="L139">
            <v>1</v>
          </cell>
          <cell r="M139">
            <v>11</v>
          </cell>
          <cell r="N139">
            <v>0.2558139534883721</v>
          </cell>
          <cell r="O139">
            <v>2</v>
          </cell>
          <cell r="P139">
            <v>0.2857142857142857</v>
          </cell>
          <cell r="Q139">
            <v>0.21511627906976744</v>
          </cell>
        </row>
        <row r="140">
          <cell r="A140">
            <v>7832</v>
          </cell>
          <cell r="B140" t="str">
            <v>POITIERS BEAULIEU</v>
          </cell>
          <cell r="C140">
            <v>164</v>
          </cell>
          <cell r="D140">
            <v>1</v>
          </cell>
          <cell r="E140">
            <v>2</v>
          </cell>
          <cell r="F140">
            <v>16</v>
          </cell>
          <cell r="G140">
            <v>9.7560975609756101E-2</v>
          </cell>
          <cell r="H140">
            <v>32</v>
          </cell>
          <cell r="I140">
            <v>4.5714285714285712</v>
          </cell>
          <cell r="J140">
            <v>85</v>
          </cell>
          <cell r="K140">
            <v>0</v>
          </cell>
          <cell r="L140">
            <v>0</v>
          </cell>
          <cell r="M140">
            <v>7</v>
          </cell>
          <cell r="N140">
            <v>8.2352941176470587E-2</v>
          </cell>
          <cell r="O140">
            <v>18</v>
          </cell>
          <cell r="P140">
            <v>2.5714285714285716</v>
          </cell>
          <cell r="Q140">
            <v>8.9956958393113351E-2</v>
          </cell>
        </row>
        <row r="141">
          <cell r="A141">
            <v>7836</v>
          </cell>
          <cell r="B141" t="str">
            <v>POITIERS PROVENCE</v>
          </cell>
          <cell r="C141">
            <v>131</v>
          </cell>
          <cell r="D141">
            <v>0</v>
          </cell>
          <cell r="E141">
            <v>0</v>
          </cell>
          <cell r="F141">
            <v>7</v>
          </cell>
          <cell r="G141">
            <v>5.3435114503816793E-2</v>
          </cell>
          <cell r="H141">
            <v>31</v>
          </cell>
          <cell r="I141">
            <v>4.4285714285714288</v>
          </cell>
          <cell r="J141">
            <v>73</v>
          </cell>
          <cell r="K141">
            <v>1</v>
          </cell>
          <cell r="L141">
            <v>2</v>
          </cell>
          <cell r="M141">
            <v>5</v>
          </cell>
          <cell r="N141">
            <v>6.8493150684931503E-2</v>
          </cell>
          <cell r="O141">
            <v>17</v>
          </cell>
          <cell r="P141">
            <v>2.4285714285714284</v>
          </cell>
          <cell r="Q141">
            <v>6.0964132594374151E-2</v>
          </cell>
        </row>
        <row r="142">
          <cell r="A142">
            <v>43812</v>
          </cell>
          <cell r="B142" t="str">
            <v>DGA PAYS ROCHELAIS DEUX SEVRES</v>
          </cell>
          <cell r="C142">
            <v>1483</v>
          </cell>
          <cell r="D142">
            <v>6</v>
          </cell>
          <cell r="E142">
            <v>25</v>
          </cell>
          <cell r="F142">
            <v>157</v>
          </cell>
          <cell r="G142">
            <v>0.10586648685097774</v>
          </cell>
          <cell r="H142">
            <v>274</v>
          </cell>
          <cell r="I142">
            <v>39.142857142857146</v>
          </cell>
          <cell r="J142">
            <v>770</v>
          </cell>
          <cell r="K142">
            <v>2</v>
          </cell>
          <cell r="L142">
            <v>6</v>
          </cell>
          <cell r="M142">
            <v>49</v>
          </cell>
          <cell r="N142">
            <v>6.363636363636363E-2</v>
          </cell>
          <cell r="O142">
            <v>175</v>
          </cell>
          <cell r="P142">
            <v>25</v>
          </cell>
          <cell r="Q142">
            <v>8.4751425243670686E-2</v>
          </cell>
        </row>
        <row r="143">
          <cell r="A143">
            <v>55131</v>
          </cell>
          <cell r="B143" t="str">
            <v>Multisite BRESSUIRE</v>
          </cell>
          <cell r="C143">
            <v>246</v>
          </cell>
          <cell r="D143">
            <v>0</v>
          </cell>
          <cell r="E143">
            <v>7</v>
          </cell>
          <cell r="F143">
            <v>43</v>
          </cell>
          <cell r="G143">
            <v>0.17479674796747968</v>
          </cell>
          <cell r="H143">
            <v>29</v>
          </cell>
          <cell r="I143">
            <v>4.1428571428571432</v>
          </cell>
          <cell r="J143">
            <v>125</v>
          </cell>
          <cell r="K143">
            <v>1</v>
          </cell>
          <cell r="L143">
            <v>1</v>
          </cell>
          <cell r="M143">
            <v>15</v>
          </cell>
          <cell r="N143">
            <v>0.12</v>
          </cell>
          <cell r="O143">
            <v>22</v>
          </cell>
          <cell r="P143">
            <v>3.1428571428571428</v>
          </cell>
          <cell r="Q143">
            <v>0.14739837398373984</v>
          </cell>
        </row>
        <row r="144">
          <cell r="A144">
            <v>5131</v>
          </cell>
          <cell r="B144" t="str">
            <v>BRESSUIRE</v>
          </cell>
          <cell r="C144">
            <v>94</v>
          </cell>
          <cell r="D144">
            <v>0</v>
          </cell>
          <cell r="E144">
            <v>7</v>
          </cell>
          <cell r="F144">
            <v>14</v>
          </cell>
          <cell r="G144">
            <v>0.14893617021276595</v>
          </cell>
          <cell r="H144">
            <v>14</v>
          </cell>
          <cell r="I144">
            <v>2</v>
          </cell>
          <cell r="J144">
            <v>52</v>
          </cell>
          <cell r="K144">
            <v>0</v>
          </cell>
          <cell r="L144">
            <v>0</v>
          </cell>
          <cell r="M144">
            <v>7</v>
          </cell>
          <cell r="N144">
            <v>0.13461538461538461</v>
          </cell>
          <cell r="O144">
            <v>9</v>
          </cell>
          <cell r="P144">
            <v>1.2857142857142858</v>
          </cell>
          <cell r="Q144">
            <v>0.14177577741407527</v>
          </cell>
        </row>
        <row r="145">
          <cell r="A145">
            <v>5139</v>
          </cell>
          <cell r="B145" t="str">
            <v>THOUARS</v>
          </cell>
          <cell r="C145">
            <v>72</v>
          </cell>
          <cell r="D145">
            <v>0</v>
          </cell>
          <cell r="E145">
            <v>0</v>
          </cell>
          <cell r="F145">
            <v>12</v>
          </cell>
          <cell r="G145">
            <v>0.16666666666666666</v>
          </cell>
          <cell r="H145">
            <v>9</v>
          </cell>
          <cell r="I145">
            <v>1.2857142857142858</v>
          </cell>
          <cell r="J145">
            <v>34</v>
          </cell>
          <cell r="K145">
            <v>1</v>
          </cell>
          <cell r="L145">
            <v>1</v>
          </cell>
          <cell r="M145">
            <v>4</v>
          </cell>
          <cell r="N145">
            <v>0.11764705882352941</v>
          </cell>
          <cell r="O145">
            <v>6</v>
          </cell>
          <cell r="P145">
            <v>0.8571428571428571</v>
          </cell>
          <cell r="Q145">
            <v>0.14215686274509803</v>
          </cell>
        </row>
        <row r="146">
          <cell r="A146">
            <v>7834</v>
          </cell>
          <cell r="B146" t="str">
            <v>PARTHENAY</v>
          </cell>
          <cell r="C146">
            <v>80</v>
          </cell>
          <cell r="D146">
            <v>0</v>
          </cell>
          <cell r="E146">
            <v>0</v>
          </cell>
          <cell r="F146">
            <v>17</v>
          </cell>
          <cell r="G146">
            <v>0.21249999999999999</v>
          </cell>
          <cell r="H146">
            <v>7</v>
          </cell>
          <cell r="I146">
            <v>1</v>
          </cell>
          <cell r="J146">
            <v>39</v>
          </cell>
          <cell r="K146">
            <v>0</v>
          </cell>
          <cell r="L146">
            <v>0</v>
          </cell>
          <cell r="M146">
            <v>4</v>
          </cell>
          <cell r="N146">
            <v>0.10256410256410256</v>
          </cell>
          <cell r="O146">
            <v>8</v>
          </cell>
          <cell r="P146">
            <v>1.1428571428571428</v>
          </cell>
          <cell r="Q146">
            <v>0.15753205128205128</v>
          </cell>
        </row>
        <row r="147">
          <cell r="A147">
            <v>57833</v>
          </cell>
          <cell r="B147" t="str">
            <v>Multisite NIORT</v>
          </cell>
          <cell r="C147">
            <v>355</v>
          </cell>
          <cell r="D147">
            <v>6</v>
          </cell>
          <cell r="E147">
            <v>12</v>
          </cell>
          <cell r="F147">
            <v>41</v>
          </cell>
          <cell r="G147">
            <v>0.11549295774647887</v>
          </cell>
          <cell r="H147">
            <v>62</v>
          </cell>
          <cell r="I147">
            <v>8.8571428571428577</v>
          </cell>
          <cell r="J147">
            <v>182</v>
          </cell>
          <cell r="K147">
            <v>0</v>
          </cell>
          <cell r="L147">
            <v>1</v>
          </cell>
          <cell r="M147">
            <v>12</v>
          </cell>
          <cell r="N147">
            <v>6.5934065934065936E-2</v>
          </cell>
          <cell r="O147">
            <v>41</v>
          </cell>
          <cell r="P147">
            <v>5.8571428571428568</v>
          </cell>
          <cell r="Q147">
            <v>9.0713511840272404E-2</v>
          </cell>
        </row>
        <row r="148">
          <cell r="A148">
            <v>7833</v>
          </cell>
          <cell r="B148" t="str">
            <v>NIORT</v>
          </cell>
          <cell r="C148">
            <v>243</v>
          </cell>
          <cell r="D148">
            <v>6</v>
          </cell>
          <cell r="E148">
            <v>12</v>
          </cell>
          <cell r="F148">
            <v>36</v>
          </cell>
          <cell r="G148">
            <v>0.14814814814814814</v>
          </cell>
          <cell r="H148">
            <v>35</v>
          </cell>
          <cell r="I148">
            <v>5</v>
          </cell>
          <cell r="J148">
            <v>128</v>
          </cell>
          <cell r="K148">
            <v>0</v>
          </cell>
          <cell r="L148">
            <v>1</v>
          </cell>
          <cell r="M148">
            <v>7</v>
          </cell>
          <cell r="N148">
            <v>5.46875E-2</v>
          </cell>
          <cell r="O148">
            <v>31</v>
          </cell>
          <cell r="P148">
            <v>4.4285714285714288</v>
          </cell>
          <cell r="Q148">
            <v>0.10141782407407407</v>
          </cell>
        </row>
        <row r="149">
          <cell r="A149">
            <v>7835</v>
          </cell>
          <cell r="B149" t="str">
            <v>SAINT MAIXENT L'ECOLE</v>
          </cell>
          <cell r="C149">
            <v>77</v>
          </cell>
          <cell r="D149">
            <v>0</v>
          </cell>
          <cell r="E149">
            <v>0</v>
          </cell>
          <cell r="F149">
            <v>5</v>
          </cell>
          <cell r="G149">
            <v>6.4935064935064929E-2</v>
          </cell>
          <cell r="H149">
            <v>18</v>
          </cell>
          <cell r="I149">
            <v>2.5714285714285716</v>
          </cell>
          <cell r="J149">
            <v>41</v>
          </cell>
          <cell r="K149">
            <v>0</v>
          </cell>
          <cell r="L149">
            <v>0</v>
          </cell>
          <cell r="M149">
            <v>4</v>
          </cell>
          <cell r="N149">
            <v>9.7560975609756101E-2</v>
          </cell>
          <cell r="O149">
            <v>8</v>
          </cell>
          <cell r="P149">
            <v>1.1428571428571428</v>
          </cell>
          <cell r="Q149">
            <v>8.1248020272410515E-2</v>
          </cell>
        </row>
        <row r="150">
          <cell r="A150">
            <v>7837</v>
          </cell>
          <cell r="B150" t="str">
            <v>MELLE</v>
          </cell>
          <cell r="C150">
            <v>35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11</v>
          </cell>
          <cell r="I150">
            <v>1.5714285714285714</v>
          </cell>
          <cell r="J150">
            <v>13</v>
          </cell>
          <cell r="K150">
            <v>0</v>
          </cell>
          <cell r="L150">
            <v>0</v>
          </cell>
          <cell r="M150">
            <v>1</v>
          </cell>
          <cell r="N150">
            <v>7.6923076923076927E-2</v>
          </cell>
          <cell r="O150">
            <v>3</v>
          </cell>
          <cell r="P150">
            <v>0.42857142857142855</v>
          </cell>
          <cell r="Q150">
            <v>3.8461538461538464E-2</v>
          </cell>
        </row>
        <row r="151">
          <cell r="A151">
            <v>58100</v>
          </cell>
          <cell r="B151" t="str">
            <v>Multisite LA ROCHELLE</v>
          </cell>
          <cell r="C151">
            <v>503</v>
          </cell>
          <cell r="D151">
            <v>0</v>
          </cell>
          <cell r="E151">
            <v>2</v>
          </cell>
          <cell r="F151">
            <v>31</v>
          </cell>
          <cell r="G151">
            <v>6.1630218687872766E-2</v>
          </cell>
          <cell r="H151">
            <v>115</v>
          </cell>
          <cell r="I151">
            <v>16.428571428571427</v>
          </cell>
          <cell r="J151">
            <v>262</v>
          </cell>
          <cell r="K151">
            <v>0</v>
          </cell>
          <cell r="L151">
            <v>1</v>
          </cell>
          <cell r="M151">
            <v>16</v>
          </cell>
          <cell r="N151">
            <v>6.1068702290076333E-2</v>
          </cell>
          <cell r="O151">
            <v>60</v>
          </cell>
          <cell r="P151">
            <v>8.5714285714285712</v>
          </cell>
          <cell r="Q151">
            <v>6.134946048897455E-2</v>
          </cell>
        </row>
        <row r="152">
          <cell r="A152">
            <v>8100</v>
          </cell>
          <cell r="B152" t="str">
            <v>LA ROCHELLE</v>
          </cell>
          <cell r="C152">
            <v>299</v>
          </cell>
          <cell r="D152">
            <v>0</v>
          </cell>
          <cell r="E152">
            <v>0</v>
          </cell>
          <cell r="F152">
            <v>20</v>
          </cell>
          <cell r="G152">
            <v>6.6889632107023408E-2</v>
          </cell>
          <cell r="H152">
            <v>67</v>
          </cell>
          <cell r="I152">
            <v>9.5714285714285712</v>
          </cell>
          <cell r="J152">
            <v>155</v>
          </cell>
          <cell r="K152">
            <v>0</v>
          </cell>
          <cell r="L152">
            <v>0</v>
          </cell>
          <cell r="M152">
            <v>7</v>
          </cell>
          <cell r="N152">
            <v>4.5161290322580643E-2</v>
          </cell>
          <cell r="O152">
            <v>38</v>
          </cell>
          <cell r="P152">
            <v>5.4285714285714288</v>
          </cell>
          <cell r="Q152">
            <v>5.6025461214802022E-2</v>
          </cell>
        </row>
        <row r="153">
          <cell r="A153">
            <v>8146</v>
          </cell>
          <cell r="B153" t="str">
            <v>LA ROCHELLE BEL AIR</v>
          </cell>
          <cell r="C153">
            <v>120</v>
          </cell>
          <cell r="D153">
            <v>0</v>
          </cell>
          <cell r="E153">
            <v>2</v>
          </cell>
          <cell r="F153">
            <v>6</v>
          </cell>
          <cell r="G153">
            <v>0.05</v>
          </cell>
          <cell r="H153">
            <v>29</v>
          </cell>
          <cell r="I153">
            <v>4.1428571428571432</v>
          </cell>
          <cell r="J153">
            <v>62</v>
          </cell>
          <cell r="K153">
            <v>0</v>
          </cell>
          <cell r="L153">
            <v>0</v>
          </cell>
          <cell r="M153">
            <v>2</v>
          </cell>
          <cell r="N153">
            <v>3.2258064516129031E-2</v>
          </cell>
          <cell r="O153">
            <v>16</v>
          </cell>
          <cell r="P153">
            <v>2.2857142857142856</v>
          </cell>
          <cell r="Q153">
            <v>4.1129032258064517E-2</v>
          </cell>
        </row>
        <row r="154">
          <cell r="A154">
            <v>8150</v>
          </cell>
          <cell r="B154" t="str">
            <v>LA ROCHELLE MARCHE</v>
          </cell>
          <cell r="C154">
            <v>84</v>
          </cell>
          <cell r="D154">
            <v>0</v>
          </cell>
          <cell r="E154">
            <v>0</v>
          </cell>
          <cell r="F154">
            <v>5</v>
          </cell>
          <cell r="G154">
            <v>5.9523809523809521E-2</v>
          </cell>
          <cell r="H154">
            <v>20</v>
          </cell>
          <cell r="I154">
            <v>2.8571428571428572</v>
          </cell>
          <cell r="J154">
            <v>45</v>
          </cell>
          <cell r="K154">
            <v>0</v>
          </cell>
          <cell r="L154">
            <v>1</v>
          </cell>
          <cell r="M154">
            <v>7</v>
          </cell>
          <cell r="N154">
            <v>0.15555555555555556</v>
          </cell>
          <cell r="O154">
            <v>7</v>
          </cell>
          <cell r="P154">
            <v>1</v>
          </cell>
          <cell r="Q154">
            <v>0.10753968253968255</v>
          </cell>
        </row>
        <row r="155">
          <cell r="A155">
            <v>58143</v>
          </cell>
          <cell r="B155" t="str">
            <v>Multisite AYTRE</v>
          </cell>
          <cell r="C155">
            <v>320</v>
          </cell>
          <cell r="D155">
            <v>0</v>
          </cell>
          <cell r="E155">
            <v>4</v>
          </cell>
          <cell r="F155">
            <v>36</v>
          </cell>
          <cell r="G155">
            <v>0.1125</v>
          </cell>
          <cell r="H155">
            <v>57</v>
          </cell>
          <cell r="I155">
            <v>8.1428571428571423</v>
          </cell>
          <cell r="J155">
            <v>160</v>
          </cell>
          <cell r="K155">
            <v>0</v>
          </cell>
          <cell r="L155">
            <v>2</v>
          </cell>
          <cell r="M155">
            <v>5</v>
          </cell>
          <cell r="N155">
            <v>3.125E-2</v>
          </cell>
          <cell r="O155">
            <v>42</v>
          </cell>
          <cell r="P155">
            <v>6</v>
          </cell>
          <cell r="Q155">
            <v>7.1874999999999994E-2</v>
          </cell>
        </row>
        <row r="156">
          <cell r="A156">
            <v>8143</v>
          </cell>
          <cell r="B156" t="str">
            <v>AYTRE</v>
          </cell>
          <cell r="C156">
            <v>137</v>
          </cell>
          <cell r="D156">
            <v>0</v>
          </cell>
          <cell r="E156">
            <v>2</v>
          </cell>
          <cell r="F156">
            <v>17</v>
          </cell>
          <cell r="G156">
            <v>0.12408759124087591</v>
          </cell>
          <cell r="H156">
            <v>23</v>
          </cell>
          <cell r="I156">
            <v>3.2857142857142856</v>
          </cell>
          <cell r="J156">
            <v>64</v>
          </cell>
          <cell r="K156">
            <v>0</v>
          </cell>
          <cell r="L156">
            <v>1</v>
          </cell>
          <cell r="M156">
            <v>3</v>
          </cell>
          <cell r="N156">
            <v>4.6875E-2</v>
          </cell>
          <cell r="O156">
            <v>16</v>
          </cell>
          <cell r="P156">
            <v>2.2857142857142856</v>
          </cell>
          <cell r="Q156">
            <v>8.5481295620437964E-2</v>
          </cell>
        </row>
        <row r="157">
          <cell r="A157">
            <v>8145</v>
          </cell>
          <cell r="B157" t="str">
            <v>MARANS</v>
          </cell>
          <cell r="C157">
            <v>58</v>
          </cell>
          <cell r="D157">
            <v>0</v>
          </cell>
          <cell r="E157">
            <v>1</v>
          </cell>
          <cell r="F157">
            <v>8</v>
          </cell>
          <cell r="G157">
            <v>0.13793103448275862</v>
          </cell>
          <cell r="H157">
            <v>9</v>
          </cell>
          <cell r="I157">
            <v>1.2857142857142858</v>
          </cell>
          <cell r="J157">
            <v>30</v>
          </cell>
          <cell r="K157">
            <v>0</v>
          </cell>
          <cell r="L157">
            <v>0</v>
          </cell>
          <cell r="M157">
            <v>1</v>
          </cell>
          <cell r="N157">
            <v>3.3333333333333333E-2</v>
          </cell>
          <cell r="O157">
            <v>8</v>
          </cell>
          <cell r="P157">
            <v>1.1428571428571428</v>
          </cell>
          <cell r="Q157">
            <v>8.5632183908045972E-2</v>
          </cell>
        </row>
        <row r="158">
          <cell r="A158">
            <v>8152</v>
          </cell>
          <cell r="B158" t="str">
            <v>PERIGNY</v>
          </cell>
          <cell r="C158">
            <v>74</v>
          </cell>
          <cell r="D158">
            <v>0</v>
          </cell>
          <cell r="E158">
            <v>1</v>
          </cell>
          <cell r="F158">
            <v>9</v>
          </cell>
          <cell r="G158">
            <v>0.12162162162162163</v>
          </cell>
          <cell r="H158">
            <v>13</v>
          </cell>
          <cell r="I158">
            <v>1.8571428571428572</v>
          </cell>
          <cell r="J158">
            <v>38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12</v>
          </cell>
          <cell r="P158">
            <v>1.7142857142857142</v>
          </cell>
          <cell r="Q158">
            <v>6.0810810810810814E-2</v>
          </cell>
        </row>
        <row r="159">
          <cell r="A159">
            <v>8153</v>
          </cell>
          <cell r="B159" t="str">
            <v>LA ROCHELLE LES MINIMES</v>
          </cell>
          <cell r="C159">
            <v>51</v>
          </cell>
          <cell r="D159">
            <v>0</v>
          </cell>
          <cell r="E159">
            <v>0</v>
          </cell>
          <cell r="F159">
            <v>2</v>
          </cell>
          <cell r="G159">
            <v>3.9215686274509803E-2</v>
          </cell>
          <cell r="H159">
            <v>13</v>
          </cell>
          <cell r="I159">
            <v>1.8571428571428572</v>
          </cell>
          <cell r="J159">
            <v>28</v>
          </cell>
          <cell r="K159">
            <v>0</v>
          </cell>
          <cell r="L159">
            <v>1</v>
          </cell>
          <cell r="M159">
            <v>1</v>
          </cell>
          <cell r="N159">
            <v>3.5714285714285712E-2</v>
          </cell>
          <cell r="O159">
            <v>8</v>
          </cell>
          <cell r="P159">
            <v>1.1428571428571428</v>
          </cell>
          <cell r="Q159">
            <v>3.7464985994397758E-2</v>
          </cell>
        </row>
        <row r="160">
          <cell r="A160">
            <v>8148</v>
          </cell>
          <cell r="B160" t="str">
            <v>SAINT MARTIN DE RE</v>
          </cell>
          <cell r="C160">
            <v>86</v>
          </cell>
          <cell r="D160">
            <v>0</v>
          </cell>
          <cell r="E160">
            <v>0</v>
          </cell>
          <cell r="F160">
            <v>6</v>
          </cell>
          <cell r="G160">
            <v>6.9767441860465115E-2</v>
          </cell>
          <cell r="H160">
            <v>19</v>
          </cell>
          <cell r="I160">
            <v>2.7142857142857144</v>
          </cell>
          <cell r="J160">
            <v>41</v>
          </cell>
          <cell r="K160">
            <v>1</v>
          </cell>
          <cell r="L160">
            <v>1</v>
          </cell>
          <cell r="M160">
            <v>1</v>
          </cell>
          <cell r="N160">
            <v>2.4390243902439025E-2</v>
          </cell>
          <cell r="O160">
            <v>11</v>
          </cell>
          <cell r="P160">
            <v>1.5714285714285714</v>
          </cell>
          <cell r="Q160">
            <v>4.7078842881452074E-2</v>
          </cell>
        </row>
        <row r="161">
          <cell r="A161">
            <v>43816</v>
          </cell>
          <cell r="B161" t="str">
            <v>DGA CHARENTE MARITIME SUD</v>
          </cell>
          <cell r="C161">
            <v>994</v>
          </cell>
          <cell r="D161">
            <v>4</v>
          </cell>
          <cell r="E161">
            <v>15</v>
          </cell>
          <cell r="F161">
            <v>89</v>
          </cell>
          <cell r="G161">
            <v>8.9537223340040245E-2</v>
          </cell>
          <cell r="H161">
            <v>200</v>
          </cell>
          <cell r="I161">
            <v>28.571428571428573</v>
          </cell>
          <cell r="J161">
            <v>450</v>
          </cell>
          <cell r="K161">
            <v>5</v>
          </cell>
          <cell r="L161">
            <v>12</v>
          </cell>
          <cell r="M161">
            <v>41</v>
          </cell>
          <cell r="N161">
            <v>9.1111111111111115E-2</v>
          </cell>
          <cell r="O161">
            <v>90</v>
          </cell>
          <cell r="P161">
            <v>12.857142857142858</v>
          </cell>
          <cell r="Q161">
            <v>9.032416722557568E-2</v>
          </cell>
        </row>
        <row r="162">
          <cell r="A162">
            <v>8131</v>
          </cell>
          <cell r="B162" t="str">
            <v>JONZAC</v>
          </cell>
          <cell r="C162">
            <v>100</v>
          </cell>
          <cell r="D162">
            <v>0</v>
          </cell>
          <cell r="E162">
            <v>1</v>
          </cell>
          <cell r="F162">
            <v>6</v>
          </cell>
          <cell r="G162">
            <v>0.06</v>
          </cell>
          <cell r="H162">
            <v>23</v>
          </cell>
          <cell r="I162">
            <v>3.2857142857142856</v>
          </cell>
          <cell r="J162">
            <v>43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13</v>
          </cell>
          <cell r="P162">
            <v>1.8571428571428572</v>
          </cell>
          <cell r="Q162">
            <v>0.03</v>
          </cell>
        </row>
        <row r="163">
          <cell r="A163">
            <v>58134</v>
          </cell>
          <cell r="B163" t="str">
            <v>Multisite ROCHEFORT SUR MER</v>
          </cell>
          <cell r="C163">
            <v>352</v>
          </cell>
          <cell r="D163">
            <v>3</v>
          </cell>
          <cell r="E163">
            <v>8</v>
          </cell>
          <cell r="F163">
            <v>35</v>
          </cell>
          <cell r="G163">
            <v>9.9431818181818177E-2</v>
          </cell>
          <cell r="H163">
            <v>68</v>
          </cell>
          <cell r="I163">
            <v>9.7142857142857135</v>
          </cell>
          <cell r="J163">
            <v>161</v>
          </cell>
          <cell r="K163">
            <v>1</v>
          </cell>
          <cell r="L163">
            <v>4</v>
          </cell>
          <cell r="M163">
            <v>16</v>
          </cell>
          <cell r="N163">
            <v>9.9378881987577633E-2</v>
          </cell>
          <cell r="O163">
            <v>31</v>
          </cell>
          <cell r="P163">
            <v>4.4285714285714288</v>
          </cell>
          <cell r="Q163">
            <v>9.9405350084697905E-2</v>
          </cell>
        </row>
        <row r="164">
          <cell r="A164">
            <v>8134</v>
          </cell>
          <cell r="B164" t="str">
            <v>ROCHEFORT SUR MER</v>
          </cell>
          <cell r="C164">
            <v>198</v>
          </cell>
          <cell r="D164">
            <v>3</v>
          </cell>
          <cell r="E164">
            <v>8</v>
          </cell>
          <cell r="F164">
            <v>27</v>
          </cell>
          <cell r="G164">
            <v>0.13636363636363635</v>
          </cell>
          <cell r="H164">
            <v>31</v>
          </cell>
          <cell r="I164">
            <v>4.4285714285714288</v>
          </cell>
          <cell r="J164">
            <v>92</v>
          </cell>
          <cell r="K164">
            <v>1</v>
          </cell>
          <cell r="L164">
            <v>3</v>
          </cell>
          <cell r="M164">
            <v>11</v>
          </cell>
          <cell r="N164">
            <v>0.11956521739130435</v>
          </cell>
          <cell r="O164">
            <v>16</v>
          </cell>
          <cell r="P164">
            <v>2.2857142857142856</v>
          </cell>
          <cell r="Q164">
            <v>0.12796442687747034</v>
          </cell>
        </row>
        <row r="165">
          <cell r="A165">
            <v>8137</v>
          </cell>
          <cell r="B165" t="str">
            <v>SURGERES</v>
          </cell>
          <cell r="C165">
            <v>84</v>
          </cell>
          <cell r="D165">
            <v>0</v>
          </cell>
          <cell r="E165">
            <v>0</v>
          </cell>
          <cell r="F165">
            <v>5</v>
          </cell>
          <cell r="G165">
            <v>5.9523809523809521E-2</v>
          </cell>
          <cell r="H165">
            <v>20</v>
          </cell>
          <cell r="I165">
            <v>2.8571428571428572</v>
          </cell>
          <cell r="J165">
            <v>39</v>
          </cell>
          <cell r="K165">
            <v>0</v>
          </cell>
          <cell r="L165">
            <v>0</v>
          </cell>
          <cell r="M165">
            <v>4</v>
          </cell>
          <cell r="N165">
            <v>0.10256410256410256</v>
          </cell>
          <cell r="O165">
            <v>8</v>
          </cell>
          <cell r="P165">
            <v>1.1428571428571428</v>
          </cell>
          <cell r="Q165">
            <v>8.1043956043956034E-2</v>
          </cell>
        </row>
        <row r="166">
          <cell r="A166">
            <v>8142</v>
          </cell>
          <cell r="B166" t="str">
            <v>SAINT PIERRE D'OLERON</v>
          </cell>
          <cell r="C166">
            <v>70</v>
          </cell>
          <cell r="D166">
            <v>0</v>
          </cell>
          <cell r="E166">
            <v>0</v>
          </cell>
          <cell r="F166">
            <v>3</v>
          </cell>
          <cell r="G166">
            <v>4.2857142857142858E-2</v>
          </cell>
          <cell r="H166">
            <v>18</v>
          </cell>
          <cell r="I166">
            <v>2.5714285714285716</v>
          </cell>
          <cell r="J166">
            <v>30</v>
          </cell>
          <cell r="K166">
            <v>0</v>
          </cell>
          <cell r="L166">
            <v>1</v>
          </cell>
          <cell r="M166">
            <v>1</v>
          </cell>
          <cell r="N166">
            <v>3.3333333333333333E-2</v>
          </cell>
          <cell r="O166">
            <v>8</v>
          </cell>
          <cell r="P166">
            <v>1.1428571428571428</v>
          </cell>
          <cell r="Q166">
            <v>3.8095238095238099E-2</v>
          </cell>
        </row>
        <row r="167">
          <cell r="A167">
            <v>58135</v>
          </cell>
          <cell r="B167" t="str">
            <v>Multisite SAINTES</v>
          </cell>
          <cell r="C167">
            <v>173</v>
          </cell>
          <cell r="D167">
            <v>0</v>
          </cell>
          <cell r="E167">
            <v>2</v>
          </cell>
          <cell r="F167">
            <v>18</v>
          </cell>
          <cell r="G167">
            <v>0.10404624277456648</v>
          </cell>
          <cell r="H167">
            <v>33</v>
          </cell>
          <cell r="I167">
            <v>4.7142857142857144</v>
          </cell>
          <cell r="J167">
            <v>76</v>
          </cell>
          <cell r="K167">
            <v>2</v>
          </cell>
          <cell r="L167">
            <v>4</v>
          </cell>
          <cell r="M167">
            <v>14</v>
          </cell>
          <cell r="N167">
            <v>0.18421052631578946</v>
          </cell>
          <cell r="O167">
            <v>9</v>
          </cell>
          <cell r="P167">
            <v>1.2857142857142858</v>
          </cell>
          <cell r="Q167">
            <v>0.14412838454517796</v>
          </cell>
        </row>
        <row r="168">
          <cell r="A168">
            <v>8135</v>
          </cell>
          <cell r="B168" t="str">
            <v>SAINTES</v>
          </cell>
          <cell r="C168">
            <v>97</v>
          </cell>
          <cell r="D168">
            <v>0</v>
          </cell>
          <cell r="E168">
            <v>2</v>
          </cell>
          <cell r="F168">
            <v>12</v>
          </cell>
          <cell r="G168">
            <v>0.12371134020618557</v>
          </cell>
          <cell r="H168">
            <v>17</v>
          </cell>
          <cell r="I168">
            <v>2.4285714285714284</v>
          </cell>
          <cell r="J168">
            <v>43</v>
          </cell>
          <cell r="K168">
            <v>1</v>
          </cell>
          <cell r="L168">
            <v>3</v>
          </cell>
          <cell r="M168">
            <v>8</v>
          </cell>
          <cell r="N168">
            <v>0.18604651162790697</v>
          </cell>
          <cell r="O168">
            <v>5</v>
          </cell>
          <cell r="P168">
            <v>0.7142857142857143</v>
          </cell>
          <cell r="Q168">
            <v>0.15487892591704627</v>
          </cell>
        </row>
        <row r="169">
          <cell r="A169">
            <v>8160</v>
          </cell>
          <cell r="B169" t="str">
            <v>SAINTES RECOUVRANCE</v>
          </cell>
          <cell r="C169">
            <v>76</v>
          </cell>
          <cell r="D169">
            <v>0</v>
          </cell>
          <cell r="E169">
            <v>0</v>
          </cell>
          <cell r="F169">
            <v>6</v>
          </cell>
          <cell r="G169">
            <v>7.8947368421052627E-2</v>
          </cell>
          <cell r="H169">
            <v>17</v>
          </cell>
          <cell r="I169">
            <v>2.4285714285714284</v>
          </cell>
          <cell r="J169">
            <v>33</v>
          </cell>
          <cell r="K169">
            <v>1</v>
          </cell>
          <cell r="L169">
            <v>1</v>
          </cell>
          <cell r="M169">
            <v>6</v>
          </cell>
          <cell r="N169">
            <v>0.18181818181818182</v>
          </cell>
          <cell r="O169">
            <v>4</v>
          </cell>
          <cell r="P169">
            <v>0.5714285714285714</v>
          </cell>
          <cell r="Q169">
            <v>0.13038277511961721</v>
          </cell>
        </row>
        <row r="170">
          <cell r="A170">
            <v>8136</v>
          </cell>
          <cell r="B170" t="str">
            <v>SAINT JEAN D'ANGELY</v>
          </cell>
          <cell r="C170">
            <v>99</v>
          </cell>
          <cell r="D170">
            <v>1</v>
          </cell>
          <cell r="E170">
            <v>4</v>
          </cell>
          <cell r="F170">
            <v>14</v>
          </cell>
          <cell r="G170">
            <v>0.14141414141414141</v>
          </cell>
          <cell r="H170">
            <v>15</v>
          </cell>
          <cell r="I170">
            <v>2.1428571428571428</v>
          </cell>
          <cell r="J170">
            <v>43</v>
          </cell>
          <cell r="K170">
            <v>2</v>
          </cell>
          <cell r="L170">
            <v>2</v>
          </cell>
          <cell r="M170">
            <v>3</v>
          </cell>
          <cell r="N170">
            <v>6.9767441860465115E-2</v>
          </cell>
          <cell r="O170">
            <v>10</v>
          </cell>
          <cell r="P170">
            <v>1.4285714285714286</v>
          </cell>
          <cell r="Q170">
            <v>0.10559079163730326</v>
          </cell>
        </row>
        <row r="171">
          <cell r="A171">
            <v>8139</v>
          </cell>
          <cell r="B171" t="str">
            <v>MATHA</v>
          </cell>
          <cell r="C171">
            <v>61</v>
          </cell>
          <cell r="D171">
            <v>0</v>
          </cell>
          <cell r="E171">
            <v>0</v>
          </cell>
          <cell r="F171">
            <v>3</v>
          </cell>
          <cell r="G171">
            <v>4.9180327868852458E-2</v>
          </cell>
          <cell r="H171">
            <v>15</v>
          </cell>
          <cell r="I171">
            <v>2.1428571428571428</v>
          </cell>
          <cell r="J171">
            <v>27</v>
          </cell>
          <cell r="K171">
            <v>0</v>
          </cell>
          <cell r="L171">
            <v>0</v>
          </cell>
          <cell r="M171">
            <v>2</v>
          </cell>
          <cell r="N171">
            <v>7.407407407407407E-2</v>
          </cell>
          <cell r="O171">
            <v>6</v>
          </cell>
          <cell r="P171">
            <v>0.8571428571428571</v>
          </cell>
          <cell r="Q171">
            <v>6.1627200971463264E-2</v>
          </cell>
        </row>
        <row r="172">
          <cell r="A172">
            <v>8140</v>
          </cell>
          <cell r="B172" t="str">
            <v>ROYAN</v>
          </cell>
          <cell r="C172">
            <v>229</v>
          </cell>
          <cell r="D172">
            <v>0</v>
          </cell>
          <cell r="E172">
            <v>0</v>
          </cell>
          <cell r="F172">
            <v>13</v>
          </cell>
          <cell r="G172">
            <v>5.6768558951965066E-2</v>
          </cell>
          <cell r="H172">
            <v>54</v>
          </cell>
          <cell r="I172">
            <v>7.7142857142857144</v>
          </cell>
          <cell r="J172">
            <v>100</v>
          </cell>
          <cell r="K172">
            <v>0</v>
          </cell>
          <cell r="L172">
            <v>2</v>
          </cell>
          <cell r="M172">
            <v>6</v>
          </cell>
          <cell r="N172">
            <v>0.06</v>
          </cell>
          <cell r="O172">
            <v>23</v>
          </cell>
          <cell r="P172">
            <v>3.2857142857142856</v>
          </cell>
          <cell r="Q172">
            <v>5.8384279475982528E-2</v>
          </cell>
        </row>
        <row r="173">
          <cell r="A173">
            <v>43874</v>
          </cell>
          <cell r="B173" t="str">
            <v>DGA CHARENTE</v>
          </cell>
          <cell r="C173">
            <v>1052</v>
          </cell>
          <cell r="D173">
            <v>7</v>
          </cell>
          <cell r="E173">
            <v>21</v>
          </cell>
          <cell r="F173">
            <v>126</v>
          </cell>
          <cell r="G173">
            <v>0.11977186311787072</v>
          </cell>
          <cell r="H173">
            <v>180</v>
          </cell>
          <cell r="I173">
            <v>25.714285714285715</v>
          </cell>
          <cell r="J173">
            <v>546</v>
          </cell>
          <cell r="K173">
            <v>4</v>
          </cell>
          <cell r="L173">
            <v>17</v>
          </cell>
          <cell r="M173">
            <v>63</v>
          </cell>
          <cell r="N173">
            <v>0.11538461538461539</v>
          </cell>
          <cell r="O173">
            <v>96</v>
          </cell>
          <cell r="P173">
            <v>13.714285714285714</v>
          </cell>
          <cell r="Q173">
            <v>0.11757823925124306</v>
          </cell>
        </row>
        <row r="174">
          <cell r="A174">
            <v>55200</v>
          </cell>
          <cell r="B174" t="str">
            <v>Multisite ANGOULEME</v>
          </cell>
          <cell r="C174">
            <v>366</v>
          </cell>
          <cell r="D174">
            <v>4</v>
          </cell>
          <cell r="E174">
            <v>9</v>
          </cell>
          <cell r="F174">
            <v>45</v>
          </cell>
          <cell r="G174">
            <v>0.12295081967213115</v>
          </cell>
          <cell r="H174">
            <v>62</v>
          </cell>
          <cell r="I174">
            <v>8.8571428571428577</v>
          </cell>
          <cell r="J174">
            <v>174</v>
          </cell>
          <cell r="K174">
            <v>0</v>
          </cell>
          <cell r="L174">
            <v>5</v>
          </cell>
          <cell r="M174">
            <v>17</v>
          </cell>
          <cell r="N174">
            <v>9.7701149425287362E-2</v>
          </cell>
          <cell r="O174">
            <v>34</v>
          </cell>
          <cell r="P174">
            <v>4.8571428571428568</v>
          </cell>
          <cell r="Q174">
            <v>0.11032598454870926</v>
          </cell>
        </row>
        <row r="175">
          <cell r="A175">
            <v>5200</v>
          </cell>
          <cell r="B175" t="str">
            <v>ANGOULEME</v>
          </cell>
          <cell r="C175">
            <v>276</v>
          </cell>
          <cell r="D175">
            <v>4</v>
          </cell>
          <cell r="E175">
            <v>9</v>
          </cell>
          <cell r="F175">
            <v>41</v>
          </cell>
          <cell r="G175">
            <v>0.14855072463768115</v>
          </cell>
          <cell r="H175">
            <v>40</v>
          </cell>
          <cell r="I175">
            <v>5.7142857142857144</v>
          </cell>
          <cell r="J175">
            <v>119</v>
          </cell>
          <cell r="K175">
            <v>0</v>
          </cell>
          <cell r="L175">
            <v>4</v>
          </cell>
          <cell r="M175">
            <v>14</v>
          </cell>
          <cell r="N175">
            <v>0.11764705882352941</v>
          </cell>
          <cell r="O175">
            <v>21</v>
          </cell>
          <cell r="P175">
            <v>3</v>
          </cell>
          <cell r="Q175">
            <v>0.1330988917306053</v>
          </cell>
        </row>
        <row r="176">
          <cell r="A176">
            <v>5237</v>
          </cell>
          <cell r="B176" t="str">
            <v>RUELLE</v>
          </cell>
          <cell r="C176">
            <v>90</v>
          </cell>
          <cell r="D176">
            <v>0</v>
          </cell>
          <cell r="E176">
            <v>0</v>
          </cell>
          <cell r="F176">
            <v>4</v>
          </cell>
          <cell r="G176">
            <v>4.4444444444444446E-2</v>
          </cell>
          <cell r="H176">
            <v>23</v>
          </cell>
          <cell r="I176">
            <v>3.2857142857142856</v>
          </cell>
          <cell r="J176">
            <v>55</v>
          </cell>
          <cell r="K176">
            <v>0</v>
          </cell>
          <cell r="L176">
            <v>1</v>
          </cell>
          <cell r="M176">
            <v>3</v>
          </cell>
          <cell r="N176">
            <v>5.4545454545454543E-2</v>
          </cell>
          <cell r="O176">
            <v>13</v>
          </cell>
          <cell r="P176">
            <v>1.8571428571428572</v>
          </cell>
          <cell r="Q176">
            <v>4.9494949494949494E-2</v>
          </cell>
        </row>
        <row r="177">
          <cell r="A177">
            <v>5243</v>
          </cell>
          <cell r="B177" t="str">
            <v>ANGOULEME SAINT CYBARD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</row>
        <row r="178">
          <cell r="A178">
            <v>5231</v>
          </cell>
          <cell r="B178" t="str">
            <v>BARBEZIEUX</v>
          </cell>
          <cell r="C178">
            <v>79</v>
          </cell>
          <cell r="D178">
            <v>0</v>
          </cell>
          <cell r="E178">
            <v>2</v>
          </cell>
          <cell r="F178">
            <v>8</v>
          </cell>
          <cell r="G178">
            <v>0.10126582278481013</v>
          </cell>
          <cell r="H178">
            <v>15</v>
          </cell>
          <cell r="I178">
            <v>2.1428571428571428</v>
          </cell>
          <cell r="J178">
            <v>42</v>
          </cell>
          <cell r="K178">
            <v>0</v>
          </cell>
          <cell r="L178">
            <v>2</v>
          </cell>
          <cell r="M178">
            <v>4</v>
          </cell>
          <cell r="N178">
            <v>9.5238095238095233E-2</v>
          </cell>
          <cell r="O178">
            <v>9</v>
          </cell>
          <cell r="P178">
            <v>1.2857142857142858</v>
          </cell>
          <cell r="Q178">
            <v>9.8251959011452672E-2</v>
          </cell>
        </row>
        <row r="179">
          <cell r="A179">
            <v>5234</v>
          </cell>
          <cell r="B179" t="str">
            <v>RUFFEC</v>
          </cell>
          <cell r="C179">
            <v>113</v>
          </cell>
          <cell r="D179">
            <v>3</v>
          </cell>
          <cell r="E179">
            <v>3</v>
          </cell>
          <cell r="F179">
            <v>22</v>
          </cell>
          <cell r="G179">
            <v>0.19469026548672566</v>
          </cell>
          <cell r="H179">
            <v>11</v>
          </cell>
          <cell r="I179">
            <v>1.5714285714285714</v>
          </cell>
          <cell r="J179">
            <v>65</v>
          </cell>
          <cell r="K179">
            <v>2</v>
          </cell>
          <cell r="L179">
            <v>4</v>
          </cell>
          <cell r="M179">
            <v>9</v>
          </cell>
          <cell r="N179">
            <v>0.13846153846153847</v>
          </cell>
          <cell r="O179">
            <v>10</v>
          </cell>
          <cell r="P179">
            <v>1.4285714285714286</v>
          </cell>
          <cell r="Q179">
            <v>0.16657590197413208</v>
          </cell>
        </row>
        <row r="180">
          <cell r="A180">
            <v>5236</v>
          </cell>
          <cell r="B180" t="str">
            <v>ANGOULEME VICTOR HUGO</v>
          </cell>
          <cell r="C180">
            <v>148</v>
          </cell>
          <cell r="D180">
            <v>0</v>
          </cell>
          <cell r="E180">
            <v>1</v>
          </cell>
          <cell r="F180">
            <v>5</v>
          </cell>
          <cell r="G180">
            <v>3.3783783783783786E-2</v>
          </cell>
          <cell r="H180">
            <v>38</v>
          </cell>
          <cell r="I180">
            <v>5.4285714285714288</v>
          </cell>
          <cell r="J180">
            <v>77</v>
          </cell>
          <cell r="K180">
            <v>2</v>
          </cell>
          <cell r="L180">
            <v>3</v>
          </cell>
          <cell r="M180">
            <v>9</v>
          </cell>
          <cell r="N180">
            <v>0.11688311688311688</v>
          </cell>
          <cell r="O180">
            <v>14</v>
          </cell>
          <cell r="P180">
            <v>2</v>
          </cell>
          <cell r="Q180">
            <v>7.5333450333450333E-2</v>
          </cell>
        </row>
        <row r="181">
          <cell r="A181">
            <v>58138</v>
          </cell>
          <cell r="B181" t="str">
            <v>Multisite COGNAC</v>
          </cell>
          <cell r="C181">
            <v>365</v>
          </cell>
          <cell r="D181">
            <v>0</v>
          </cell>
          <cell r="E181">
            <v>6</v>
          </cell>
          <cell r="F181">
            <v>46</v>
          </cell>
          <cell r="G181">
            <v>0.12602739726027398</v>
          </cell>
          <cell r="H181">
            <v>60</v>
          </cell>
          <cell r="I181">
            <v>8.5714285714285712</v>
          </cell>
          <cell r="J181">
            <v>188</v>
          </cell>
          <cell r="K181">
            <v>0</v>
          </cell>
          <cell r="L181">
            <v>3</v>
          </cell>
          <cell r="M181">
            <v>24</v>
          </cell>
          <cell r="N181">
            <v>0.1276595744680851</v>
          </cell>
          <cell r="O181">
            <v>31</v>
          </cell>
          <cell r="P181">
            <v>4.4285714285714288</v>
          </cell>
          <cell r="Q181">
            <v>0.12684348586417954</v>
          </cell>
        </row>
        <row r="182">
          <cell r="A182">
            <v>5232</v>
          </cell>
          <cell r="B182" t="str">
            <v>JARNAC</v>
          </cell>
          <cell r="C182">
            <v>74</v>
          </cell>
          <cell r="D182">
            <v>0</v>
          </cell>
          <cell r="E182">
            <v>0</v>
          </cell>
          <cell r="F182">
            <v>13</v>
          </cell>
          <cell r="G182">
            <v>0.17567567567567569</v>
          </cell>
          <cell r="H182">
            <v>9</v>
          </cell>
          <cell r="I182">
            <v>1.2857142857142858</v>
          </cell>
          <cell r="J182">
            <v>41</v>
          </cell>
          <cell r="K182">
            <v>0</v>
          </cell>
          <cell r="L182">
            <v>0</v>
          </cell>
          <cell r="M182">
            <v>6</v>
          </cell>
          <cell r="N182">
            <v>0.14634146341463414</v>
          </cell>
          <cell r="O182">
            <v>6</v>
          </cell>
          <cell r="P182">
            <v>0.8571428571428571</v>
          </cell>
          <cell r="Q182">
            <v>0.16100856954515491</v>
          </cell>
        </row>
        <row r="183">
          <cell r="A183">
            <v>5240</v>
          </cell>
          <cell r="B183" t="str">
            <v>ROUILLAC</v>
          </cell>
          <cell r="C183">
            <v>64</v>
          </cell>
          <cell r="D183">
            <v>0</v>
          </cell>
          <cell r="E183">
            <v>2</v>
          </cell>
          <cell r="F183">
            <v>12</v>
          </cell>
          <cell r="G183">
            <v>0.1875</v>
          </cell>
          <cell r="H183">
            <v>7</v>
          </cell>
          <cell r="I183">
            <v>1</v>
          </cell>
          <cell r="J183">
            <v>36</v>
          </cell>
          <cell r="K183">
            <v>0</v>
          </cell>
          <cell r="L183">
            <v>1</v>
          </cell>
          <cell r="M183">
            <v>9</v>
          </cell>
          <cell r="N183">
            <v>0.25</v>
          </cell>
          <cell r="O183">
            <v>2</v>
          </cell>
          <cell r="P183">
            <v>0.2857142857142857</v>
          </cell>
          <cell r="Q183">
            <v>0.21875</v>
          </cell>
        </row>
        <row r="184">
          <cell r="A184">
            <v>8138</v>
          </cell>
          <cell r="B184" t="str">
            <v>COGNAC</v>
          </cell>
          <cell r="C184">
            <v>227</v>
          </cell>
          <cell r="D184">
            <v>0</v>
          </cell>
          <cell r="E184">
            <v>4</v>
          </cell>
          <cell r="F184">
            <v>21</v>
          </cell>
          <cell r="G184">
            <v>9.2511013215859028E-2</v>
          </cell>
          <cell r="H184">
            <v>45</v>
          </cell>
          <cell r="I184">
            <v>6.4285714285714288</v>
          </cell>
          <cell r="J184">
            <v>111</v>
          </cell>
          <cell r="K184">
            <v>0</v>
          </cell>
          <cell r="L184">
            <v>2</v>
          </cell>
          <cell r="M184">
            <v>9</v>
          </cell>
          <cell r="N184">
            <v>8.1081081081081086E-2</v>
          </cell>
          <cell r="O184">
            <v>24</v>
          </cell>
          <cell r="P184">
            <v>3.4285714285714284</v>
          </cell>
          <cell r="Q184">
            <v>8.6796047148470057E-2</v>
          </cell>
        </row>
        <row r="185">
          <cell r="A185">
            <v>43747</v>
          </cell>
          <cell r="B185" t="str">
            <v>DGA DORDOGNE</v>
          </cell>
          <cell r="C185">
            <v>856</v>
          </cell>
          <cell r="D185">
            <v>9</v>
          </cell>
          <cell r="E185">
            <v>19</v>
          </cell>
          <cell r="F185">
            <v>65</v>
          </cell>
          <cell r="G185">
            <v>7.5934579439252331E-2</v>
          </cell>
          <cell r="H185">
            <v>184</v>
          </cell>
          <cell r="I185">
            <v>26.285714285714285</v>
          </cell>
          <cell r="J185">
            <v>465</v>
          </cell>
          <cell r="K185">
            <v>1</v>
          </cell>
          <cell r="L185">
            <v>7</v>
          </cell>
          <cell r="M185">
            <v>35</v>
          </cell>
          <cell r="N185">
            <v>7.5268817204301078E-2</v>
          </cell>
          <cell r="O185">
            <v>100</v>
          </cell>
          <cell r="P185">
            <v>14.285714285714286</v>
          </cell>
          <cell r="Q185">
            <v>7.5601698321776711E-2</v>
          </cell>
        </row>
        <row r="186">
          <cell r="A186">
            <v>5233</v>
          </cell>
          <cell r="B186" t="str">
            <v>PERIGUEUX</v>
          </cell>
          <cell r="C186">
            <v>336</v>
          </cell>
          <cell r="D186">
            <v>5</v>
          </cell>
          <cell r="E186">
            <v>6</v>
          </cell>
          <cell r="F186">
            <v>26</v>
          </cell>
          <cell r="G186">
            <v>7.7380952380952384E-2</v>
          </cell>
          <cell r="H186">
            <v>72</v>
          </cell>
          <cell r="I186">
            <v>10.285714285714286</v>
          </cell>
          <cell r="J186">
            <v>180</v>
          </cell>
          <cell r="K186">
            <v>1</v>
          </cell>
          <cell r="L186">
            <v>1</v>
          </cell>
          <cell r="M186">
            <v>7</v>
          </cell>
          <cell r="N186">
            <v>3.888888888888889E-2</v>
          </cell>
          <cell r="O186">
            <v>46</v>
          </cell>
          <cell r="P186">
            <v>6.5714285714285712</v>
          </cell>
          <cell r="Q186">
            <v>5.8134920634920637E-2</v>
          </cell>
        </row>
        <row r="187">
          <cell r="A187">
            <v>55235</v>
          </cell>
          <cell r="B187" t="str">
            <v>Multisite BERGERAC</v>
          </cell>
          <cell r="C187">
            <v>341</v>
          </cell>
          <cell r="D187">
            <v>3</v>
          </cell>
          <cell r="E187">
            <v>8</v>
          </cell>
          <cell r="F187">
            <v>26</v>
          </cell>
          <cell r="G187">
            <v>7.6246334310850442E-2</v>
          </cell>
          <cell r="H187">
            <v>73</v>
          </cell>
          <cell r="I187">
            <v>10.428571428571429</v>
          </cell>
          <cell r="J187">
            <v>178</v>
          </cell>
          <cell r="K187">
            <v>0</v>
          </cell>
          <cell r="L187">
            <v>2</v>
          </cell>
          <cell r="M187">
            <v>21</v>
          </cell>
          <cell r="N187">
            <v>0.11797752808988764</v>
          </cell>
          <cell r="O187">
            <v>31</v>
          </cell>
          <cell r="P187">
            <v>4.4285714285714288</v>
          </cell>
          <cell r="Q187">
            <v>9.7111931200369039E-2</v>
          </cell>
        </row>
        <row r="188">
          <cell r="A188">
            <v>1849</v>
          </cell>
          <cell r="B188" t="str">
            <v>STE FOY LA GRANDE</v>
          </cell>
          <cell r="C188">
            <v>104</v>
          </cell>
          <cell r="D188">
            <v>1</v>
          </cell>
          <cell r="E188">
            <v>2</v>
          </cell>
          <cell r="F188">
            <v>8</v>
          </cell>
          <cell r="G188">
            <v>7.6923076923076927E-2</v>
          </cell>
          <cell r="H188">
            <v>23</v>
          </cell>
          <cell r="I188">
            <v>3.2857142857142856</v>
          </cell>
          <cell r="J188">
            <v>52</v>
          </cell>
          <cell r="K188">
            <v>0</v>
          </cell>
          <cell r="L188">
            <v>2</v>
          </cell>
          <cell r="M188">
            <v>11</v>
          </cell>
          <cell r="N188">
            <v>0.21153846153846154</v>
          </cell>
          <cell r="O188">
            <v>5</v>
          </cell>
          <cell r="P188">
            <v>0.7142857142857143</v>
          </cell>
          <cell r="Q188">
            <v>0.14423076923076922</v>
          </cell>
        </row>
        <row r="189">
          <cell r="A189">
            <v>5235</v>
          </cell>
          <cell r="B189" t="str">
            <v>BERGERAC</v>
          </cell>
          <cell r="C189">
            <v>180</v>
          </cell>
          <cell r="D189">
            <v>2</v>
          </cell>
          <cell r="E189">
            <v>6</v>
          </cell>
          <cell r="F189">
            <v>15</v>
          </cell>
          <cell r="G189">
            <v>8.3333333333333329E-2</v>
          </cell>
          <cell r="H189">
            <v>38</v>
          </cell>
          <cell r="I189">
            <v>5.4285714285714288</v>
          </cell>
          <cell r="J189">
            <v>101</v>
          </cell>
          <cell r="K189">
            <v>0</v>
          </cell>
          <cell r="L189">
            <v>0</v>
          </cell>
          <cell r="M189">
            <v>10</v>
          </cell>
          <cell r="N189">
            <v>9.9009900990099015E-2</v>
          </cell>
          <cell r="O189">
            <v>20</v>
          </cell>
          <cell r="P189">
            <v>2.8571428571428572</v>
          </cell>
          <cell r="Q189">
            <v>9.1171617161716179E-2</v>
          </cell>
        </row>
        <row r="190">
          <cell r="A190">
            <v>5239</v>
          </cell>
          <cell r="B190" t="str">
            <v>MUSSIDAN</v>
          </cell>
          <cell r="C190">
            <v>57</v>
          </cell>
          <cell r="D190">
            <v>0</v>
          </cell>
          <cell r="E190">
            <v>0</v>
          </cell>
          <cell r="F190">
            <v>3</v>
          </cell>
          <cell r="G190">
            <v>5.2631578947368418E-2</v>
          </cell>
          <cell r="H190">
            <v>14</v>
          </cell>
          <cell r="I190">
            <v>2</v>
          </cell>
          <cell r="J190">
            <v>25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8</v>
          </cell>
          <cell r="P190">
            <v>1.1428571428571428</v>
          </cell>
          <cell r="Q190">
            <v>2.6315789473684209E-2</v>
          </cell>
        </row>
        <row r="191">
          <cell r="A191">
            <v>5238</v>
          </cell>
          <cell r="B191" t="str">
            <v>SARLAT</v>
          </cell>
          <cell r="C191">
            <v>99</v>
          </cell>
          <cell r="D191">
            <v>1</v>
          </cell>
          <cell r="E191">
            <v>3</v>
          </cell>
          <cell r="F191">
            <v>10</v>
          </cell>
          <cell r="G191">
            <v>0.10101010101010101</v>
          </cell>
          <cell r="H191">
            <v>19</v>
          </cell>
          <cell r="I191">
            <v>2.7142857142857144</v>
          </cell>
          <cell r="J191">
            <v>56</v>
          </cell>
          <cell r="K191">
            <v>0</v>
          </cell>
          <cell r="L191">
            <v>1</v>
          </cell>
          <cell r="M191">
            <v>2</v>
          </cell>
          <cell r="N191">
            <v>3.5714285714285712E-2</v>
          </cell>
          <cell r="O191">
            <v>15</v>
          </cell>
          <cell r="P191">
            <v>2.1428571428571428</v>
          </cell>
          <cell r="Q191">
            <v>6.836219336219336E-2</v>
          </cell>
        </row>
        <row r="192">
          <cell r="A192">
            <v>5241</v>
          </cell>
          <cell r="B192" t="str">
            <v>NONTRON</v>
          </cell>
          <cell r="C192">
            <v>98</v>
          </cell>
          <cell r="D192">
            <v>0</v>
          </cell>
          <cell r="E192">
            <v>2</v>
          </cell>
          <cell r="F192">
            <v>3</v>
          </cell>
          <cell r="G192">
            <v>3.0612244897959183E-2</v>
          </cell>
          <cell r="H192">
            <v>26</v>
          </cell>
          <cell r="I192">
            <v>3.7142857142857144</v>
          </cell>
          <cell r="J192">
            <v>51</v>
          </cell>
          <cell r="K192">
            <v>0</v>
          </cell>
          <cell r="L192">
            <v>3</v>
          </cell>
          <cell r="M192">
            <v>5</v>
          </cell>
          <cell r="N192">
            <v>9.8039215686274508E-2</v>
          </cell>
          <cell r="O192">
            <v>10</v>
          </cell>
          <cell r="P192">
            <v>1.4285714285714286</v>
          </cell>
          <cell r="Q192">
            <v>6.4325730292116842E-2</v>
          </cell>
        </row>
        <row r="193">
          <cell r="A193">
            <v>43864</v>
          </cell>
          <cell r="B193" t="str">
            <v>DGA HT VIENNE CREUSE</v>
          </cell>
          <cell r="C193">
            <v>1197</v>
          </cell>
          <cell r="D193">
            <v>4</v>
          </cell>
          <cell r="E193">
            <v>23</v>
          </cell>
          <cell r="F193">
            <v>135</v>
          </cell>
          <cell r="G193">
            <v>0.11278195488721804</v>
          </cell>
          <cell r="H193">
            <v>213</v>
          </cell>
          <cell r="I193">
            <v>30.428571428571427</v>
          </cell>
          <cell r="J193">
            <v>666</v>
          </cell>
          <cell r="K193">
            <v>5</v>
          </cell>
          <cell r="L193">
            <v>16</v>
          </cell>
          <cell r="M193">
            <v>71</v>
          </cell>
          <cell r="N193">
            <v>0.1066066066066066</v>
          </cell>
          <cell r="O193">
            <v>123</v>
          </cell>
          <cell r="P193">
            <v>17.571428571428573</v>
          </cell>
          <cell r="Q193">
            <v>0.10969428074691231</v>
          </cell>
        </row>
        <row r="194">
          <cell r="A194">
            <v>6700</v>
          </cell>
          <cell r="B194" t="str">
            <v>LIMOGES</v>
          </cell>
          <cell r="C194">
            <v>410</v>
          </cell>
          <cell r="D194">
            <v>1</v>
          </cell>
          <cell r="E194">
            <v>7</v>
          </cell>
          <cell r="F194">
            <v>38</v>
          </cell>
          <cell r="G194">
            <v>9.2682926829268292E-2</v>
          </cell>
          <cell r="H194">
            <v>81</v>
          </cell>
          <cell r="I194">
            <v>11.571428571428571</v>
          </cell>
          <cell r="J194">
            <v>230</v>
          </cell>
          <cell r="K194">
            <v>0</v>
          </cell>
          <cell r="L194">
            <v>4</v>
          </cell>
          <cell r="M194">
            <v>17</v>
          </cell>
          <cell r="N194">
            <v>7.3913043478260873E-2</v>
          </cell>
          <cell r="O194">
            <v>50</v>
          </cell>
          <cell r="P194">
            <v>7.1428571428571432</v>
          </cell>
          <cell r="Q194">
            <v>8.3297985153764575E-2</v>
          </cell>
        </row>
        <row r="195">
          <cell r="A195">
            <v>6731</v>
          </cell>
          <cell r="B195" t="str">
            <v>AUBUSSON</v>
          </cell>
          <cell r="C195">
            <v>79</v>
          </cell>
          <cell r="D195">
            <v>1</v>
          </cell>
          <cell r="E195">
            <v>1</v>
          </cell>
          <cell r="F195">
            <v>10</v>
          </cell>
          <cell r="G195">
            <v>0.12658227848101267</v>
          </cell>
          <cell r="H195">
            <v>13</v>
          </cell>
          <cell r="I195">
            <v>1.8571428571428572</v>
          </cell>
          <cell r="J195">
            <v>44</v>
          </cell>
          <cell r="K195">
            <v>2</v>
          </cell>
          <cell r="L195">
            <v>4</v>
          </cell>
          <cell r="M195">
            <v>10</v>
          </cell>
          <cell r="N195">
            <v>0.22727272727272727</v>
          </cell>
          <cell r="O195">
            <v>3</v>
          </cell>
          <cell r="P195">
            <v>0.42857142857142855</v>
          </cell>
          <cell r="Q195">
            <v>0.17692750287686998</v>
          </cell>
        </row>
        <row r="196">
          <cell r="A196">
            <v>56733</v>
          </cell>
          <cell r="B196" t="str">
            <v>Multisite GUERET</v>
          </cell>
          <cell r="C196">
            <v>196</v>
          </cell>
          <cell r="D196">
            <v>1</v>
          </cell>
          <cell r="E196">
            <v>10</v>
          </cell>
          <cell r="F196">
            <v>53</v>
          </cell>
          <cell r="G196">
            <v>0.27040816326530615</v>
          </cell>
          <cell r="H196">
            <v>4</v>
          </cell>
          <cell r="I196">
            <v>0.5714285714285714</v>
          </cell>
          <cell r="J196">
            <v>107</v>
          </cell>
          <cell r="K196">
            <v>0</v>
          </cell>
          <cell r="L196">
            <v>1</v>
          </cell>
          <cell r="M196">
            <v>13</v>
          </cell>
          <cell r="N196">
            <v>0.12149532710280374</v>
          </cell>
          <cell r="O196">
            <v>19</v>
          </cell>
          <cell r="P196">
            <v>2.7142857142857144</v>
          </cell>
          <cell r="Q196">
            <v>0.19595174518405495</v>
          </cell>
        </row>
        <row r="197">
          <cell r="A197">
            <v>6733</v>
          </cell>
          <cell r="B197" t="str">
            <v>GUERET</v>
          </cell>
          <cell r="C197">
            <v>126</v>
          </cell>
          <cell r="D197">
            <v>1</v>
          </cell>
          <cell r="E197">
            <v>7</v>
          </cell>
          <cell r="F197">
            <v>40</v>
          </cell>
          <cell r="G197">
            <v>0.31746031746031744</v>
          </cell>
          <cell r="H197">
            <v>0</v>
          </cell>
          <cell r="I197">
            <v>0</v>
          </cell>
          <cell r="J197">
            <v>69</v>
          </cell>
          <cell r="K197">
            <v>0</v>
          </cell>
          <cell r="L197">
            <v>0</v>
          </cell>
          <cell r="M197">
            <v>9</v>
          </cell>
          <cell r="N197">
            <v>0.13043478260869565</v>
          </cell>
          <cell r="O197">
            <v>12</v>
          </cell>
          <cell r="P197">
            <v>1.7142857142857142</v>
          </cell>
          <cell r="Q197">
            <v>0.22394755003450656</v>
          </cell>
        </row>
        <row r="198">
          <cell r="A198">
            <v>6739</v>
          </cell>
          <cell r="B198" t="str">
            <v>LA SOUTERRAINE</v>
          </cell>
          <cell r="C198">
            <v>70</v>
          </cell>
          <cell r="D198">
            <v>0</v>
          </cell>
          <cell r="E198">
            <v>3</v>
          </cell>
          <cell r="F198">
            <v>13</v>
          </cell>
          <cell r="G198">
            <v>0.18571428571428572</v>
          </cell>
          <cell r="H198">
            <v>8</v>
          </cell>
          <cell r="I198">
            <v>1.1428571428571428</v>
          </cell>
          <cell r="J198">
            <v>38</v>
          </cell>
          <cell r="K198">
            <v>0</v>
          </cell>
          <cell r="L198">
            <v>1</v>
          </cell>
          <cell r="M198">
            <v>4</v>
          </cell>
          <cell r="N198">
            <v>0.10526315789473684</v>
          </cell>
          <cell r="O198">
            <v>8</v>
          </cell>
          <cell r="P198">
            <v>1.1428571428571428</v>
          </cell>
          <cell r="Q198">
            <v>0.14548872180451128</v>
          </cell>
        </row>
        <row r="199">
          <cell r="A199">
            <v>56734</v>
          </cell>
          <cell r="B199" t="str">
            <v>Multisite ST JUNIEN</v>
          </cell>
          <cell r="C199">
            <v>217</v>
          </cell>
          <cell r="D199">
            <v>1</v>
          </cell>
          <cell r="E199">
            <v>5</v>
          </cell>
          <cell r="F199">
            <v>14</v>
          </cell>
          <cell r="G199">
            <v>6.4516129032258063E-2</v>
          </cell>
          <cell r="H199">
            <v>49</v>
          </cell>
          <cell r="I199">
            <v>7</v>
          </cell>
          <cell r="J199">
            <v>114</v>
          </cell>
          <cell r="K199">
            <v>2</v>
          </cell>
          <cell r="L199">
            <v>4</v>
          </cell>
          <cell r="M199">
            <v>10</v>
          </cell>
          <cell r="N199">
            <v>8.771929824561403E-2</v>
          </cell>
          <cell r="O199">
            <v>24</v>
          </cell>
          <cell r="P199">
            <v>3.4285714285714284</v>
          </cell>
          <cell r="Q199">
            <v>7.6117713638936046E-2</v>
          </cell>
        </row>
        <row r="200">
          <cell r="A200">
            <v>6734</v>
          </cell>
          <cell r="B200" t="str">
            <v>SAINT JUNIEN</v>
          </cell>
          <cell r="C200">
            <v>101</v>
          </cell>
          <cell r="D200">
            <v>0</v>
          </cell>
          <cell r="E200">
            <v>3</v>
          </cell>
          <cell r="F200">
            <v>7</v>
          </cell>
          <cell r="G200">
            <v>6.9306930693069313E-2</v>
          </cell>
          <cell r="H200">
            <v>23</v>
          </cell>
          <cell r="I200">
            <v>3.2857142857142856</v>
          </cell>
          <cell r="J200">
            <v>52</v>
          </cell>
          <cell r="K200">
            <v>0</v>
          </cell>
          <cell r="L200">
            <v>2</v>
          </cell>
          <cell r="M200">
            <v>4</v>
          </cell>
          <cell r="N200">
            <v>7.6923076923076927E-2</v>
          </cell>
          <cell r="O200">
            <v>12</v>
          </cell>
          <cell r="P200">
            <v>1.7142857142857142</v>
          </cell>
          <cell r="Q200">
            <v>7.311500380807312E-2</v>
          </cell>
        </row>
        <row r="201">
          <cell r="A201">
            <v>6737</v>
          </cell>
          <cell r="B201" t="str">
            <v>CONFOLENS</v>
          </cell>
          <cell r="C201">
            <v>62</v>
          </cell>
          <cell r="D201">
            <v>0</v>
          </cell>
          <cell r="E201">
            <v>1</v>
          </cell>
          <cell r="F201">
            <v>4</v>
          </cell>
          <cell r="G201">
            <v>6.4516129032258063E-2</v>
          </cell>
          <cell r="H201">
            <v>14</v>
          </cell>
          <cell r="I201">
            <v>2</v>
          </cell>
          <cell r="J201">
            <v>34</v>
          </cell>
          <cell r="K201">
            <v>1</v>
          </cell>
          <cell r="L201">
            <v>1</v>
          </cell>
          <cell r="M201">
            <v>4</v>
          </cell>
          <cell r="N201">
            <v>0.11764705882352941</v>
          </cell>
          <cell r="O201">
            <v>6</v>
          </cell>
          <cell r="P201">
            <v>0.8571428571428571</v>
          </cell>
          <cell r="Q201">
            <v>9.1081593927893736E-2</v>
          </cell>
        </row>
        <row r="202">
          <cell r="A202">
            <v>6740</v>
          </cell>
          <cell r="B202" t="str">
            <v>BELLAC</v>
          </cell>
          <cell r="C202">
            <v>54</v>
          </cell>
          <cell r="D202">
            <v>1</v>
          </cell>
          <cell r="E202">
            <v>1</v>
          </cell>
          <cell r="F202">
            <v>3</v>
          </cell>
          <cell r="G202">
            <v>5.5555555555555552E-2</v>
          </cell>
          <cell r="H202">
            <v>13</v>
          </cell>
          <cell r="I202">
            <v>1.8571428571428572</v>
          </cell>
          <cell r="J202">
            <v>28</v>
          </cell>
          <cell r="K202">
            <v>1</v>
          </cell>
          <cell r="L202">
            <v>1</v>
          </cell>
          <cell r="M202">
            <v>2</v>
          </cell>
          <cell r="N202">
            <v>7.1428571428571425E-2</v>
          </cell>
          <cell r="O202">
            <v>7</v>
          </cell>
          <cell r="P202">
            <v>1</v>
          </cell>
          <cell r="Q202">
            <v>6.3492063492063489E-2</v>
          </cell>
        </row>
        <row r="203">
          <cell r="A203">
            <v>56738</v>
          </cell>
          <cell r="B203" t="str">
            <v>Multisite LIMOGES PL CARMES</v>
          </cell>
          <cell r="C203">
            <v>316</v>
          </cell>
          <cell r="D203">
            <v>0</v>
          </cell>
          <cell r="E203">
            <v>0</v>
          </cell>
          <cell r="F203">
            <v>20</v>
          </cell>
          <cell r="G203">
            <v>6.3291139240506333E-2</v>
          </cell>
          <cell r="H203">
            <v>72</v>
          </cell>
          <cell r="I203">
            <v>10.285714285714286</v>
          </cell>
          <cell r="J203">
            <v>171</v>
          </cell>
          <cell r="K203">
            <v>1</v>
          </cell>
          <cell r="L203">
            <v>3</v>
          </cell>
          <cell r="M203">
            <v>21</v>
          </cell>
          <cell r="N203">
            <v>0.12280701754385964</v>
          </cell>
          <cell r="O203">
            <v>29</v>
          </cell>
          <cell r="P203">
            <v>4.1428571428571432</v>
          </cell>
          <cell r="Q203">
            <v>9.3049078392182988E-2</v>
          </cell>
        </row>
        <row r="204">
          <cell r="A204">
            <v>6738</v>
          </cell>
          <cell r="B204" t="str">
            <v>LIMOGES LES CARMES</v>
          </cell>
          <cell r="C204">
            <v>141</v>
          </cell>
          <cell r="D204">
            <v>0</v>
          </cell>
          <cell r="E204">
            <v>0</v>
          </cell>
          <cell r="F204">
            <v>6</v>
          </cell>
          <cell r="G204">
            <v>4.2553191489361701E-2</v>
          </cell>
          <cell r="H204">
            <v>35</v>
          </cell>
          <cell r="I204">
            <v>5</v>
          </cell>
          <cell r="J204">
            <v>79</v>
          </cell>
          <cell r="K204">
            <v>1</v>
          </cell>
          <cell r="L204">
            <v>2</v>
          </cell>
          <cell r="M204">
            <v>12</v>
          </cell>
          <cell r="N204">
            <v>0.15189873417721519</v>
          </cell>
          <cell r="O204">
            <v>11</v>
          </cell>
          <cell r="P204">
            <v>1.5714285714285714</v>
          </cell>
          <cell r="Q204">
            <v>9.7225962833288451E-2</v>
          </cell>
        </row>
        <row r="205">
          <cell r="A205">
            <v>6743</v>
          </cell>
          <cell r="B205" t="str">
            <v>ST YRIEIX LA PERCHE</v>
          </cell>
          <cell r="C205">
            <v>69</v>
          </cell>
          <cell r="D205">
            <v>0</v>
          </cell>
          <cell r="E205">
            <v>0</v>
          </cell>
          <cell r="F205">
            <v>5</v>
          </cell>
          <cell r="G205">
            <v>7.2463768115942032E-2</v>
          </cell>
          <cell r="H205">
            <v>16</v>
          </cell>
          <cell r="I205">
            <v>2.2857142857142856</v>
          </cell>
          <cell r="J205">
            <v>34</v>
          </cell>
          <cell r="K205">
            <v>0</v>
          </cell>
          <cell r="L205">
            <v>1</v>
          </cell>
          <cell r="M205">
            <v>8</v>
          </cell>
          <cell r="N205">
            <v>0.23529411764705882</v>
          </cell>
          <cell r="O205">
            <v>2</v>
          </cell>
          <cell r="P205">
            <v>0.2857142857142857</v>
          </cell>
          <cell r="Q205">
            <v>0.15387894288150042</v>
          </cell>
        </row>
        <row r="206">
          <cell r="A206">
            <v>6748</v>
          </cell>
          <cell r="B206" t="str">
            <v>LIMOGES PONT NEUF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</row>
        <row r="207">
          <cell r="A207">
            <v>6750</v>
          </cell>
          <cell r="B207" t="str">
            <v>LIMOGES CARNOT</v>
          </cell>
          <cell r="C207">
            <v>106</v>
          </cell>
          <cell r="D207">
            <v>0</v>
          </cell>
          <cell r="E207">
            <v>0</v>
          </cell>
          <cell r="F207">
            <v>9</v>
          </cell>
          <cell r="G207">
            <v>8.4905660377358486E-2</v>
          </cell>
          <cell r="H207">
            <v>22</v>
          </cell>
          <cell r="I207">
            <v>3.1428571428571428</v>
          </cell>
          <cell r="J207">
            <v>58</v>
          </cell>
          <cell r="K207">
            <v>0</v>
          </cell>
          <cell r="L207">
            <v>0</v>
          </cell>
          <cell r="M207">
            <v>1</v>
          </cell>
          <cell r="N207">
            <v>1.7241379310344827E-2</v>
          </cell>
          <cell r="O207">
            <v>16</v>
          </cell>
          <cell r="P207">
            <v>2.2857142857142856</v>
          </cell>
          <cell r="Q207">
            <v>5.1073519843851653E-2</v>
          </cell>
        </row>
        <row r="208">
          <cell r="A208">
            <v>43866</v>
          </cell>
          <cell r="B208" t="str">
            <v>DGA CORREZE</v>
          </cell>
          <cell r="C208">
            <v>707</v>
          </cell>
          <cell r="D208">
            <v>1</v>
          </cell>
          <cell r="E208">
            <v>13</v>
          </cell>
          <cell r="F208">
            <v>84</v>
          </cell>
          <cell r="G208">
            <v>0.11881188118811881</v>
          </cell>
          <cell r="H208">
            <v>122</v>
          </cell>
          <cell r="I208">
            <v>17.428571428571427</v>
          </cell>
          <cell r="J208">
            <v>387</v>
          </cell>
          <cell r="K208">
            <v>0</v>
          </cell>
          <cell r="L208">
            <v>10</v>
          </cell>
          <cell r="M208">
            <v>51</v>
          </cell>
          <cell r="N208">
            <v>0.13178294573643412</v>
          </cell>
          <cell r="O208">
            <v>62</v>
          </cell>
          <cell r="P208">
            <v>8.8571428571428577</v>
          </cell>
          <cell r="Q208">
            <v>0.12529741346227646</v>
          </cell>
        </row>
        <row r="209">
          <cell r="A209">
            <v>6732</v>
          </cell>
          <cell r="B209" t="str">
            <v>BRIVE</v>
          </cell>
          <cell r="C209">
            <v>234</v>
          </cell>
          <cell r="D209">
            <v>1</v>
          </cell>
          <cell r="E209">
            <v>6</v>
          </cell>
          <cell r="F209">
            <v>29</v>
          </cell>
          <cell r="G209">
            <v>0.12393162393162394</v>
          </cell>
          <cell r="H209">
            <v>39</v>
          </cell>
          <cell r="I209">
            <v>5.5714285714285712</v>
          </cell>
          <cell r="J209">
            <v>124</v>
          </cell>
          <cell r="K209">
            <v>0</v>
          </cell>
          <cell r="L209">
            <v>2</v>
          </cell>
          <cell r="M209">
            <v>9</v>
          </cell>
          <cell r="N209">
            <v>7.2580645161290328E-2</v>
          </cell>
          <cell r="O209">
            <v>27</v>
          </cell>
          <cell r="P209">
            <v>3.8571428571428572</v>
          </cell>
          <cell r="Q209">
            <v>9.8256134546457125E-2</v>
          </cell>
        </row>
        <row r="210">
          <cell r="A210">
            <v>6735</v>
          </cell>
          <cell r="B210" t="str">
            <v>TULLE</v>
          </cell>
          <cell r="C210">
            <v>132</v>
          </cell>
          <cell r="D210">
            <v>0</v>
          </cell>
          <cell r="E210">
            <v>5</v>
          </cell>
          <cell r="F210">
            <v>24</v>
          </cell>
          <cell r="G210">
            <v>0.18181818181818182</v>
          </cell>
          <cell r="H210">
            <v>15</v>
          </cell>
          <cell r="I210">
            <v>2.1428571428571428</v>
          </cell>
          <cell r="J210">
            <v>76</v>
          </cell>
          <cell r="K210">
            <v>0</v>
          </cell>
          <cell r="L210">
            <v>4</v>
          </cell>
          <cell r="M210">
            <v>12</v>
          </cell>
          <cell r="N210">
            <v>0.15789473684210525</v>
          </cell>
          <cell r="O210">
            <v>11</v>
          </cell>
          <cell r="P210">
            <v>1.5714285714285714</v>
          </cell>
          <cell r="Q210">
            <v>0.16985645933014354</v>
          </cell>
        </row>
        <row r="211">
          <cell r="A211">
            <v>6736</v>
          </cell>
          <cell r="B211" t="str">
            <v>USSEL</v>
          </cell>
          <cell r="C211">
            <v>70</v>
          </cell>
          <cell r="D211">
            <v>0</v>
          </cell>
          <cell r="E211">
            <v>0</v>
          </cell>
          <cell r="F211">
            <v>1</v>
          </cell>
          <cell r="G211">
            <v>1.4285714285714285E-2</v>
          </cell>
          <cell r="H211">
            <v>20</v>
          </cell>
          <cell r="I211">
            <v>2.8571428571428572</v>
          </cell>
          <cell r="J211">
            <v>38</v>
          </cell>
          <cell r="K211">
            <v>0</v>
          </cell>
          <cell r="L211">
            <v>1</v>
          </cell>
          <cell r="M211">
            <v>5</v>
          </cell>
          <cell r="N211">
            <v>0.13157894736842105</v>
          </cell>
          <cell r="O211">
            <v>7</v>
          </cell>
          <cell r="P211">
            <v>1</v>
          </cell>
          <cell r="Q211">
            <v>7.2932330827067668E-2</v>
          </cell>
        </row>
        <row r="212">
          <cell r="A212">
            <v>56741</v>
          </cell>
          <cell r="B212" t="str">
            <v>Multisite OBJAT</v>
          </cell>
          <cell r="C212">
            <v>241</v>
          </cell>
          <cell r="D212">
            <v>0</v>
          </cell>
          <cell r="E212">
            <v>1</v>
          </cell>
          <cell r="F212">
            <v>22</v>
          </cell>
          <cell r="G212">
            <v>9.1286307053941904E-2</v>
          </cell>
          <cell r="H212">
            <v>48</v>
          </cell>
          <cell r="I212">
            <v>6.8571428571428568</v>
          </cell>
          <cell r="J212">
            <v>133</v>
          </cell>
          <cell r="K212">
            <v>0</v>
          </cell>
          <cell r="L212">
            <v>2</v>
          </cell>
          <cell r="M212">
            <v>21</v>
          </cell>
          <cell r="N212">
            <v>0.15789473684210525</v>
          </cell>
          <cell r="O212">
            <v>18</v>
          </cell>
          <cell r="P212">
            <v>2.5714285714285716</v>
          </cell>
          <cell r="Q212">
            <v>0.12459052194802359</v>
          </cell>
        </row>
        <row r="213">
          <cell r="A213">
            <v>6741</v>
          </cell>
          <cell r="B213" t="str">
            <v>OBJAT</v>
          </cell>
          <cell r="C213">
            <v>68</v>
          </cell>
          <cell r="D213">
            <v>0</v>
          </cell>
          <cell r="E213">
            <v>1</v>
          </cell>
          <cell r="F213">
            <v>3</v>
          </cell>
          <cell r="G213">
            <v>4.4117647058823532E-2</v>
          </cell>
          <cell r="H213">
            <v>17</v>
          </cell>
          <cell r="I213">
            <v>2.4285714285714284</v>
          </cell>
          <cell r="J213">
            <v>30</v>
          </cell>
          <cell r="K213">
            <v>0</v>
          </cell>
          <cell r="L213">
            <v>1</v>
          </cell>
          <cell r="M213">
            <v>10</v>
          </cell>
          <cell r="N213">
            <v>0.33333333333333331</v>
          </cell>
          <cell r="O213">
            <v>0</v>
          </cell>
          <cell r="P213">
            <v>0</v>
          </cell>
          <cell r="Q213">
            <v>0.18872549019607843</v>
          </cell>
        </row>
        <row r="214">
          <cell r="A214">
            <v>6745</v>
          </cell>
          <cell r="B214" t="str">
            <v>TERRASSON</v>
          </cell>
          <cell r="C214">
            <v>78</v>
          </cell>
          <cell r="D214">
            <v>0</v>
          </cell>
          <cell r="E214">
            <v>0</v>
          </cell>
          <cell r="F214">
            <v>15</v>
          </cell>
          <cell r="G214">
            <v>0.19230769230769232</v>
          </cell>
          <cell r="H214">
            <v>8</v>
          </cell>
          <cell r="I214">
            <v>1.1428571428571428</v>
          </cell>
          <cell r="J214">
            <v>53</v>
          </cell>
          <cell r="K214">
            <v>0</v>
          </cell>
          <cell r="L214">
            <v>0</v>
          </cell>
          <cell r="M214">
            <v>9</v>
          </cell>
          <cell r="N214">
            <v>0.16981132075471697</v>
          </cell>
          <cell r="O214">
            <v>7</v>
          </cell>
          <cell r="P214">
            <v>1</v>
          </cell>
          <cell r="Q214">
            <v>0.18105950653120464</v>
          </cell>
        </row>
        <row r="215">
          <cell r="A215">
            <v>6751</v>
          </cell>
          <cell r="B215" t="str">
            <v>MALEMORT</v>
          </cell>
          <cell r="C215">
            <v>95</v>
          </cell>
          <cell r="D215">
            <v>0</v>
          </cell>
          <cell r="E215">
            <v>0</v>
          </cell>
          <cell r="F215">
            <v>4</v>
          </cell>
          <cell r="G215">
            <v>4.2105263157894736E-2</v>
          </cell>
          <cell r="H215">
            <v>24</v>
          </cell>
          <cell r="I215">
            <v>3.4285714285714284</v>
          </cell>
          <cell r="J215">
            <v>50</v>
          </cell>
          <cell r="K215">
            <v>0</v>
          </cell>
          <cell r="L215">
            <v>1</v>
          </cell>
          <cell r="M215">
            <v>2</v>
          </cell>
          <cell r="N215">
            <v>0.04</v>
          </cell>
          <cell r="O215">
            <v>13</v>
          </cell>
          <cell r="P215">
            <v>1.8571428571428572</v>
          </cell>
          <cell r="Q215">
            <v>4.1052631578947368E-2</v>
          </cell>
        </row>
        <row r="216">
          <cell r="A216">
            <v>6742</v>
          </cell>
          <cell r="B216" t="str">
            <v>EGLETONS</v>
          </cell>
          <cell r="C216">
            <v>51</v>
          </cell>
          <cell r="D216">
            <v>0</v>
          </cell>
          <cell r="E216">
            <v>1</v>
          </cell>
          <cell r="F216">
            <v>8</v>
          </cell>
          <cell r="G216">
            <v>0.15686274509803921</v>
          </cell>
          <cell r="H216">
            <v>7</v>
          </cell>
          <cell r="I216">
            <v>1</v>
          </cell>
          <cell r="J216">
            <v>21</v>
          </cell>
          <cell r="K216">
            <v>0</v>
          </cell>
          <cell r="L216">
            <v>1</v>
          </cell>
          <cell r="M216">
            <v>4</v>
          </cell>
          <cell r="N216">
            <v>0.19047619047619047</v>
          </cell>
          <cell r="O216">
            <v>3</v>
          </cell>
          <cell r="P216">
            <v>0.42857142857142855</v>
          </cell>
          <cell r="Q216">
            <v>0.17366946778711484</v>
          </cell>
        </row>
      </sheetData>
      <sheetData sheetId="5" refreshError="1">
        <row r="1">
          <cell r="A1">
            <v>0.12720000000000001</v>
          </cell>
          <cell r="B1">
            <v>7</v>
          </cell>
          <cell r="C1">
            <v>8</v>
          </cell>
          <cell r="D1">
            <v>26</v>
          </cell>
          <cell r="E1">
            <v>27</v>
          </cell>
          <cell r="F1">
            <v>28</v>
          </cell>
          <cell r="J1">
            <v>9</v>
          </cell>
          <cell r="K1">
            <v>30</v>
          </cell>
          <cell r="L1">
            <v>31</v>
          </cell>
          <cell r="M1">
            <v>32</v>
          </cell>
        </row>
        <row r="2">
          <cell r="D2">
            <v>2</v>
          </cell>
          <cell r="E2">
            <v>3</v>
          </cell>
          <cell r="F2">
            <v>4</v>
          </cell>
        </row>
        <row r="4">
          <cell r="B4" t="str">
            <v>Du lundi 2 janvier 2018 au vendredi 30 mars 2018
Objectif 29% (plafond à 44% pour chaque critère)</v>
          </cell>
          <cell r="C4" t="str">
            <v>Animations DDR Etape 1</v>
          </cell>
          <cell r="J4" t="str">
            <v>Animations DDR Etape 1</v>
          </cell>
        </row>
        <row r="5">
          <cell r="B5" t="str">
            <v>Point de Passage (Q) Etape 1 = 12,72%</v>
          </cell>
          <cell r="C5" t="str">
            <v>Partenaire Conseil</v>
          </cell>
          <cell r="J5" t="str">
            <v>Partenaire Conseil</v>
          </cell>
        </row>
        <row r="6">
          <cell r="B6" t="str">
            <v>Résultats au 08/02/18</v>
          </cell>
          <cell r="C6" t="str">
            <v>Total Hors-Bilan (K€)</v>
          </cell>
          <cell r="J6" t="str">
            <v>Versements Récurrents HB (Nb)</v>
          </cell>
        </row>
        <row r="7">
          <cell r="A7" t="str">
            <v>Unité</v>
          </cell>
          <cell r="B7" t="str">
            <v>Libellé</v>
          </cell>
          <cell r="C7" t="str">
            <v>OBJ
Annuel</v>
          </cell>
          <cell r="D7" t="str">
            <v>Prod
Veille</v>
          </cell>
          <cell r="E7" t="str">
            <v>Prod
Sem
en cours</v>
          </cell>
          <cell r="F7" t="str">
            <v>Prod
Etape 1</v>
          </cell>
          <cell r="G7" t="str">
            <v>Taux
Etape 1</v>
          </cell>
          <cell r="H7" t="str">
            <v>RàF
Etape 1</v>
          </cell>
          <cell r="I7" t="str">
            <v>Rythme
Hebdo
Requis</v>
          </cell>
          <cell r="J7" t="str">
            <v>OBJ
Annuel</v>
          </cell>
          <cell r="K7" t="str">
            <v>Prod
Veille</v>
          </cell>
          <cell r="L7" t="str">
            <v>Prod
Sem
en cours</v>
          </cell>
          <cell r="M7" t="str">
            <v>Prod
Etape 1</v>
          </cell>
          <cell r="N7" t="str">
            <v>Taux
Etape 1</v>
          </cell>
          <cell r="O7" t="str">
            <v>RàF
Etape 1</v>
          </cell>
          <cell r="P7" t="str">
            <v>Rythme
Hebdo
Requis</v>
          </cell>
          <cell r="Q7" t="str">
            <v>Taux
Moyen
Fil Rouge 4
Etape 1</v>
          </cell>
        </row>
        <row r="8">
          <cell r="A8">
            <v>69014</v>
          </cell>
          <cell r="B8" t="str">
            <v>Banque de Proximité</v>
          </cell>
          <cell r="C8">
            <v>3873956</v>
          </cell>
          <cell r="D8">
            <v>16735.53</v>
          </cell>
          <cell r="E8">
            <v>63862.57</v>
          </cell>
          <cell r="F8">
            <v>627260.34000000008</v>
          </cell>
          <cell r="G8">
            <v>0.1619172597726975</v>
          </cell>
          <cell r="H8">
            <v>496187</v>
          </cell>
          <cell r="I8">
            <v>70883.857142857145</v>
          </cell>
          <cell r="J8">
            <v>129845</v>
          </cell>
          <cell r="K8">
            <v>644</v>
          </cell>
          <cell r="L8">
            <v>2712</v>
          </cell>
          <cell r="M8">
            <v>18530</v>
          </cell>
          <cell r="N8">
            <v>0.14270861411683161</v>
          </cell>
          <cell r="O8">
            <v>19126</v>
          </cell>
          <cell r="P8">
            <v>2732.2857142857142</v>
          </cell>
          <cell r="Q8">
            <v>0.15231293694476455</v>
          </cell>
        </row>
        <row r="9">
          <cell r="A9">
            <v>43003</v>
          </cell>
          <cell r="B9" t="str">
            <v>RSO DdR du Sud Ouest</v>
          </cell>
          <cell r="C9">
            <v>298585</v>
          </cell>
          <cell r="D9">
            <v>1564.26</v>
          </cell>
          <cell r="E9">
            <v>5462.6900000000005</v>
          </cell>
          <cell r="F9">
            <v>47698.450000000004</v>
          </cell>
          <cell r="G9">
            <v>0.15974831287573055</v>
          </cell>
          <cell r="H9">
            <v>38892</v>
          </cell>
          <cell r="I9">
            <v>5556</v>
          </cell>
          <cell r="J9">
            <v>9150</v>
          </cell>
          <cell r="K9">
            <v>69</v>
          </cell>
          <cell r="L9">
            <v>203</v>
          </cell>
          <cell r="M9">
            <v>1643</v>
          </cell>
          <cell r="N9">
            <v>0.17956284153005464</v>
          </cell>
          <cell r="O9">
            <v>1011</v>
          </cell>
          <cell r="P9">
            <v>144.42857142857142</v>
          </cell>
          <cell r="Q9">
            <v>0.16965557720289259</v>
          </cell>
        </row>
        <row r="10">
          <cell r="A10">
            <v>43700</v>
          </cell>
          <cell r="B10" t="str">
            <v>RSO DR Gironde</v>
          </cell>
          <cell r="C10">
            <v>88239</v>
          </cell>
          <cell r="D10">
            <v>825.69999999999993</v>
          </cell>
          <cell r="E10">
            <v>1630.63</v>
          </cell>
          <cell r="F10">
            <v>13600.77</v>
          </cell>
          <cell r="G10">
            <v>0.15413558630537519</v>
          </cell>
          <cell r="H10">
            <v>11989</v>
          </cell>
          <cell r="I10">
            <v>1712.7142857142858</v>
          </cell>
          <cell r="J10">
            <v>2968</v>
          </cell>
          <cell r="K10">
            <v>33</v>
          </cell>
          <cell r="L10">
            <v>68</v>
          </cell>
          <cell r="M10">
            <v>715</v>
          </cell>
          <cell r="N10">
            <v>0.24090296495956873</v>
          </cell>
          <cell r="O10">
            <v>146</v>
          </cell>
          <cell r="P10">
            <v>20.857142857142858</v>
          </cell>
          <cell r="Q10">
            <v>0.19751927563247196</v>
          </cell>
        </row>
        <row r="11">
          <cell r="A11">
            <v>43780</v>
          </cell>
          <cell r="B11" t="str">
            <v>RSO DR Sud Aquitaine</v>
          </cell>
          <cell r="C11">
            <v>89382</v>
          </cell>
          <cell r="D11">
            <v>332.82</v>
          </cell>
          <cell r="E11">
            <v>1341.5900000000001</v>
          </cell>
          <cell r="F11">
            <v>15742.01</v>
          </cell>
          <cell r="G11">
            <v>0.17612058356268601</v>
          </cell>
          <cell r="H11">
            <v>10179</v>
          </cell>
          <cell r="I11">
            <v>1454.1428571428571</v>
          </cell>
          <cell r="J11">
            <v>2968</v>
          </cell>
          <cell r="K11">
            <v>8</v>
          </cell>
          <cell r="L11">
            <v>45</v>
          </cell>
          <cell r="M11">
            <v>361</v>
          </cell>
          <cell r="N11">
            <v>0.12163072776280323</v>
          </cell>
          <cell r="O11">
            <v>500</v>
          </cell>
          <cell r="P11">
            <v>71.428571428571431</v>
          </cell>
          <cell r="Q11">
            <v>0.14887565566274463</v>
          </cell>
        </row>
        <row r="12">
          <cell r="A12">
            <v>43801</v>
          </cell>
          <cell r="B12" t="str">
            <v>RSO DR Poitou Charentes</v>
          </cell>
          <cell r="C12">
            <v>77633</v>
          </cell>
          <cell r="D12">
            <v>208.96</v>
          </cell>
          <cell r="E12">
            <v>1580.44</v>
          </cell>
          <cell r="F12">
            <v>12486.89</v>
          </cell>
          <cell r="G12">
            <v>0.16084513029253023</v>
          </cell>
          <cell r="H12">
            <v>10027</v>
          </cell>
          <cell r="I12">
            <v>1432.4285714285713</v>
          </cell>
          <cell r="J12">
            <v>2077</v>
          </cell>
          <cell r="K12">
            <v>19</v>
          </cell>
          <cell r="L12">
            <v>59</v>
          </cell>
          <cell r="M12">
            <v>353</v>
          </cell>
          <cell r="N12">
            <v>0.16995666827154549</v>
          </cell>
          <cell r="O12">
            <v>250</v>
          </cell>
          <cell r="P12">
            <v>35.714285714285715</v>
          </cell>
          <cell r="Q12">
            <v>0.16540089928203786</v>
          </cell>
        </row>
        <row r="13">
          <cell r="A13">
            <v>43861</v>
          </cell>
          <cell r="B13" t="str">
            <v>RSO DR Limousin Dordogne</v>
          </cell>
          <cell r="C13">
            <v>43111</v>
          </cell>
          <cell r="D13">
            <v>196.73</v>
          </cell>
          <cell r="E13">
            <v>899.94</v>
          </cell>
          <cell r="F13">
            <v>5719.97</v>
          </cell>
          <cell r="G13">
            <v>0.13268005845375891</v>
          </cell>
          <cell r="H13">
            <v>6783</v>
          </cell>
          <cell r="I13">
            <v>969</v>
          </cell>
          <cell r="J13">
            <v>1039</v>
          </cell>
          <cell r="K13">
            <v>9</v>
          </cell>
          <cell r="L13">
            <v>30</v>
          </cell>
          <cell r="M13">
            <v>208</v>
          </cell>
          <cell r="N13">
            <v>0.20019249278152068</v>
          </cell>
          <cell r="O13">
            <v>94</v>
          </cell>
          <cell r="P13">
            <v>13.428571428571429</v>
          </cell>
          <cell r="Q13">
            <v>0.1664362756176398</v>
          </cell>
        </row>
        <row r="14">
          <cell r="A14">
            <v>43703</v>
          </cell>
          <cell r="B14" t="str">
            <v>DGA BORDEAUX CENTRE</v>
          </cell>
          <cell r="C14">
            <v>22292</v>
          </cell>
          <cell r="D14">
            <v>120.55</v>
          </cell>
          <cell r="E14">
            <v>166.43</v>
          </cell>
          <cell r="F14">
            <v>2464.67</v>
          </cell>
          <cell r="G14">
            <v>0.11056298223577965</v>
          </cell>
          <cell r="H14">
            <v>4001</v>
          </cell>
          <cell r="I14">
            <v>571.57142857142856</v>
          </cell>
          <cell r="J14">
            <v>735</v>
          </cell>
          <cell r="K14">
            <v>8</v>
          </cell>
          <cell r="L14">
            <v>21</v>
          </cell>
          <cell r="M14">
            <v>91</v>
          </cell>
          <cell r="N14">
            <v>0.12380952380952381</v>
          </cell>
          <cell r="O14">
            <v>123</v>
          </cell>
          <cell r="P14">
            <v>17.571428571428573</v>
          </cell>
          <cell r="Q14">
            <v>0.11718625302265173</v>
          </cell>
        </row>
        <row r="15">
          <cell r="A15">
            <v>51800</v>
          </cell>
          <cell r="B15" t="str">
            <v>Multisite BORDEAUX</v>
          </cell>
          <cell r="C15">
            <v>11372</v>
          </cell>
          <cell r="D15">
            <v>0.52</v>
          </cell>
          <cell r="E15">
            <v>26.44</v>
          </cell>
          <cell r="F15">
            <v>1494.8799999999999</v>
          </cell>
          <cell r="G15">
            <v>0.13145269081955679</v>
          </cell>
          <cell r="H15">
            <v>1803</v>
          </cell>
          <cell r="I15">
            <v>257.57142857142856</v>
          </cell>
          <cell r="J15">
            <v>301</v>
          </cell>
          <cell r="K15">
            <v>1</v>
          </cell>
          <cell r="L15">
            <v>6</v>
          </cell>
          <cell r="M15">
            <v>38</v>
          </cell>
          <cell r="N15">
            <v>0.12624584717607973</v>
          </cell>
          <cell r="O15">
            <v>50</v>
          </cell>
          <cell r="P15">
            <v>7.1428571428571432</v>
          </cell>
          <cell r="Q15">
            <v>0.12884926899781826</v>
          </cell>
        </row>
        <row r="16">
          <cell r="A16">
            <v>1800</v>
          </cell>
          <cell r="B16" t="str">
            <v>BORDEAUX</v>
          </cell>
          <cell r="C16">
            <v>10507</v>
          </cell>
          <cell r="D16">
            <v>0.52</v>
          </cell>
          <cell r="E16">
            <v>26.44</v>
          </cell>
          <cell r="F16">
            <v>1431.6</v>
          </cell>
          <cell r="G16">
            <v>0.13625202246121632</v>
          </cell>
          <cell r="H16">
            <v>1616</v>
          </cell>
          <cell r="I16">
            <v>230.85714285714286</v>
          </cell>
          <cell r="J16">
            <v>266</v>
          </cell>
          <cell r="K16">
            <v>1</v>
          </cell>
          <cell r="L16">
            <v>6</v>
          </cell>
          <cell r="M16">
            <v>38</v>
          </cell>
          <cell r="N16">
            <v>0.14285714285714285</v>
          </cell>
          <cell r="O16">
            <v>40</v>
          </cell>
          <cell r="P16">
            <v>5.7142857142857144</v>
          </cell>
          <cell r="Q16">
            <v>0.13955458265917958</v>
          </cell>
        </row>
        <row r="17">
          <cell r="A17">
            <v>1866</v>
          </cell>
          <cell r="B17" t="str">
            <v>BORDEAUX - PALAIS</v>
          </cell>
          <cell r="C17">
            <v>865</v>
          </cell>
          <cell r="D17">
            <v>0</v>
          </cell>
          <cell r="E17">
            <v>0</v>
          </cell>
          <cell r="F17">
            <v>63.28</v>
          </cell>
          <cell r="G17">
            <v>7.3156069364161858E-2</v>
          </cell>
          <cell r="H17">
            <v>188</v>
          </cell>
          <cell r="I17">
            <v>26.857142857142858</v>
          </cell>
          <cell r="J17">
            <v>35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11</v>
          </cell>
          <cell r="P17">
            <v>1.5714285714285714</v>
          </cell>
          <cell r="Q17">
            <v>3.6578034682080929E-2</v>
          </cell>
        </row>
        <row r="18">
          <cell r="A18">
            <v>1868</v>
          </cell>
          <cell r="B18" t="str">
            <v>BORDEAUX TOURNY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A19">
            <v>1802</v>
          </cell>
          <cell r="B19" t="str">
            <v>BORDEAUX MARITIME</v>
          </cell>
          <cell r="C19">
            <v>275</v>
          </cell>
          <cell r="D19">
            <v>0</v>
          </cell>
          <cell r="E19">
            <v>0</v>
          </cell>
          <cell r="F19">
            <v>0.11</v>
          </cell>
          <cell r="G19">
            <v>4.0000000000000002E-4</v>
          </cell>
          <cell r="H19">
            <v>80</v>
          </cell>
          <cell r="I19">
            <v>11.428571428571429</v>
          </cell>
          <cell r="J19">
            <v>10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3</v>
          </cell>
          <cell r="P19">
            <v>0.42857142857142855</v>
          </cell>
          <cell r="Q19">
            <v>2.0000000000000001E-4</v>
          </cell>
        </row>
        <row r="20">
          <cell r="A20">
            <v>51832</v>
          </cell>
          <cell r="B20" t="str">
            <v>Multisite BORDEAUX CHARTRONS</v>
          </cell>
          <cell r="C20">
            <v>3804</v>
          </cell>
          <cell r="D20">
            <v>120.02</v>
          </cell>
          <cell r="E20">
            <v>139.74</v>
          </cell>
          <cell r="F20">
            <v>529.04000000000008</v>
          </cell>
          <cell r="G20">
            <v>0.13907465825446899</v>
          </cell>
          <cell r="H20">
            <v>575</v>
          </cell>
          <cell r="I20">
            <v>82.142857142857139</v>
          </cell>
          <cell r="J20">
            <v>146</v>
          </cell>
          <cell r="K20">
            <v>1</v>
          </cell>
          <cell r="L20">
            <v>3</v>
          </cell>
          <cell r="M20">
            <v>19</v>
          </cell>
          <cell r="N20">
            <v>0.13013698630136986</v>
          </cell>
          <cell r="O20">
            <v>24</v>
          </cell>
          <cell r="P20">
            <v>3.4285714285714284</v>
          </cell>
          <cell r="Q20">
            <v>0.13460582227791942</v>
          </cell>
        </row>
        <row r="21">
          <cell r="A21">
            <v>1830</v>
          </cell>
          <cell r="B21" t="str">
            <v>LE BOUSCAT RAVEZIES</v>
          </cell>
          <cell r="C21">
            <v>532</v>
          </cell>
          <cell r="D21">
            <v>0</v>
          </cell>
          <cell r="E21">
            <v>14.56</v>
          </cell>
          <cell r="F21">
            <v>155.29</v>
          </cell>
          <cell r="G21">
            <v>0.29189849624060149</v>
          </cell>
          <cell r="H21">
            <v>0</v>
          </cell>
          <cell r="I21">
            <v>0</v>
          </cell>
          <cell r="J21">
            <v>27</v>
          </cell>
          <cell r="K21">
            <v>0</v>
          </cell>
          <cell r="L21">
            <v>0</v>
          </cell>
          <cell r="M21">
            <v>3</v>
          </cell>
          <cell r="N21">
            <v>0.1111111111111111</v>
          </cell>
          <cell r="O21">
            <v>5</v>
          </cell>
          <cell r="P21">
            <v>0.7142857142857143</v>
          </cell>
          <cell r="Q21">
            <v>0.2015048036758563</v>
          </cell>
        </row>
        <row r="22">
          <cell r="A22">
            <v>1832</v>
          </cell>
          <cell r="B22" t="str">
            <v>BORDEAUX CHARTRONS</v>
          </cell>
          <cell r="C22">
            <v>2264</v>
          </cell>
          <cell r="D22">
            <v>120.02</v>
          </cell>
          <cell r="E22">
            <v>122.18</v>
          </cell>
          <cell r="F22">
            <v>198.46</v>
          </cell>
          <cell r="G22">
            <v>8.7659010600706716E-2</v>
          </cell>
          <cell r="H22">
            <v>459</v>
          </cell>
          <cell r="I22">
            <v>65.571428571428569</v>
          </cell>
          <cell r="J22">
            <v>66</v>
          </cell>
          <cell r="K22">
            <v>1</v>
          </cell>
          <cell r="L22">
            <v>2</v>
          </cell>
          <cell r="M22">
            <v>10</v>
          </cell>
          <cell r="N22">
            <v>0.15151515151515152</v>
          </cell>
          <cell r="O22">
            <v>10</v>
          </cell>
          <cell r="P22">
            <v>1.4285714285714286</v>
          </cell>
          <cell r="Q22">
            <v>0.11958708105792912</v>
          </cell>
        </row>
        <row r="23">
          <cell r="A23">
            <v>1844</v>
          </cell>
          <cell r="B23" t="str">
            <v>BORDEAUX CITE GRAND PARC</v>
          </cell>
          <cell r="C23">
            <v>1008</v>
          </cell>
          <cell r="D23">
            <v>0</v>
          </cell>
          <cell r="E23">
            <v>3</v>
          </cell>
          <cell r="F23">
            <v>175.3</v>
          </cell>
          <cell r="G23">
            <v>0.17390873015873018</v>
          </cell>
          <cell r="H23">
            <v>118</v>
          </cell>
          <cell r="I23">
            <v>16.857142857142858</v>
          </cell>
          <cell r="J23">
            <v>53</v>
          </cell>
          <cell r="K23">
            <v>0</v>
          </cell>
          <cell r="L23">
            <v>1</v>
          </cell>
          <cell r="M23">
            <v>6</v>
          </cell>
          <cell r="N23">
            <v>0.11320754716981132</v>
          </cell>
          <cell r="O23">
            <v>10</v>
          </cell>
          <cell r="P23">
            <v>1.4285714285714286</v>
          </cell>
          <cell r="Q23">
            <v>0.14355813866427075</v>
          </cell>
        </row>
        <row r="24">
          <cell r="A24">
            <v>1833</v>
          </cell>
          <cell r="B24" t="str">
            <v>BORDEAUX VICTOR HUGO</v>
          </cell>
          <cell r="C24">
            <v>1483</v>
          </cell>
          <cell r="D24">
            <v>0</v>
          </cell>
          <cell r="E24">
            <v>0.2</v>
          </cell>
          <cell r="F24">
            <v>56.75</v>
          </cell>
          <cell r="G24">
            <v>3.8267026298044501E-2</v>
          </cell>
          <cell r="H24">
            <v>374</v>
          </cell>
          <cell r="I24">
            <v>53.428571428571431</v>
          </cell>
          <cell r="J24">
            <v>72</v>
          </cell>
          <cell r="K24">
            <v>1</v>
          </cell>
          <cell r="L24">
            <v>1</v>
          </cell>
          <cell r="M24">
            <v>6</v>
          </cell>
          <cell r="N24">
            <v>8.3333333333333329E-2</v>
          </cell>
          <cell r="O24">
            <v>15</v>
          </cell>
          <cell r="P24">
            <v>2.1428571428571428</v>
          </cell>
          <cell r="Q24">
            <v>6.0800179815688915E-2</v>
          </cell>
        </row>
        <row r="25">
          <cell r="A25">
            <v>1841</v>
          </cell>
          <cell r="B25" t="str">
            <v>LE BOUSCAT BARRIERE DU MEDOC</v>
          </cell>
          <cell r="C25">
            <v>2501</v>
          </cell>
          <cell r="D25">
            <v>0</v>
          </cell>
          <cell r="E25">
            <v>0.02</v>
          </cell>
          <cell r="F25">
            <v>198.5</v>
          </cell>
          <cell r="G25">
            <v>7.9368252698920436E-2</v>
          </cell>
          <cell r="H25">
            <v>527</v>
          </cell>
          <cell r="I25">
            <v>75.285714285714292</v>
          </cell>
          <cell r="J25">
            <v>67</v>
          </cell>
          <cell r="K25">
            <v>4</v>
          </cell>
          <cell r="L25">
            <v>5</v>
          </cell>
          <cell r="M25">
            <v>12</v>
          </cell>
          <cell r="N25">
            <v>0.17910447761194029</v>
          </cell>
          <cell r="O25">
            <v>8</v>
          </cell>
          <cell r="P25">
            <v>1.1428571428571428</v>
          </cell>
          <cell r="Q25">
            <v>0.12923636515543035</v>
          </cell>
        </row>
        <row r="26">
          <cell r="A26">
            <v>51847</v>
          </cell>
          <cell r="B26" t="str">
            <v>Multisite BORDEAUX VICTOIRE</v>
          </cell>
          <cell r="C26">
            <v>2764</v>
          </cell>
          <cell r="D26">
            <v>0.02</v>
          </cell>
          <cell r="E26">
            <v>0.03</v>
          </cell>
          <cell r="F26">
            <v>185.39000000000001</v>
          </cell>
          <cell r="G26">
            <v>6.7073082489146174E-2</v>
          </cell>
          <cell r="H26">
            <v>617</v>
          </cell>
          <cell r="I26">
            <v>88.142857142857139</v>
          </cell>
          <cell r="J26">
            <v>139</v>
          </cell>
          <cell r="K26">
            <v>1</v>
          </cell>
          <cell r="L26">
            <v>6</v>
          </cell>
          <cell r="M26">
            <v>16</v>
          </cell>
          <cell r="N26">
            <v>0.11510791366906475</v>
          </cell>
          <cell r="O26">
            <v>25</v>
          </cell>
          <cell r="P26">
            <v>3.5714285714285716</v>
          </cell>
          <cell r="Q26">
            <v>9.1090498079105464E-2</v>
          </cell>
        </row>
        <row r="27">
          <cell r="A27">
            <v>1847</v>
          </cell>
          <cell r="B27" t="str">
            <v>BORDEAUX VICTOIRE</v>
          </cell>
          <cell r="C27">
            <v>2374</v>
          </cell>
          <cell r="D27">
            <v>0.02</v>
          </cell>
          <cell r="E27">
            <v>0.03</v>
          </cell>
          <cell r="F27">
            <v>135.41</v>
          </cell>
          <cell r="G27">
            <v>5.7038753159224936E-2</v>
          </cell>
          <cell r="H27">
            <v>554</v>
          </cell>
          <cell r="I27">
            <v>79.142857142857139</v>
          </cell>
          <cell r="J27">
            <v>97</v>
          </cell>
          <cell r="K27">
            <v>1</v>
          </cell>
          <cell r="L27">
            <v>6</v>
          </cell>
          <cell r="M27">
            <v>10</v>
          </cell>
          <cell r="N27">
            <v>0.10309278350515463</v>
          </cell>
          <cell r="O27">
            <v>19</v>
          </cell>
          <cell r="P27">
            <v>2.7142857142857144</v>
          </cell>
          <cell r="Q27">
            <v>8.0065768332189785E-2</v>
          </cell>
        </row>
        <row r="28">
          <cell r="A28">
            <v>1854</v>
          </cell>
          <cell r="B28" t="str">
            <v>BORDEAUX SAINT-JEAN</v>
          </cell>
          <cell r="C28">
            <v>390</v>
          </cell>
          <cell r="D28">
            <v>0</v>
          </cell>
          <cell r="E28">
            <v>0</v>
          </cell>
          <cell r="F28">
            <v>49.99</v>
          </cell>
          <cell r="G28">
            <v>0.12817948717948718</v>
          </cell>
          <cell r="H28">
            <v>64</v>
          </cell>
          <cell r="I28">
            <v>9.1428571428571423</v>
          </cell>
          <cell r="J28">
            <v>42</v>
          </cell>
          <cell r="K28">
            <v>0</v>
          </cell>
          <cell r="L28">
            <v>0</v>
          </cell>
          <cell r="M28">
            <v>6</v>
          </cell>
          <cell r="N28">
            <v>0.14285714285714285</v>
          </cell>
          <cell r="O28">
            <v>7</v>
          </cell>
          <cell r="P28">
            <v>1</v>
          </cell>
          <cell r="Q28">
            <v>0.13551831501831502</v>
          </cell>
        </row>
        <row r="29">
          <cell r="A29">
            <v>43711</v>
          </cell>
          <cell r="B29" t="str">
            <v>DGA MERIGNAC - MEDOC</v>
          </cell>
          <cell r="C29">
            <v>22354</v>
          </cell>
          <cell r="D29">
            <v>5.45</v>
          </cell>
          <cell r="E29">
            <v>173.36999999999998</v>
          </cell>
          <cell r="F29">
            <v>2930.17</v>
          </cell>
          <cell r="G29">
            <v>0.13108034356267334</v>
          </cell>
          <cell r="H29">
            <v>3553</v>
          </cell>
          <cell r="I29">
            <v>507.57142857142856</v>
          </cell>
          <cell r="J29">
            <v>707</v>
          </cell>
          <cell r="K29">
            <v>5</v>
          </cell>
          <cell r="L29">
            <v>14</v>
          </cell>
          <cell r="M29">
            <v>77</v>
          </cell>
          <cell r="N29">
            <v>0.10891089108910891</v>
          </cell>
          <cell r="O29">
            <v>129</v>
          </cell>
          <cell r="P29">
            <v>18.428571428571427</v>
          </cell>
          <cell r="Q29">
            <v>0.11999561732589112</v>
          </cell>
        </row>
        <row r="30">
          <cell r="A30">
            <v>1837</v>
          </cell>
          <cell r="B30" t="str">
            <v>PAUILLAC</v>
          </cell>
          <cell r="C30">
            <v>1239</v>
          </cell>
          <cell r="D30">
            <v>0</v>
          </cell>
          <cell r="E30">
            <v>3.02</v>
          </cell>
          <cell r="F30">
            <v>90.12</v>
          </cell>
          <cell r="G30">
            <v>7.2736077481840203E-2</v>
          </cell>
          <cell r="H30">
            <v>270</v>
          </cell>
          <cell r="I30">
            <v>38.571428571428569</v>
          </cell>
          <cell r="J30">
            <v>64</v>
          </cell>
          <cell r="K30">
            <v>0</v>
          </cell>
          <cell r="L30">
            <v>3</v>
          </cell>
          <cell r="M30">
            <v>5</v>
          </cell>
          <cell r="N30">
            <v>7.8125E-2</v>
          </cell>
          <cell r="O30">
            <v>14</v>
          </cell>
          <cell r="P30">
            <v>2</v>
          </cell>
          <cell r="Q30">
            <v>7.5430538740920094E-2</v>
          </cell>
        </row>
        <row r="31">
          <cell r="A31">
            <v>1840</v>
          </cell>
          <cell r="B31" t="str">
            <v>MERIGNAC</v>
          </cell>
          <cell r="C31">
            <v>5092</v>
          </cell>
          <cell r="D31">
            <v>0</v>
          </cell>
          <cell r="E31">
            <v>2</v>
          </cell>
          <cell r="F31">
            <v>491.08</v>
          </cell>
          <cell r="G31">
            <v>9.644147682639434E-2</v>
          </cell>
          <cell r="H31">
            <v>986</v>
          </cell>
          <cell r="I31">
            <v>140.85714285714286</v>
          </cell>
          <cell r="J31">
            <v>152</v>
          </cell>
          <cell r="K31">
            <v>0</v>
          </cell>
          <cell r="L31">
            <v>3</v>
          </cell>
          <cell r="M31">
            <v>11</v>
          </cell>
          <cell r="N31">
            <v>7.2368421052631582E-2</v>
          </cell>
          <cell r="O31">
            <v>34</v>
          </cell>
          <cell r="P31">
            <v>4.8571428571428568</v>
          </cell>
          <cell r="Q31">
            <v>8.4404948939512961E-2</v>
          </cell>
        </row>
        <row r="32">
          <cell r="A32">
            <v>1843</v>
          </cell>
          <cell r="B32" t="str">
            <v>SAINT MEDARD EN JALLES</v>
          </cell>
          <cell r="C32">
            <v>4407</v>
          </cell>
          <cell r="D32">
            <v>0</v>
          </cell>
          <cell r="E32">
            <v>0.62</v>
          </cell>
          <cell r="F32">
            <v>265.97999999999996</v>
          </cell>
          <cell r="G32">
            <v>6.0353982300884949E-2</v>
          </cell>
          <cell r="H32">
            <v>1013</v>
          </cell>
          <cell r="I32">
            <v>144.71428571428572</v>
          </cell>
          <cell r="J32">
            <v>107</v>
          </cell>
          <cell r="K32">
            <v>1</v>
          </cell>
          <cell r="L32">
            <v>2</v>
          </cell>
          <cell r="M32">
            <v>8</v>
          </cell>
          <cell r="N32">
            <v>7.476635514018691E-2</v>
          </cell>
          <cell r="O32">
            <v>24</v>
          </cell>
          <cell r="P32">
            <v>3.4285714285714284</v>
          </cell>
          <cell r="Q32">
            <v>6.7560168720535926E-2</v>
          </cell>
        </row>
        <row r="33">
          <cell r="A33">
            <v>1850</v>
          </cell>
          <cell r="B33" t="str">
            <v>LESPARRE MEDOC</v>
          </cell>
          <cell r="C33">
            <v>2253</v>
          </cell>
          <cell r="D33">
            <v>0</v>
          </cell>
          <cell r="E33">
            <v>0</v>
          </cell>
          <cell r="F33">
            <v>333.39</v>
          </cell>
          <cell r="G33">
            <v>0.14797603195739015</v>
          </cell>
          <cell r="H33">
            <v>320</v>
          </cell>
          <cell r="I33">
            <v>45.714285714285715</v>
          </cell>
          <cell r="J33">
            <v>88</v>
          </cell>
          <cell r="K33">
            <v>0</v>
          </cell>
          <cell r="L33">
            <v>0</v>
          </cell>
          <cell r="M33">
            <v>5</v>
          </cell>
          <cell r="N33">
            <v>5.6818181818181816E-2</v>
          </cell>
          <cell r="O33">
            <v>21</v>
          </cell>
          <cell r="P33">
            <v>3</v>
          </cell>
          <cell r="Q33">
            <v>0.10239710688778599</v>
          </cell>
        </row>
        <row r="34">
          <cell r="A34">
            <v>51851</v>
          </cell>
          <cell r="B34" t="str">
            <v>Multisite CAUDERAN</v>
          </cell>
          <cell r="C34">
            <v>5178</v>
          </cell>
          <cell r="D34">
            <v>5</v>
          </cell>
          <cell r="E34">
            <v>45</v>
          </cell>
          <cell r="F34">
            <v>874.27</v>
          </cell>
          <cell r="G34">
            <v>0.16884318269602164</v>
          </cell>
          <cell r="H34">
            <v>628</v>
          </cell>
          <cell r="I34">
            <v>89.714285714285708</v>
          </cell>
          <cell r="J34">
            <v>145</v>
          </cell>
          <cell r="K34">
            <v>1</v>
          </cell>
          <cell r="L34">
            <v>2</v>
          </cell>
          <cell r="M34">
            <v>14</v>
          </cell>
          <cell r="N34">
            <v>9.6551724137931033E-2</v>
          </cell>
          <cell r="O34">
            <v>29</v>
          </cell>
          <cell r="P34">
            <v>4.1428571428571432</v>
          </cell>
          <cell r="Q34">
            <v>0.13269745341697634</v>
          </cell>
        </row>
        <row r="35">
          <cell r="A35">
            <v>1851</v>
          </cell>
          <cell r="B35" t="str">
            <v>BORDEAUX CAUDERAN</v>
          </cell>
          <cell r="C35">
            <v>3693</v>
          </cell>
          <cell r="D35">
            <v>5</v>
          </cell>
          <cell r="E35">
            <v>45</v>
          </cell>
          <cell r="F35">
            <v>518.75</v>
          </cell>
          <cell r="G35">
            <v>0.14046845383157325</v>
          </cell>
          <cell r="H35">
            <v>553</v>
          </cell>
          <cell r="I35">
            <v>79</v>
          </cell>
          <cell r="J35">
            <v>91</v>
          </cell>
          <cell r="K35">
            <v>1</v>
          </cell>
          <cell r="L35">
            <v>1</v>
          </cell>
          <cell r="M35">
            <v>5</v>
          </cell>
          <cell r="N35">
            <v>5.4945054945054944E-2</v>
          </cell>
          <cell r="O35">
            <v>22</v>
          </cell>
          <cell r="P35">
            <v>3.1428571428571428</v>
          </cell>
          <cell r="Q35">
            <v>9.7706754388314096E-2</v>
          </cell>
        </row>
        <row r="36">
          <cell r="A36">
            <v>1864</v>
          </cell>
          <cell r="B36" t="str">
            <v>MERIGNAC MONDESIR</v>
          </cell>
          <cell r="C36">
            <v>1485</v>
          </cell>
          <cell r="D36">
            <v>0</v>
          </cell>
          <cell r="E36">
            <v>0</v>
          </cell>
          <cell r="F36">
            <v>355.52</v>
          </cell>
          <cell r="G36">
            <v>0.2394074074074074</v>
          </cell>
          <cell r="H36">
            <v>76</v>
          </cell>
          <cell r="I36">
            <v>10.857142857142858</v>
          </cell>
          <cell r="J36">
            <v>54</v>
          </cell>
          <cell r="K36">
            <v>0</v>
          </cell>
          <cell r="L36">
            <v>1</v>
          </cell>
          <cell r="M36">
            <v>9</v>
          </cell>
          <cell r="N36">
            <v>0.16666666666666666</v>
          </cell>
          <cell r="O36">
            <v>7</v>
          </cell>
          <cell r="P36">
            <v>1</v>
          </cell>
          <cell r="Q36">
            <v>0.20303703703703702</v>
          </cell>
        </row>
        <row r="37">
          <cell r="A37">
            <v>1838</v>
          </cell>
          <cell r="B37" t="str">
            <v>BORDEAUX BAR JUDAIQUE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A38">
            <v>51859</v>
          </cell>
          <cell r="B38" t="str">
            <v>Multisite BRUGES</v>
          </cell>
          <cell r="C38">
            <v>4077</v>
          </cell>
          <cell r="D38">
            <v>0.45</v>
          </cell>
          <cell r="E38">
            <v>122.74000000000001</v>
          </cell>
          <cell r="F38">
            <v>875.35</v>
          </cell>
          <cell r="G38">
            <v>0.21470443953887663</v>
          </cell>
          <cell r="H38">
            <v>307</v>
          </cell>
          <cell r="I38">
            <v>43.857142857142854</v>
          </cell>
          <cell r="J38">
            <v>151</v>
          </cell>
          <cell r="K38">
            <v>3</v>
          </cell>
          <cell r="L38">
            <v>4</v>
          </cell>
          <cell r="M38">
            <v>34</v>
          </cell>
          <cell r="N38">
            <v>0.2251655629139073</v>
          </cell>
          <cell r="O38">
            <v>10</v>
          </cell>
          <cell r="P38">
            <v>1.4285714285714286</v>
          </cell>
          <cell r="Q38">
            <v>0.21993500122639198</v>
          </cell>
        </row>
        <row r="39">
          <cell r="A39">
            <v>1858</v>
          </cell>
          <cell r="B39" t="str">
            <v>EYSINES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A40">
            <v>1859</v>
          </cell>
          <cell r="B40" t="str">
            <v>BRUGES</v>
          </cell>
          <cell r="C40">
            <v>2212</v>
          </cell>
          <cell r="D40">
            <v>0.45</v>
          </cell>
          <cell r="E40">
            <v>122.61</v>
          </cell>
          <cell r="F40">
            <v>785.76</v>
          </cell>
          <cell r="G40">
            <v>0.35522603978300182</v>
          </cell>
          <cell r="H40">
            <v>0</v>
          </cell>
          <cell r="I40">
            <v>0</v>
          </cell>
          <cell r="J40">
            <v>77</v>
          </cell>
          <cell r="K40">
            <v>3</v>
          </cell>
          <cell r="L40">
            <v>4</v>
          </cell>
          <cell r="M40">
            <v>29</v>
          </cell>
          <cell r="N40">
            <v>0.37662337662337664</v>
          </cell>
          <cell r="O40">
            <v>0</v>
          </cell>
          <cell r="P40">
            <v>0</v>
          </cell>
          <cell r="Q40">
            <v>0.36592470820318923</v>
          </cell>
        </row>
        <row r="41">
          <cell r="A41">
            <v>1860</v>
          </cell>
          <cell r="B41" t="str">
            <v>BLANQUEFORT</v>
          </cell>
          <cell r="C41">
            <v>1865</v>
          </cell>
          <cell r="D41">
            <v>0</v>
          </cell>
          <cell r="E41">
            <v>0.13</v>
          </cell>
          <cell r="F41">
            <v>89.59</v>
          </cell>
          <cell r="G41">
            <v>4.8037533512064343E-2</v>
          </cell>
          <cell r="H41">
            <v>452</v>
          </cell>
          <cell r="I41">
            <v>64.571428571428569</v>
          </cell>
          <cell r="J41">
            <v>74</v>
          </cell>
          <cell r="K41">
            <v>0</v>
          </cell>
          <cell r="L41">
            <v>0</v>
          </cell>
          <cell r="M41">
            <v>5</v>
          </cell>
          <cell r="N41">
            <v>6.7567567567567571E-2</v>
          </cell>
          <cell r="O41">
            <v>17</v>
          </cell>
          <cell r="P41">
            <v>2.4285714285714284</v>
          </cell>
          <cell r="Q41">
            <v>5.7802550539815957E-2</v>
          </cell>
        </row>
        <row r="42">
          <cell r="A42">
            <v>43717</v>
          </cell>
          <cell r="B42" t="str">
            <v>DGA SUD GIRONDE</v>
          </cell>
          <cell r="C42">
            <v>16895</v>
          </cell>
          <cell r="D42">
            <v>51.2</v>
          </cell>
          <cell r="E42">
            <v>258.73</v>
          </cell>
          <cell r="F42">
            <v>3160.18</v>
          </cell>
          <cell r="G42">
            <v>0.18704823912400118</v>
          </cell>
          <cell r="H42">
            <v>1740</v>
          </cell>
          <cell r="I42">
            <v>248.57142857142858</v>
          </cell>
          <cell r="J42">
            <v>589</v>
          </cell>
          <cell r="K42">
            <v>2</v>
          </cell>
          <cell r="L42">
            <v>6</v>
          </cell>
          <cell r="M42">
            <v>62</v>
          </cell>
          <cell r="N42">
            <v>0.10526315789473684</v>
          </cell>
          <cell r="O42">
            <v>109</v>
          </cell>
          <cell r="P42">
            <v>15.571428571428571</v>
          </cell>
          <cell r="Q42">
            <v>0.14615569850936899</v>
          </cell>
        </row>
        <row r="43">
          <cell r="A43">
            <v>1842</v>
          </cell>
          <cell r="B43" t="str">
            <v>BORDEAUX BARRIERE DE PESSAC</v>
          </cell>
          <cell r="C43">
            <v>2301</v>
          </cell>
          <cell r="D43">
            <v>50</v>
          </cell>
          <cell r="E43">
            <v>50</v>
          </cell>
          <cell r="F43">
            <v>91.12</v>
          </cell>
          <cell r="G43">
            <v>3.9600173837461977E-2</v>
          </cell>
          <cell r="H43">
            <v>577</v>
          </cell>
          <cell r="I43">
            <v>82.428571428571431</v>
          </cell>
          <cell r="J43">
            <v>64</v>
          </cell>
          <cell r="K43">
            <v>0</v>
          </cell>
          <cell r="L43">
            <v>0</v>
          </cell>
          <cell r="M43">
            <v>2</v>
          </cell>
          <cell r="N43">
            <v>3.125E-2</v>
          </cell>
          <cell r="O43">
            <v>17</v>
          </cell>
          <cell r="P43">
            <v>2.4285714285714284</v>
          </cell>
          <cell r="Q43">
            <v>3.5425086918730989E-2</v>
          </cell>
        </row>
        <row r="44">
          <cell r="A44">
            <v>51845</v>
          </cell>
          <cell r="B44" t="str">
            <v>Multisite PESSAC</v>
          </cell>
          <cell r="C44">
            <v>4496</v>
          </cell>
          <cell r="D44">
            <v>0</v>
          </cell>
          <cell r="E44">
            <v>82.62</v>
          </cell>
          <cell r="F44">
            <v>1801.48</v>
          </cell>
          <cell r="G44">
            <v>0.40068505338078292</v>
          </cell>
          <cell r="H44">
            <v>0</v>
          </cell>
          <cell r="I44">
            <v>0</v>
          </cell>
          <cell r="J44">
            <v>169</v>
          </cell>
          <cell r="K44">
            <v>0</v>
          </cell>
          <cell r="L44">
            <v>2</v>
          </cell>
          <cell r="M44">
            <v>21</v>
          </cell>
          <cell r="N44">
            <v>0.1242603550295858</v>
          </cell>
          <cell r="O44">
            <v>29</v>
          </cell>
          <cell r="P44">
            <v>4.1428571428571432</v>
          </cell>
          <cell r="Q44">
            <v>0.26247270420518437</v>
          </cell>
        </row>
        <row r="45">
          <cell r="A45">
            <v>1845</v>
          </cell>
          <cell r="B45" t="str">
            <v>PESSAC</v>
          </cell>
          <cell r="C45">
            <v>3184</v>
          </cell>
          <cell r="D45">
            <v>0</v>
          </cell>
          <cell r="E45">
            <v>82.62</v>
          </cell>
          <cell r="F45">
            <v>1290.48</v>
          </cell>
          <cell r="G45">
            <v>0.40530150753768845</v>
          </cell>
          <cell r="H45">
            <v>0</v>
          </cell>
          <cell r="I45">
            <v>0</v>
          </cell>
          <cell r="J45">
            <v>116</v>
          </cell>
          <cell r="K45">
            <v>0</v>
          </cell>
          <cell r="L45">
            <v>2</v>
          </cell>
          <cell r="M45">
            <v>15</v>
          </cell>
          <cell r="N45">
            <v>0.12931034482758622</v>
          </cell>
          <cell r="O45">
            <v>19</v>
          </cell>
          <cell r="P45">
            <v>2.7142857142857144</v>
          </cell>
          <cell r="Q45">
            <v>0.26730592618263732</v>
          </cell>
        </row>
        <row r="46">
          <cell r="A46">
            <v>1865</v>
          </cell>
          <cell r="B46" t="str">
            <v>PESSAC ALOUETTE</v>
          </cell>
          <cell r="C46">
            <v>1312</v>
          </cell>
          <cell r="D46">
            <v>0</v>
          </cell>
          <cell r="E46">
            <v>0</v>
          </cell>
          <cell r="F46">
            <v>511</v>
          </cell>
          <cell r="G46">
            <v>0.38948170731707316</v>
          </cell>
          <cell r="H46">
            <v>0</v>
          </cell>
          <cell r="I46">
            <v>0</v>
          </cell>
          <cell r="J46">
            <v>53</v>
          </cell>
          <cell r="K46">
            <v>0</v>
          </cell>
          <cell r="L46">
            <v>0</v>
          </cell>
          <cell r="M46">
            <v>6</v>
          </cell>
          <cell r="N46">
            <v>0.11320754716981132</v>
          </cell>
          <cell r="O46">
            <v>10</v>
          </cell>
          <cell r="P46">
            <v>1.4285714285714286</v>
          </cell>
          <cell r="Q46">
            <v>0.25134462724344225</v>
          </cell>
        </row>
        <row r="47">
          <cell r="A47">
            <v>1846</v>
          </cell>
          <cell r="B47" t="str">
            <v>BORDEAUX BARRIER DE TOULOUSE</v>
          </cell>
          <cell r="C47">
            <v>1954</v>
          </cell>
          <cell r="D47">
            <v>0</v>
          </cell>
          <cell r="E47">
            <v>0.4</v>
          </cell>
          <cell r="F47">
            <v>146.80000000000001</v>
          </cell>
          <cell r="G47">
            <v>7.5127942681678619E-2</v>
          </cell>
          <cell r="H47">
            <v>420</v>
          </cell>
          <cell r="I47">
            <v>60</v>
          </cell>
          <cell r="J47">
            <v>63</v>
          </cell>
          <cell r="K47">
            <v>0</v>
          </cell>
          <cell r="L47">
            <v>0</v>
          </cell>
          <cell r="M47">
            <v>2</v>
          </cell>
          <cell r="N47">
            <v>3.1746031746031744E-2</v>
          </cell>
          <cell r="O47">
            <v>17</v>
          </cell>
          <cell r="P47">
            <v>2.4285714285714284</v>
          </cell>
          <cell r="Q47">
            <v>5.3436987213855182E-2</v>
          </cell>
        </row>
        <row r="48">
          <cell r="A48">
            <v>51855</v>
          </cell>
          <cell r="B48" t="str">
            <v>Multisite TALENCE</v>
          </cell>
          <cell r="C48">
            <v>5201</v>
          </cell>
          <cell r="D48">
            <v>1.2</v>
          </cell>
          <cell r="E48">
            <v>94.72</v>
          </cell>
          <cell r="F48">
            <v>843.48</v>
          </cell>
          <cell r="G48">
            <v>0.16217650451836185</v>
          </cell>
          <cell r="H48">
            <v>665</v>
          </cell>
          <cell r="I48">
            <v>95</v>
          </cell>
          <cell r="J48">
            <v>205</v>
          </cell>
          <cell r="K48">
            <v>2</v>
          </cell>
          <cell r="L48">
            <v>3</v>
          </cell>
          <cell r="M48">
            <v>19</v>
          </cell>
          <cell r="N48">
            <v>9.2682926829268292E-2</v>
          </cell>
          <cell r="O48">
            <v>41</v>
          </cell>
          <cell r="P48">
            <v>5.8571428571428568</v>
          </cell>
          <cell r="Q48">
            <v>0.12742971567381506</v>
          </cell>
        </row>
        <row r="49">
          <cell r="A49">
            <v>1855</v>
          </cell>
          <cell r="B49" t="str">
            <v>TALENCE</v>
          </cell>
          <cell r="C49">
            <v>2194</v>
          </cell>
          <cell r="D49">
            <v>0</v>
          </cell>
          <cell r="E49">
            <v>0</v>
          </cell>
          <cell r="F49">
            <v>459.79</v>
          </cell>
          <cell r="G49">
            <v>0.20956700091157704</v>
          </cell>
          <cell r="H49">
            <v>177</v>
          </cell>
          <cell r="I49">
            <v>25.285714285714285</v>
          </cell>
          <cell r="J49">
            <v>109</v>
          </cell>
          <cell r="K49">
            <v>0</v>
          </cell>
          <cell r="L49">
            <v>0</v>
          </cell>
          <cell r="M49">
            <v>7</v>
          </cell>
          <cell r="N49">
            <v>6.4220183486238536E-2</v>
          </cell>
          <cell r="O49">
            <v>25</v>
          </cell>
          <cell r="P49">
            <v>3.5714285714285716</v>
          </cell>
          <cell r="Q49">
            <v>0.13689359219890779</v>
          </cell>
        </row>
        <row r="50">
          <cell r="A50">
            <v>1857</v>
          </cell>
          <cell r="B50" t="str">
            <v>VILLENAVE D'ORNON</v>
          </cell>
          <cell r="C50">
            <v>3007</v>
          </cell>
          <cell r="D50">
            <v>1.2</v>
          </cell>
          <cell r="E50">
            <v>94.72</v>
          </cell>
          <cell r="F50">
            <v>383.69000000000005</v>
          </cell>
          <cell r="G50">
            <v>0.12759893581642834</v>
          </cell>
          <cell r="H50">
            <v>489</v>
          </cell>
          <cell r="I50">
            <v>69.857142857142861</v>
          </cell>
          <cell r="J50">
            <v>96</v>
          </cell>
          <cell r="K50">
            <v>2</v>
          </cell>
          <cell r="L50">
            <v>3</v>
          </cell>
          <cell r="M50">
            <v>12</v>
          </cell>
          <cell r="N50">
            <v>0.125</v>
          </cell>
          <cell r="O50">
            <v>16</v>
          </cell>
          <cell r="P50">
            <v>2.2857142857142856</v>
          </cell>
          <cell r="Q50">
            <v>0.12629946790821417</v>
          </cell>
        </row>
        <row r="51">
          <cell r="A51">
            <v>1856</v>
          </cell>
          <cell r="B51" t="str">
            <v>GRADIGNAN</v>
          </cell>
          <cell r="C51">
            <v>2859</v>
          </cell>
          <cell r="D51">
            <v>0</v>
          </cell>
          <cell r="E51">
            <v>31</v>
          </cell>
          <cell r="F51">
            <v>277.29000000000002</v>
          </cell>
          <cell r="G51">
            <v>9.6988457502623304E-2</v>
          </cell>
          <cell r="H51">
            <v>552</v>
          </cell>
          <cell r="I51">
            <v>78.857142857142861</v>
          </cell>
          <cell r="J51">
            <v>88</v>
          </cell>
          <cell r="K51">
            <v>0</v>
          </cell>
          <cell r="L51">
            <v>1</v>
          </cell>
          <cell r="M51">
            <v>18</v>
          </cell>
          <cell r="N51">
            <v>0.20454545454545456</v>
          </cell>
          <cell r="O51">
            <v>8</v>
          </cell>
          <cell r="P51">
            <v>1.1428571428571428</v>
          </cell>
          <cell r="Q51">
            <v>0.15076695602403895</v>
          </cell>
        </row>
        <row r="52">
          <cell r="A52">
            <v>43739</v>
          </cell>
          <cell r="B52" t="str">
            <v>DGA BASSIN D'ARCACHON</v>
          </cell>
          <cell r="C52">
            <v>15110</v>
          </cell>
          <cell r="D52">
            <v>432.5</v>
          </cell>
          <cell r="E52">
            <v>736</v>
          </cell>
          <cell r="F52">
            <v>3068.41</v>
          </cell>
          <cell r="G52">
            <v>0.20307147584381202</v>
          </cell>
          <cell r="H52">
            <v>1314</v>
          </cell>
          <cell r="I52">
            <v>187.71428571428572</v>
          </cell>
          <cell r="J52">
            <v>393</v>
          </cell>
          <cell r="K52">
            <v>11</v>
          </cell>
          <cell r="L52">
            <v>19</v>
          </cell>
          <cell r="M52">
            <v>439</v>
          </cell>
          <cell r="N52">
            <v>0.44</v>
          </cell>
          <cell r="O52">
            <v>0</v>
          </cell>
          <cell r="P52">
            <v>0</v>
          </cell>
          <cell r="Q52">
            <v>0.32153573792190604</v>
          </cell>
        </row>
        <row r="53">
          <cell r="A53">
            <v>1831</v>
          </cell>
          <cell r="B53" t="str">
            <v>ARCACHON</v>
          </cell>
          <cell r="C53">
            <v>4555</v>
          </cell>
          <cell r="D53">
            <v>409.15</v>
          </cell>
          <cell r="E53">
            <v>409.15</v>
          </cell>
          <cell r="F53">
            <v>1904.23</v>
          </cell>
          <cell r="G53">
            <v>0.41805268935236006</v>
          </cell>
          <cell r="H53">
            <v>0</v>
          </cell>
          <cell r="I53">
            <v>0</v>
          </cell>
          <cell r="J53">
            <v>84</v>
          </cell>
          <cell r="K53">
            <v>1</v>
          </cell>
          <cell r="L53">
            <v>1</v>
          </cell>
          <cell r="M53">
            <v>9</v>
          </cell>
          <cell r="N53">
            <v>0.10714285714285714</v>
          </cell>
          <cell r="O53">
            <v>16</v>
          </cell>
          <cell r="P53">
            <v>2.2857142857142856</v>
          </cell>
          <cell r="Q53">
            <v>0.26259777324760858</v>
          </cell>
        </row>
        <row r="54">
          <cell r="A54">
            <v>51848</v>
          </cell>
          <cell r="B54" t="str">
            <v>Multisite LA TESTE DE BUCH</v>
          </cell>
          <cell r="C54">
            <v>6383</v>
          </cell>
          <cell r="D54">
            <v>20.56</v>
          </cell>
          <cell r="E54">
            <v>116.05</v>
          </cell>
          <cell r="F54">
            <v>561.68000000000006</v>
          </cell>
          <cell r="G54">
            <v>8.7996240012533297E-2</v>
          </cell>
          <cell r="H54">
            <v>1290</v>
          </cell>
          <cell r="I54">
            <v>184.28571428571428</v>
          </cell>
          <cell r="J54">
            <v>157</v>
          </cell>
          <cell r="K54">
            <v>5</v>
          </cell>
          <cell r="L54">
            <v>12</v>
          </cell>
          <cell r="M54">
            <v>395</v>
          </cell>
          <cell r="N54">
            <v>0.44</v>
          </cell>
          <cell r="O54">
            <v>0</v>
          </cell>
          <cell r="P54">
            <v>0</v>
          </cell>
          <cell r="Q54">
            <v>0.26399812000626666</v>
          </cell>
        </row>
        <row r="55">
          <cell r="A55">
            <v>1848</v>
          </cell>
          <cell r="B55" t="str">
            <v>LA TESTE DE BUCH</v>
          </cell>
          <cell r="C55">
            <v>4249</v>
          </cell>
          <cell r="D55">
            <v>20</v>
          </cell>
          <cell r="E55">
            <v>110.1</v>
          </cell>
          <cell r="F55">
            <v>444.49</v>
          </cell>
          <cell r="G55">
            <v>0.10461049658743234</v>
          </cell>
          <cell r="H55">
            <v>788</v>
          </cell>
          <cell r="I55">
            <v>112.57142857142857</v>
          </cell>
          <cell r="J55">
            <v>102</v>
          </cell>
          <cell r="K55">
            <v>2</v>
          </cell>
          <cell r="L55">
            <v>8</v>
          </cell>
          <cell r="M55">
            <v>26</v>
          </cell>
          <cell r="N55">
            <v>0.25490196078431371</v>
          </cell>
          <cell r="O55">
            <v>4</v>
          </cell>
          <cell r="P55">
            <v>0.5714285714285714</v>
          </cell>
          <cell r="Q55">
            <v>0.17975622868587302</v>
          </cell>
        </row>
        <row r="56">
          <cell r="A56">
            <v>1870</v>
          </cell>
          <cell r="B56" t="str">
            <v>GUJAN MESTRAS</v>
          </cell>
          <cell r="C56">
            <v>2134</v>
          </cell>
          <cell r="D56">
            <v>0.56000000000000005</v>
          </cell>
          <cell r="E56">
            <v>5.95</v>
          </cell>
          <cell r="F56">
            <v>117.19</v>
          </cell>
          <cell r="G56">
            <v>5.4915651358950324E-2</v>
          </cell>
          <cell r="H56">
            <v>502</v>
          </cell>
          <cell r="I56">
            <v>71.714285714285708</v>
          </cell>
          <cell r="J56">
            <v>55</v>
          </cell>
          <cell r="K56">
            <v>3</v>
          </cell>
          <cell r="L56">
            <v>4</v>
          </cell>
          <cell r="M56">
            <v>369</v>
          </cell>
          <cell r="N56">
            <v>0.44</v>
          </cell>
          <cell r="O56">
            <v>0</v>
          </cell>
          <cell r="P56">
            <v>0</v>
          </cell>
          <cell r="Q56">
            <v>0.24745782567947516</v>
          </cell>
        </row>
        <row r="57">
          <cell r="A57">
            <v>51852</v>
          </cell>
          <cell r="B57" t="str">
            <v>Multisite ANDERNOS LES BAINS</v>
          </cell>
          <cell r="C57">
            <v>5309</v>
          </cell>
          <cell r="D57">
            <v>2.79</v>
          </cell>
          <cell r="E57">
            <v>210.8</v>
          </cell>
          <cell r="F57">
            <v>602.5</v>
          </cell>
          <cell r="G57">
            <v>0.11348653230363534</v>
          </cell>
          <cell r="H57">
            <v>938</v>
          </cell>
          <cell r="I57">
            <v>134</v>
          </cell>
          <cell r="J57">
            <v>155</v>
          </cell>
          <cell r="K57">
            <v>5</v>
          </cell>
          <cell r="L57">
            <v>6</v>
          </cell>
          <cell r="M57">
            <v>35</v>
          </cell>
          <cell r="N57">
            <v>0.22580645161290322</v>
          </cell>
          <cell r="O57">
            <v>10</v>
          </cell>
          <cell r="P57">
            <v>1.4285714285714286</v>
          </cell>
          <cell r="Q57">
            <v>0.16964649195826928</v>
          </cell>
        </row>
        <row r="58">
          <cell r="A58">
            <v>1852</v>
          </cell>
          <cell r="B58" t="str">
            <v>ANDERNOS LES BAINS</v>
          </cell>
          <cell r="C58">
            <v>3683</v>
          </cell>
          <cell r="D58">
            <v>2.79</v>
          </cell>
          <cell r="E58">
            <v>10.79</v>
          </cell>
          <cell r="F58">
            <v>350.3</v>
          </cell>
          <cell r="G58">
            <v>9.511267988053218E-2</v>
          </cell>
          <cell r="H58">
            <v>718</v>
          </cell>
          <cell r="I58">
            <v>102.57142857142857</v>
          </cell>
          <cell r="J58">
            <v>86</v>
          </cell>
          <cell r="K58">
            <v>5</v>
          </cell>
          <cell r="L58">
            <v>5</v>
          </cell>
          <cell r="M58">
            <v>30</v>
          </cell>
          <cell r="N58">
            <v>0.34883720930232559</v>
          </cell>
          <cell r="O58">
            <v>0</v>
          </cell>
          <cell r="P58">
            <v>0</v>
          </cell>
          <cell r="Q58">
            <v>0.22197494459142889</v>
          </cell>
        </row>
        <row r="59">
          <cell r="A59">
            <v>1873</v>
          </cell>
          <cell r="B59" t="str">
            <v>BIGANOS</v>
          </cell>
          <cell r="C59">
            <v>1626</v>
          </cell>
          <cell r="D59">
            <v>0</v>
          </cell>
          <cell r="E59">
            <v>200.02</v>
          </cell>
          <cell r="F59">
            <v>252.20999999999998</v>
          </cell>
          <cell r="G59">
            <v>0.15511070110701106</v>
          </cell>
          <cell r="H59">
            <v>220</v>
          </cell>
          <cell r="I59">
            <v>31.428571428571427</v>
          </cell>
          <cell r="J59">
            <v>69</v>
          </cell>
          <cell r="K59">
            <v>0</v>
          </cell>
          <cell r="L59">
            <v>1</v>
          </cell>
          <cell r="M59">
            <v>5</v>
          </cell>
          <cell r="N59">
            <v>7.2463768115942032E-2</v>
          </cell>
          <cell r="O59">
            <v>16</v>
          </cell>
          <cell r="P59">
            <v>2.2857142857142856</v>
          </cell>
          <cell r="Q59">
            <v>0.11378723461147655</v>
          </cell>
        </row>
        <row r="60">
          <cell r="A60">
            <v>43741</v>
          </cell>
          <cell r="B60" t="str">
            <v>DGA BORDEAUX RIVE DROITE</v>
          </cell>
          <cell r="C60">
            <v>14070</v>
          </cell>
          <cell r="D60">
            <v>216</v>
          </cell>
          <cell r="E60">
            <v>296.10000000000002</v>
          </cell>
          <cell r="F60">
            <v>1977.32</v>
          </cell>
          <cell r="G60">
            <v>0.14053447050461976</v>
          </cell>
          <cell r="H60">
            <v>2103</v>
          </cell>
          <cell r="I60">
            <v>300.42857142857144</v>
          </cell>
          <cell r="J60">
            <v>544</v>
          </cell>
          <cell r="K60">
            <v>7</v>
          </cell>
          <cell r="L60">
            <v>8</v>
          </cell>
          <cell r="M60">
            <v>46</v>
          </cell>
          <cell r="N60">
            <v>8.455882352941177E-2</v>
          </cell>
          <cell r="O60">
            <v>112</v>
          </cell>
          <cell r="P60">
            <v>16</v>
          </cell>
          <cell r="Q60">
            <v>0.11254664701701576</v>
          </cell>
        </row>
        <row r="61">
          <cell r="A61">
            <v>1834</v>
          </cell>
          <cell r="B61" t="str">
            <v>LANGON</v>
          </cell>
          <cell r="C61">
            <v>2707</v>
          </cell>
          <cell r="D61">
            <v>10</v>
          </cell>
          <cell r="E61">
            <v>10.039999999999999</v>
          </cell>
          <cell r="F61">
            <v>426.96000000000004</v>
          </cell>
          <cell r="G61">
            <v>0.1577244181751016</v>
          </cell>
          <cell r="H61">
            <v>359</v>
          </cell>
          <cell r="I61">
            <v>51.285714285714285</v>
          </cell>
          <cell r="J61">
            <v>93</v>
          </cell>
          <cell r="K61">
            <v>3</v>
          </cell>
          <cell r="L61">
            <v>4</v>
          </cell>
          <cell r="M61">
            <v>8</v>
          </cell>
          <cell r="N61">
            <v>8.6021505376344093E-2</v>
          </cell>
          <cell r="O61">
            <v>19</v>
          </cell>
          <cell r="P61">
            <v>2.7142857142857144</v>
          </cell>
          <cell r="Q61">
            <v>0.12187296177572285</v>
          </cell>
        </row>
        <row r="62">
          <cell r="A62">
            <v>51835</v>
          </cell>
          <cell r="B62" t="str">
            <v>Multisite LIBOURNE</v>
          </cell>
          <cell r="C62">
            <v>4104</v>
          </cell>
          <cell r="D62">
            <v>0</v>
          </cell>
          <cell r="E62">
            <v>50</v>
          </cell>
          <cell r="F62">
            <v>518.79</v>
          </cell>
          <cell r="G62">
            <v>0.12641081871345028</v>
          </cell>
          <cell r="H62">
            <v>672</v>
          </cell>
          <cell r="I62">
            <v>96</v>
          </cell>
          <cell r="J62">
            <v>196</v>
          </cell>
          <cell r="K62">
            <v>0</v>
          </cell>
          <cell r="L62">
            <v>0</v>
          </cell>
          <cell r="M62">
            <v>11</v>
          </cell>
          <cell r="N62">
            <v>5.6122448979591837E-2</v>
          </cell>
          <cell r="O62">
            <v>46</v>
          </cell>
          <cell r="P62">
            <v>6.5714285714285712</v>
          </cell>
          <cell r="Q62">
            <v>9.1266633846521061E-2</v>
          </cell>
        </row>
        <row r="63">
          <cell r="A63">
            <v>1825</v>
          </cell>
          <cell r="B63" t="str">
            <v>SAINT ANDRE DE CUBZAC</v>
          </cell>
          <cell r="C63">
            <v>1370</v>
          </cell>
          <cell r="D63">
            <v>0</v>
          </cell>
          <cell r="E63">
            <v>0</v>
          </cell>
          <cell r="F63">
            <v>281.89999999999998</v>
          </cell>
          <cell r="G63">
            <v>0.20576642335766421</v>
          </cell>
          <cell r="H63">
            <v>116</v>
          </cell>
          <cell r="I63">
            <v>16.571428571428573</v>
          </cell>
          <cell r="J63">
            <v>72</v>
          </cell>
          <cell r="K63">
            <v>0</v>
          </cell>
          <cell r="L63">
            <v>0</v>
          </cell>
          <cell r="M63">
            <v>3</v>
          </cell>
          <cell r="N63">
            <v>4.1666666666666664E-2</v>
          </cell>
          <cell r="O63">
            <v>18</v>
          </cell>
          <cell r="P63">
            <v>2.5714285714285716</v>
          </cell>
          <cell r="Q63">
            <v>0.12371654501216543</v>
          </cell>
        </row>
        <row r="64">
          <cell r="A64">
            <v>1835</v>
          </cell>
          <cell r="B64" t="str">
            <v>LIBOURNE</v>
          </cell>
          <cell r="C64">
            <v>2452</v>
          </cell>
          <cell r="D64">
            <v>0</v>
          </cell>
          <cell r="E64">
            <v>50</v>
          </cell>
          <cell r="F64">
            <v>191.88</v>
          </cell>
          <cell r="G64">
            <v>7.8254486133768356E-2</v>
          </cell>
          <cell r="H64">
            <v>520</v>
          </cell>
          <cell r="I64">
            <v>74.285714285714292</v>
          </cell>
          <cell r="J64">
            <v>112</v>
          </cell>
          <cell r="K64">
            <v>0</v>
          </cell>
          <cell r="L64">
            <v>0</v>
          </cell>
          <cell r="M64">
            <v>7</v>
          </cell>
          <cell r="N64">
            <v>6.25E-2</v>
          </cell>
          <cell r="O64">
            <v>26</v>
          </cell>
          <cell r="P64">
            <v>3.7142857142857144</v>
          </cell>
          <cell r="Q64">
            <v>7.0377243066884171E-2</v>
          </cell>
        </row>
        <row r="65">
          <cell r="A65">
            <v>1878</v>
          </cell>
          <cell r="B65" t="str">
            <v>SAINT EMILION</v>
          </cell>
          <cell r="C65">
            <v>282</v>
          </cell>
          <cell r="D65">
            <v>0</v>
          </cell>
          <cell r="E65">
            <v>0</v>
          </cell>
          <cell r="F65">
            <v>45</v>
          </cell>
          <cell r="G65">
            <v>0.15957446808510639</v>
          </cell>
          <cell r="H65">
            <v>37</v>
          </cell>
          <cell r="I65">
            <v>5.2857142857142856</v>
          </cell>
          <cell r="J65">
            <v>12</v>
          </cell>
          <cell r="K65">
            <v>0</v>
          </cell>
          <cell r="L65">
            <v>0</v>
          </cell>
          <cell r="M65">
            <v>1</v>
          </cell>
          <cell r="N65">
            <v>8.3333333333333329E-2</v>
          </cell>
          <cell r="O65">
            <v>3</v>
          </cell>
          <cell r="P65">
            <v>0.42857142857142855</v>
          </cell>
          <cell r="Q65">
            <v>0.12145390070921985</v>
          </cell>
        </row>
        <row r="66">
          <cell r="A66">
            <v>1836</v>
          </cell>
          <cell r="B66" t="str">
            <v>BORDEAUX LA BASTIDE</v>
          </cell>
          <cell r="C66">
            <v>2753</v>
          </cell>
          <cell r="D66">
            <v>92</v>
          </cell>
          <cell r="E66">
            <v>92</v>
          </cell>
          <cell r="F66">
            <v>466.57</v>
          </cell>
          <cell r="G66">
            <v>0.1694769342535416</v>
          </cell>
          <cell r="H66">
            <v>332</v>
          </cell>
          <cell r="I66">
            <v>47.428571428571431</v>
          </cell>
          <cell r="J66">
            <v>89</v>
          </cell>
          <cell r="K66">
            <v>0</v>
          </cell>
          <cell r="L66">
            <v>0</v>
          </cell>
          <cell r="M66">
            <v>10</v>
          </cell>
          <cell r="N66">
            <v>0.11235955056179775</v>
          </cell>
          <cell r="O66">
            <v>16</v>
          </cell>
          <cell r="P66">
            <v>2.2857142857142856</v>
          </cell>
          <cell r="Q66">
            <v>0.14091824240766967</v>
          </cell>
        </row>
        <row r="67">
          <cell r="A67">
            <v>51853</v>
          </cell>
          <cell r="B67" t="str">
            <v>Multisite CENON</v>
          </cell>
          <cell r="C67">
            <v>4434</v>
          </cell>
          <cell r="D67">
            <v>114</v>
          </cell>
          <cell r="E67">
            <v>144.06</v>
          </cell>
          <cell r="F67">
            <v>564.99</v>
          </cell>
          <cell r="G67">
            <v>0.12742219215155615</v>
          </cell>
          <cell r="H67">
            <v>721</v>
          </cell>
          <cell r="I67">
            <v>103</v>
          </cell>
          <cell r="J67">
            <v>166</v>
          </cell>
          <cell r="K67">
            <v>4</v>
          </cell>
          <cell r="L67">
            <v>4</v>
          </cell>
          <cell r="M67">
            <v>17</v>
          </cell>
          <cell r="N67">
            <v>0.10240963855421686</v>
          </cell>
          <cell r="O67">
            <v>32</v>
          </cell>
          <cell r="P67">
            <v>4.5714285714285712</v>
          </cell>
          <cell r="Q67">
            <v>0.11491591535288651</v>
          </cell>
        </row>
        <row r="68">
          <cell r="A68">
            <v>1824</v>
          </cell>
          <cell r="B68" t="str">
            <v>AMBARES ET LAGRAVE</v>
          </cell>
          <cell r="C68">
            <v>893</v>
          </cell>
          <cell r="D68">
            <v>0</v>
          </cell>
          <cell r="E68">
            <v>0</v>
          </cell>
          <cell r="F68">
            <v>44.33</v>
          </cell>
          <cell r="G68">
            <v>4.9641657334826429E-2</v>
          </cell>
          <cell r="H68">
            <v>215</v>
          </cell>
          <cell r="I68">
            <v>30.714285714285715</v>
          </cell>
          <cell r="J68">
            <v>37</v>
          </cell>
          <cell r="K68">
            <v>0</v>
          </cell>
          <cell r="L68">
            <v>0</v>
          </cell>
          <cell r="M68">
            <v>1</v>
          </cell>
          <cell r="N68">
            <v>2.7027027027027029E-2</v>
          </cell>
          <cell r="O68">
            <v>10</v>
          </cell>
          <cell r="P68">
            <v>1.4285714285714286</v>
          </cell>
          <cell r="Q68">
            <v>3.8334342180926725E-2</v>
          </cell>
        </row>
        <row r="69">
          <cell r="A69">
            <v>1853</v>
          </cell>
          <cell r="B69" t="str">
            <v>CENON</v>
          </cell>
          <cell r="C69">
            <v>3541</v>
          </cell>
          <cell r="D69">
            <v>114</v>
          </cell>
          <cell r="E69">
            <v>144.06</v>
          </cell>
          <cell r="F69">
            <v>520.66000000000008</v>
          </cell>
          <cell r="G69">
            <v>0.14703756001129625</v>
          </cell>
          <cell r="H69">
            <v>507</v>
          </cell>
          <cell r="I69">
            <v>72.428571428571431</v>
          </cell>
          <cell r="J69">
            <v>129</v>
          </cell>
          <cell r="K69">
            <v>4</v>
          </cell>
          <cell r="L69">
            <v>4</v>
          </cell>
          <cell r="M69">
            <v>16</v>
          </cell>
          <cell r="N69">
            <v>0.12403100775193798</v>
          </cell>
          <cell r="O69">
            <v>22</v>
          </cell>
          <cell r="P69">
            <v>3.1428571428571428</v>
          </cell>
          <cell r="Q69">
            <v>0.13553428388161712</v>
          </cell>
        </row>
        <row r="70">
          <cell r="A70">
            <v>43733</v>
          </cell>
          <cell r="B70" t="str">
            <v>DGA LOT ET GARONNE</v>
          </cell>
          <cell r="C70">
            <v>11021</v>
          </cell>
          <cell r="D70">
            <v>0.09</v>
          </cell>
          <cell r="E70">
            <v>65.34</v>
          </cell>
          <cell r="F70">
            <v>1303.33</v>
          </cell>
          <cell r="G70">
            <v>0.11825877869521821</v>
          </cell>
          <cell r="H70">
            <v>1893</v>
          </cell>
          <cell r="I70">
            <v>270.42857142857144</v>
          </cell>
          <cell r="J70">
            <v>410</v>
          </cell>
          <cell r="K70">
            <v>3</v>
          </cell>
          <cell r="L70">
            <v>5</v>
          </cell>
          <cell r="M70">
            <v>66</v>
          </cell>
          <cell r="N70">
            <v>0.16097560975609757</v>
          </cell>
          <cell r="O70">
            <v>53</v>
          </cell>
          <cell r="P70">
            <v>7.5714285714285712</v>
          </cell>
          <cell r="Q70">
            <v>0.13961719422565788</v>
          </cell>
        </row>
        <row r="71">
          <cell r="A71">
            <v>51200</v>
          </cell>
          <cell r="B71" t="str">
            <v>Multisite AGEN</v>
          </cell>
          <cell r="C71">
            <v>6230</v>
          </cell>
          <cell r="D71">
            <v>0.09</v>
          </cell>
          <cell r="E71">
            <v>65.02</v>
          </cell>
          <cell r="F71">
            <v>852.66000000000008</v>
          </cell>
          <cell r="G71">
            <v>0.13686356340288927</v>
          </cell>
          <cell r="H71">
            <v>955</v>
          </cell>
          <cell r="I71">
            <v>136.42857142857142</v>
          </cell>
          <cell r="J71">
            <v>223</v>
          </cell>
          <cell r="K71">
            <v>3</v>
          </cell>
          <cell r="L71">
            <v>5</v>
          </cell>
          <cell r="M71">
            <v>44</v>
          </cell>
          <cell r="N71">
            <v>0.19730941704035873</v>
          </cell>
          <cell r="O71">
            <v>21</v>
          </cell>
          <cell r="P71">
            <v>3</v>
          </cell>
          <cell r="Q71">
            <v>0.167086490221624</v>
          </cell>
        </row>
        <row r="72">
          <cell r="A72">
            <v>1200</v>
          </cell>
          <cell r="B72" t="str">
            <v>AGEN</v>
          </cell>
          <cell r="C72">
            <v>2964</v>
          </cell>
          <cell r="D72">
            <v>0</v>
          </cell>
          <cell r="E72">
            <v>8.8600000000000012</v>
          </cell>
          <cell r="F72">
            <v>521.62</v>
          </cell>
          <cell r="G72">
            <v>0.1759851551956815</v>
          </cell>
          <cell r="H72">
            <v>338</v>
          </cell>
          <cell r="I72">
            <v>48.285714285714285</v>
          </cell>
          <cell r="J72">
            <v>96</v>
          </cell>
          <cell r="K72">
            <v>0</v>
          </cell>
          <cell r="L72">
            <v>0</v>
          </cell>
          <cell r="M72">
            <v>19</v>
          </cell>
          <cell r="N72">
            <v>0.19791666666666666</v>
          </cell>
          <cell r="O72">
            <v>9</v>
          </cell>
          <cell r="P72">
            <v>1.2857142857142858</v>
          </cell>
          <cell r="Q72">
            <v>0.18695091093117408</v>
          </cell>
        </row>
        <row r="73">
          <cell r="A73">
            <v>1236</v>
          </cell>
          <cell r="B73" t="str">
            <v>AGEN QUARTIER DE LA PORTE DU PIN</v>
          </cell>
          <cell r="C73">
            <v>1388</v>
          </cell>
          <cell r="D73">
            <v>0</v>
          </cell>
          <cell r="E73">
            <v>15</v>
          </cell>
          <cell r="F73">
            <v>187.35</v>
          </cell>
          <cell r="G73">
            <v>0.13497838616714697</v>
          </cell>
          <cell r="H73">
            <v>216</v>
          </cell>
          <cell r="I73">
            <v>30.857142857142858</v>
          </cell>
          <cell r="J73">
            <v>54</v>
          </cell>
          <cell r="K73">
            <v>0</v>
          </cell>
          <cell r="L73">
            <v>1</v>
          </cell>
          <cell r="M73">
            <v>7</v>
          </cell>
          <cell r="N73">
            <v>0.12962962962962962</v>
          </cell>
          <cell r="O73">
            <v>9</v>
          </cell>
          <cell r="P73">
            <v>1.2857142857142858</v>
          </cell>
          <cell r="Q73">
            <v>0.13230400789838831</v>
          </cell>
        </row>
        <row r="74">
          <cell r="A74">
            <v>1237</v>
          </cell>
          <cell r="B74" t="str">
            <v>NERAC</v>
          </cell>
          <cell r="C74">
            <v>985</v>
          </cell>
          <cell r="D74">
            <v>0</v>
          </cell>
          <cell r="E74">
            <v>39.32</v>
          </cell>
          <cell r="F74">
            <v>49.42</v>
          </cell>
          <cell r="G74">
            <v>5.0172588832487312E-2</v>
          </cell>
          <cell r="H74">
            <v>237</v>
          </cell>
          <cell r="I74">
            <v>33.857142857142854</v>
          </cell>
          <cell r="J74">
            <v>35</v>
          </cell>
          <cell r="K74">
            <v>1</v>
          </cell>
          <cell r="L74">
            <v>2</v>
          </cell>
          <cell r="M74">
            <v>4</v>
          </cell>
          <cell r="N74">
            <v>0.11428571428571428</v>
          </cell>
          <cell r="O74">
            <v>7</v>
          </cell>
          <cell r="P74">
            <v>1</v>
          </cell>
          <cell r="Q74">
            <v>8.2229151559100794E-2</v>
          </cell>
        </row>
        <row r="75">
          <cell r="A75">
            <v>1240</v>
          </cell>
          <cell r="B75" t="str">
            <v>LE PASSAGE D'AGEN</v>
          </cell>
          <cell r="C75">
            <v>893</v>
          </cell>
          <cell r="D75">
            <v>0.09</v>
          </cell>
          <cell r="E75">
            <v>1.84</v>
          </cell>
          <cell r="F75">
            <v>94.27</v>
          </cell>
          <cell r="G75">
            <v>0.10556550951847704</v>
          </cell>
          <cell r="H75">
            <v>165</v>
          </cell>
          <cell r="I75">
            <v>23.571428571428573</v>
          </cell>
          <cell r="J75">
            <v>38</v>
          </cell>
          <cell r="K75">
            <v>2</v>
          </cell>
          <cell r="L75">
            <v>2</v>
          </cell>
          <cell r="M75">
            <v>14</v>
          </cell>
          <cell r="N75">
            <v>0.36842105263157893</v>
          </cell>
          <cell r="O75">
            <v>0</v>
          </cell>
          <cell r="P75">
            <v>0</v>
          </cell>
          <cell r="Q75">
            <v>0.23699328107502798</v>
          </cell>
        </row>
        <row r="76">
          <cell r="A76">
            <v>51232</v>
          </cell>
          <cell r="B76" t="str">
            <v>Multisite MARMANDE</v>
          </cell>
          <cell r="C76">
            <v>2681</v>
          </cell>
          <cell r="D76">
            <v>0</v>
          </cell>
          <cell r="E76">
            <v>0.47</v>
          </cell>
          <cell r="F76">
            <v>325.87</v>
          </cell>
          <cell r="G76">
            <v>0.1215479298769116</v>
          </cell>
          <cell r="H76">
            <v>452</v>
          </cell>
          <cell r="I76">
            <v>64.571428571428569</v>
          </cell>
          <cell r="J76">
            <v>112</v>
          </cell>
          <cell r="K76">
            <v>0</v>
          </cell>
          <cell r="L76">
            <v>0</v>
          </cell>
          <cell r="M76">
            <v>15</v>
          </cell>
          <cell r="N76">
            <v>0.13392857142857142</v>
          </cell>
          <cell r="O76">
            <v>18</v>
          </cell>
          <cell r="P76">
            <v>2.5714285714285716</v>
          </cell>
          <cell r="Q76">
            <v>0.12773825065274153</v>
          </cell>
        </row>
        <row r="77">
          <cell r="A77">
            <v>1232</v>
          </cell>
          <cell r="B77" t="str">
            <v>MARMANDE</v>
          </cell>
          <cell r="C77">
            <v>1932</v>
          </cell>
          <cell r="D77">
            <v>0</v>
          </cell>
          <cell r="E77">
            <v>0.47</v>
          </cell>
          <cell r="F77">
            <v>204.63</v>
          </cell>
          <cell r="G77">
            <v>0.10591614906832297</v>
          </cell>
          <cell r="H77">
            <v>356</v>
          </cell>
          <cell r="I77">
            <v>50.857142857142854</v>
          </cell>
          <cell r="J77">
            <v>80</v>
          </cell>
          <cell r="K77">
            <v>0</v>
          </cell>
          <cell r="L77">
            <v>0</v>
          </cell>
          <cell r="M77">
            <v>12</v>
          </cell>
          <cell r="N77">
            <v>0.15</v>
          </cell>
          <cell r="O77">
            <v>12</v>
          </cell>
          <cell r="P77">
            <v>1.7142857142857142</v>
          </cell>
          <cell r="Q77">
            <v>0.12795807453416147</v>
          </cell>
        </row>
        <row r="78">
          <cell r="A78">
            <v>1239</v>
          </cell>
          <cell r="B78" t="str">
            <v>TONNEINS</v>
          </cell>
          <cell r="C78">
            <v>749</v>
          </cell>
          <cell r="D78">
            <v>0</v>
          </cell>
          <cell r="E78">
            <v>0</v>
          </cell>
          <cell r="F78">
            <v>121.25</v>
          </cell>
          <cell r="G78">
            <v>0.16188251001335113</v>
          </cell>
          <cell r="H78">
            <v>96</v>
          </cell>
          <cell r="I78">
            <v>13.714285714285714</v>
          </cell>
          <cell r="J78">
            <v>32</v>
          </cell>
          <cell r="K78">
            <v>0</v>
          </cell>
          <cell r="L78">
            <v>0</v>
          </cell>
          <cell r="M78">
            <v>3</v>
          </cell>
          <cell r="N78">
            <v>9.375E-2</v>
          </cell>
          <cell r="O78">
            <v>7</v>
          </cell>
          <cell r="P78">
            <v>1</v>
          </cell>
          <cell r="Q78">
            <v>0.12781625500667557</v>
          </cell>
        </row>
        <row r="79">
          <cell r="A79">
            <v>1235</v>
          </cell>
          <cell r="B79" t="str">
            <v>VILLENEUVE SUR LOT</v>
          </cell>
          <cell r="C79">
            <v>2057</v>
          </cell>
          <cell r="D79">
            <v>0</v>
          </cell>
          <cell r="E79">
            <v>-0.15</v>
          </cell>
          <cell r="F79">
            <v>124.80000000000001</v>
          </cell>
          <cell r="G79">
            <v>6.0670879922216828E-2</v>
          </cell>
          <cell r="H79">
            <v>472</v>
          </cell>
          <cell r="I79">
            <v>67.428571428571431</v>
          </cell>
          <cell r="J79">
            <v>75</v>
          </cell>
          <cell r="K79">
            <v>0</v>
          </cell>
          <cell r="L79">
            <v>0</v>
          </cell>
          <cell r="M79">
            <v>7</v>
          </cell>
          <cell r="N79">
            <v>9.3333333333333338E-2</v>
          </cell>
          <cell r="O79">
            <v>15</v>
          </cell>
          <cell r="P79">
            <v>2.1428571428571428</v>
          </cell>
          <cell r="Q79">
            <v>7.7002106627775083E-2</v>
          </cell>
        </row>
        <row r="80">
          <cell r="A80">
            <v>43763</v>
          </cell>
          <cell r="B80" t="str">
            <v>DGA LANDES NORD</v>
          </cell>
          <cell r="C80">
            <v>10140</v>
          </cell>
          <cell r="D80">
            <v>29.22</v>
          </cell>
          <cell r="E80">
            <v>58.75</v>
          </cell>
          <cell r="F80">
            <v>1558.22</v>
          </cell>
          <cell r="G80">
            <v>0.1536706114398422</v>
          </cell>
          <cell r="H80">
            <v>1383</v>
          </cell>
          <cell r="I80">
            <v>197.57142857142858</v>
          </cell>
          <cell r="J80">
            <v>478</v>
          </cell>
          <cell r="K80">
            <v>1</v>
          </cell>
          <cell r="L80">
            <v>6</v>
          </cell>
          <cell r="M80">
            <v>53</v>
          </cell>
          <cell r="N80">
            <v>0.11087866108786611</v>
          </cell>
          <cell r="O80">
            <v>86</v>
          </cell>
          <cell r="P80">
            <v>12.285714285714286</v>
          </cell>
          <cell r="Q80">
            <v>0.13227463626385416</v>
          </cell>
        </row>
        <row r="81">
          <cell r="A81">
            <v>51734</v>
          </cell>
          <cell r="B81" t="str">
            <v>Multisite MONT DE MARSAN</v>
          </cell>
          <cell r="C81">
            <v>5618</v>
          </cell>
          <cell r="D81">
            <v>6.02</v>
          </cell>
          <cell r="E81">
            <v>34.049999999999997</v>
          </cell>
          <cell r="F81">
            <v>1124.6000000000001</v>
          </cell>
          <cell r="G81">
            <v>0.20017799928800287</v>
          </cell>
          <cell r="H81">
            <v>505</v>
          </cell>
          <cell r="I81">
            <v>72.142857142857139</v>
          </cell>
          <cell r="J81">
            <v>264</v>
          </cell>
          <cell r="K81">
            <v>1</v>
          </cell>
          <cell r="L81">
            <v>6</v>
          </cell>
          <cell r="M81">
            <v>33</v>
          </cell>
          <cell r="N81">
            <v>0.125</v>
          </cell>
          <cell r="O81">
            <v>44</v>
          </cell>
          <cell r="P81">
            <v>6.2857142857142856</v>
          </cell>
          <cell r="Q81">
            <v>0.16258899964400142</v>
          </cell>
        </row>
        <row r="82">
          <cell r="A82">
            <v>1734</v>
          </cell>
          <cell r="B82" t="str">
            <v>MONT DE MARSAN</v>
          </cell>
          <cell r="C82">
            <v>4015</v>
          </cell>
          <cell r="D82">
            <v>0.02</v>
          </cell>
          <cell r="E82">
            <v>28.05</v>
          </cell>
          <cell r="F82">
            <v>792.42</v>
          </cell>
          <cell r="G82">
            <v>0.1973648816936488</v>
          </cell>
          <cell r="H82">
            <v>372</v>
          </cell>
          <cell r="I82">
            <v>53.142857142857146</v>
          </cell>
          <cell r="J82">
            <v>184</v>
          </cell>
          <cell r="K82">
            <v>1</v>
          </cell>
          <cell r="L82">
            <v>6</v>
          </cell>
          <cell r="M82">
            <v>22</v>
          </cell>
          <cell r="N82">
            <v>0.11956521739130435</v>
          </cell>
          <cell r="O82">
            <v>32</v>
          </cell>
          <cell r="P82">
            <v>4.5714285714285712</v>
          </cell>
          <cell r="Q82">
            <v>0.15846504954247659</v>
          </cell>
        </row>
        <row r="83">
          <cell r="A83">
            <v>1739</v>
          </cell>
          <cell r="B83" t="str">
            <v>HAGETMAU</v>
          </cell>
          <cell r="C83">
            <v>836</v>
          </cell>
          <cell r="D83">
            <v>6</v>
          </cell>
          <cell r="E83">
            <v>6</v>
          </cell>
          <cell r="F83">
            <v>303.99</v>
          </cell>
          <cell r="G83">
            <v>0.36362440191387563</v>
          </cell>
          <cell r="H83">
            <v>0</v>
          </cell>
          <cell r="I83">
            <v>0</v>
          </cell>
          <cell r="J83">
            <v>38</v>
          </cell>
          <cell r="K83">
            <v>0</v>
          </cell>
          <cell r="L83">
            <v>0</v>
          </cell>
          <cell r="M83">
            <v>4</v>
          </cell>
          <cell r="N83">
            <v>0.10526315789473684</v>
          </cell>
          <cell r="O83">
            <v>8</v>
          </cell>
          <cell r="P83">
            <v>1.1428571428571428</v>
          </cell>
          <cell r="Q83">
            <v>0.23444377990430623</v>
          </cell>
        </row>
        <row r="84">
          <cell r="A84">
            <v>1748</v>
          </cell>
          <cell r="B84" t="str">
            <v>AIRE SUR L'ADOUR</v>
          </cell>
          <cell r="C84">
            <v>767</v>
          </cell>
          <cell r="D84">
            <v>0</v>
          </cell>
          <cell r="E84">
            <v>0</v>
          </cell>
          <cell r="F84">
            <v>28.19</v>
          </cell>
          <cell r="G84">
            <v>3.6753585397653193E-2</v>
          </cell>
          <cell r="H84">
            <v>195</v>
          </cell>
          <cell r="I84">
            <v>27.857142857142858</v>
          </cell>
          <cell r="J84">
            <v>42</v>
          </cell>
          <cell r="K84">
            <v>0</v>
          </cell>
          <cell r="L84">
            <v>0</v>
          </cell>
          <cell r="M84">
            <v>7</v>
          </cell>
          <cell r="N84">
            <v>0.16666666666666666</v>
          </cell>
          <cell r="O84">
            <v>6</v>
          </cell>
          <cell r="P84">
            <v>0.8571428571428571</v>
          </cell>
          <cell r="Q84">
            <v>0.10171012603215993</v>
          </cell>
        </row>
        <row r="85">
          <cell r="A85">
            <v>51736</v>
          </cell>
          <cell r="B85" t="str">
            <v>Multisite MIMIZAN</v>
          </cell>
          <cell r="C85">
            <v>2742</v>
          </cell>
          <cell r="D85">
            <v>0.2</v>
          </cell>
          <cell r="E85">
            <v>1.7</v>
          </cell>
          <cell r="F85">
            <v>291.27999999999997</v>
          </cell>
          <cell r="G85">
            <v>0.1062290299051787</v>
          </cell>
          <cell r="H85">
            <v>504</v>
          </cell>
          <cell r="I85">
            <v>72</v>
          </cell>
          <cell r="J85">
            <v>132</v>
          </cell>
          <cell r="K85">
            <v>0</v>
          </cell>
          <cell r="L85">
            <v>0</v>
          </cell>
          <cell r="M85">
            <v>16</v>
          </cell>
          <cell r="N85">
            <v>0.12121212121212122</v>
          </cell>
          <cell r="O85">
            <v>23</v>
          </cell>
          <cell r="P85">
            <v>3.2857142857142856</v>
          </cell>
          <cell r="Q85">
            <v>0.11372057555864995</v>
          </cell>
        </row>
        <row r="86">
          <cell r="A86">
            <v>1736</v>
          </cell>
          <cell r="B86" t="str">
            <v>MIMIZAN</v>
          </cell>
          <cell r="C86">
            <v>2066</v>
          </cell>
          <cell r="D86">
            <v>0.2</v>
          </cell>
          <cell r="E86">
            <v>1.7</v>
          </cell>
          <cell r="F86">
            <v>161.82</v>
          </cell>
          <cell r="G86">
            <v>7.8325266214908026E-2</v>
          </cell>
          <cell r="H86">
            <v>438</v>
          </cell>
          <cell r="I86">
            <v>62.571428571428569</v>
          </cell>
          <cell r="J86">
            <v>94</v>
          </cell>
          <cell r="K86">
            <v>0</v>
          </cell>
          <cell r="L86">
            <v>0</v>
          </cell>
          <cell r="M86">
            <v>15</v>
          </cell>
          <cell r="N86">
            <v>0.15957446808510639</v>
          </cell>
          <cell r="O86">
            <v>13</v>
          </cell>
          <cell r="P86">
            <v>1.8571428571428572</v>
          </cell>
          <cell r="Q86">
            <v>0.11894986715000722</v>
          </cell>
        </row>
        <row r="87">
          <cell r="A87">
            <v>1744</v>
          </cell>
          <cell r="B87" t="str">
            <v>MORCENX</v>
          </cell>
          <cell r="C87">
            <v>676</v>
          </cell>
          <cell r="D87">
            <v>0</v>
          </cell>
          <cell r="E87">
            <v>0</v>
          </cell>
          <cell r="F87">
            <v>129.46</v>
          </cell>
          <cell r="G87">
            <v>0.19150887573964498</v>
          </cell>
          <cell r="H87">
            <v>67</v>
          </cell>
          <cell r="I87">
            <v>9.5714285714285712</v>
          </cell>
          <cell r="J87">
            <v>38</v>
          </cell>
          <cell r="K87">
            <v>0</v>
          </cell>
          <cell r="L87">
            <v>0</v>
          </cell>
          <cell r="M87">
            <v>1</v>
          </cell>
          <cell r="N87">
            <v>2.6315789473684209E-2</v>
          </cell>
          <cell r="O87">
            <v>11</v>
          </cell>
          <cell r="P87">
            <v>1.5714285714285714</v>
          </cell>
          <cell r="Q87">
            <v>0.10891233260666459</v>
          </cell>
        </row>
        <row r="88">
          <cell r="A88">
            <v>1741</v>
          </cell>
          <cell r="B88" t="str">
            <v>BISCARROSSE</v>
          </cell>
          <cell r="C88">
            <v>1732</v>
          </cell>
          <cell r="D88">
            <v>23</v>
          </cell>
          <cell r="E88">
            <v>23</v>
          </cell>
          <cell r="F88">
            <v>142.33999999999997</v>
          </cell>
          <cell r="G88">
            <v>8.2182448036951489E-2</v>
          </cell>
          <cell r="H88">
            <v>360</v>
          </cell>
          <cell r="I88">
            <v>51.428571428571431</v>
          </cell>
          <cell r="J88">
            <v>82</v>
          </cell>
          <cell r="K88">
            <v>0</v>
          </cell>
          <cell r="L88">
            <v>0</v>
          </cell>
          <cell r="M88">
            <v>4</v>
          </cell>
          <cell r="N88">
            <v>4.878048780487805E-2</v>
          </cell>
          <cell r="O88">
            <v>20</v>
          </cell>
          <cell r="P88">
            <v>2.8571428571428572</v>
          </cell>
          <cell r="Q88">
            <v>6.5481467920914777E-2</v>
          </cell>
        </row>
        <row r="89">
          <cell r="A89">
            <v>43765</v>
          </cell>
          <cell r="B89" t="str">
            <v>DGA PAU PYRENEES</v>
          </cell>
          <cell r="C89">
            <v>29698</v>
          </cell>
          <cell r="D89">
            <v>170.5</v>
          </cell>
          <cell r="E89">
            <v>293.58999999999997</v>
          </cell>
          <cell r="F89">
            <v>5349.6200000000008</v>
          </cell>
          <cell r="G89">
            <v>0.18013401575863697</v>
          </cell>
          <cell r="H89">
            <v>3263</v>
          </cell>
          <cell r="I89">
            <v>466.14285714285717</v>
          </cell>
          <cell r="J89">
            <v>918</v>
          </cell>
          <cell r="K89">
            <v>1</v>
          </cell>
          <cell r="L89">
            <v>14</v>
          </cell>
          <cell r="M89">
            <v>117</v>
          </cell>
          <cell r="N89">
            <v>0.12745098039215685</v>
          </cell>
          <cell r="O89">
            <v>150</v>
          </cell>
          <cell r="P89">
            <v>21.428571428571427</v>
          </cell>
          <cell r="Q89">
            <v>0.15379249807539691</v>
          </cell>
        </row>
        <row r="90">
          <cell r="A90">
            <v>53500</v>
          </cell>
          <cell r="B90" t="str">
            <v>Multisite PAU</v>
          </cell>
          <cell r="C90">
            <v>6786</v>
          </cell>
          <cell r="D90">
            <v>0</v>
          </cell>
          <cell r="E90">
            <v>18.41</v>
          </cell>
          <cell r="F90">
            <v>1305.31</v>
          </cell>
          <cell r="G90">
            <v>0.19235337459475391</v>
          </cell>
          <cell r="H90">
            <v>663</v>
          </cell>
          <cell r="I90">
            <v>94.714285714285708</v>
          </cell>
          <cell r="J90">
            <v>188</v>
          </cell>
          <cell r="K90">
            <v>0</v>
          </cell>
          <cell r="L90">
            <v>4</v>
          </cell>
          <cell r="M90">
            <v>37</v>
          </cell>
          <cell r="N90">
            <v>0.19680851063829788</v>
          </cell>
          <cell r="O90">
            <v>18</v>
          </cell>
          <cell r="P90">
            <v>2.5714285714285716</v>
          </cell>
          <cell r="Q90">
            <v>0.19458094261652589</v>
          </cell>
        </row>
        <row r="91">
          <cell r="A91">
            <v>3500</v>
          </cell>
          <cell r="B91" t="str">
            <v>PAU</v>
          </cell>
          <cell r="C91">
            <v>5380</v>
          </cell>
          <cell r="D91">
            <v>0</v>
          </cell>
          <cell r="E91">
            <v>18.41</v>
          </cell>
          <cell r="F91">
            <v>1162.67</v>
          </cell>
          <cell r="G91">
            <v>0.21610966542750931</v>
          </cell>
          <cell r="H91">
            <v>398</v>
          </cell>
          <cell r="I91">
            <v>56.857142857142854</v>
          </cell>
          <cell r="J91">
            <v>145</v>
          </cell>
          <cell r="K91">
            <v>0</v>
          </cell>
          <cell r="L91">
            <v>4</v>
          </cell>
          <cell r="M91">
            <v>30</v>
          </cell>
          <cell r="N91">
            <v>0.20689655172413793</v>
          </cell>
          <cell r="O91">
            <v>13</v>
          </cell>
          <cell r="P91">
            <v>1.8571428571428572</v>
          </cell>
          <cell r="Q91">
            <v>0.21150310857582361</v>
          </cell>
        </row>
        <row r="92">
          <cell r="A92">
            <v>3536</v>
          </cell>
          <cell r="B92" t="str">
            <v>PAU CROIX DU PRINCE</v>
          </cell>
          <cell r="C92">
            <v>1406</v>
          </cell>
          <cell r="D92">
            <v>0</v>
          </cell>
          <cell r="E92">
            <v>0</v>
          </cell>
          <cell r="F92">
            <v>142.63</v>
          </cell>
          <cell r="G92">
            <v>0.10144381223328591</v>
          </cell>
          <cell r="H92">
            <v>266</v>
          </cell>
          <cell r="I92">
            <v>38</v>
          </cell>
          <cell r="J92">
            <v>43</v>
          </cell>
          <cell r="K92">
            <v>0</v>
          </cell>
          <cell r="L92">
            <v>0</v>
          </cell>
          <cell r="M92">
            <v>7</v>
          </cell>
          <cell r="N92">
            <v>0.16279069767441862</v>
          </cell>
          <cell r="O92">
            <v>6</v>
          </cell>
          <cell r="P92">
            <v>0.8571428571428571</v>
          </cell>
          <cell r="Q92">
            <v>0.13211725495385226</v>
          </cell>
        </row>
        <row r="93">
          <cell r="A93">
            <v>3532</v>
          </cell>
          <cell r="B93" t="str">
            <v>OLORON SAINTE MARIE</v>
          </cell>
          <cell r="C93">
            <v>2337</v>
          </cell>
          <cell r="D93">
            <v>0</v>
          </cell>
          <cell r="E93">
            <v>30</v>
          </cell>
          <cell r="F93">
            <v>372.9</v>
          </cell>
          <cell r="G93">
            <v>0.15956354300385109</v>
          </cell>
          <cell r="H93">
            <v>305</v>
          </cell>
          <cell r="I93">
            <v>43.571428571428569</v>
          </cell>
          <cell r="J93">
            <v>74</v>
          </cell>
          <cell r="K93">
            <v>0</v>
          </cell>
          <cell r="L93">
            <v>0</v>
          </cell>
          <cell r="M93">
            <v>4</v>
          </cell>
          <cell r="N93">
            <v>5.4054054054054057E-2</v>
          </cell>
          <cell r="O93">
            <v>18</v>
          </cell>
          <cell r="P93">
            <v>2.5714285714285716</v>
          </cell>
          <cell r="Q93">
            <v>0.10680879852895257</v>
          </cell>
        </row>
        <row r="94">
          <cell r="A94">
            <v>53533</v>
          </cell>
          <cell r="B94" t="str">
            <v>Multisite ORTHEZ</v>
          </cell>
          <cell r="C94">
            <v>5721</v>
          </cell>
          <cell r="D94">
            <v>10</v>
          </cell>
          <cell r="E94">
            <v>29.52</v>
          </cell>
          <cell r="F94">
            <v>781.1400000000001</v>
          </cell>
          <cell r="G94">
            <v>0.13653906659674883</v>
          </cell>
          <cell r="H94">
            <v>878</v>
          </cell>
          <cell r="I94">
            <v>125.42857142857143</v>
          </cell>
          <cell r="J94">
            <v>181</v>
          </cell>
          <cell r="K94">
            <v>0</v>
          </cell>
          <cell r="L94">
            <v>6</v>
          </cell>
          <cell r="M94">
            <v>22</v>
          </cell>
          <cell r="N94">
            <v>0.12154696132596685</v>
          </cell>
          <cell r="O94">
            <v>31</v>
          </cell>
          <cell r="P94">
            <v>4.4285714285714288</v>
          </cell>
          <cell r="Q94">
            <v>0.12904301396135784</v>
          </cell>
        </row>
        <row r="95">
          <cell r="A95">
            <v>3533</v>
          </cell>
          <cell r="B95" t="str">
            <v>ORTHEZ</v>
          </cell>
          <cell r="C95">
            <v>2829</v>
          </cell>
          <cell r="D95">
            <v>10</v>
          </cell>
          <cell r="E95">
            <v>12.52</v>
          </cell>
          <cell r="F95">
            <v>426.7</v>
          </cell>
          <cell r="G95">
            <v>0.15083068221986567</v>
          </cell>
          <cell r="H95">
            <v>394</v>
          </cell>
          <cell r="I95">
            <v>56.285714285714285</v>
          </cell>
          <cell r="J95">
            <v>90</v>
          </cell>
          <cell r="K95">
            <v>0</v>
          </cell>
          <cell r="L95">
            <v>5</v>
          </cell>
          <cell r="M95">
            <v>11</v>
          </cell>
          <cell r="N95">
            <v>0.12222222222222222</v>
          </cell>
          <cell r="O95">
            <v>16</v>
          </cell>
          <cell r="P95">
            <v>2.2857142857142856</v>
          </cell>
          <cell r="Q95">
            <v>0.13652645222104395</v>
          </cell>
        </row>
        <row r="96">
          <cell r="A96">
            <v>3534</v>
          </cell>
          <cell r="B96" t="str">
            <v>SALIES DE BEARN</v>
          </cell>
          <cell r="C96">
            <v>1027</v>
          </cell>
          <cell r="D96">
            <v>0</v>
          </cell>
          <cell r="E96">
            <v>17</v>
          </cell>
          <cell r="F96">
            <v>149.86000000000001</v>
          </cell>
          <cell r="G96">
            <v>0.14592015579357354</v>
          </cell>
          <cell r="H96">
            <v>148</v>
          </cell>
          <cell r="I96">
            <v>21.142857142857142</v>
          </cell>
          <cell r="J96">
            <v>39</v>
          </cell>
          <cell r="K96">
            <v>0</v>
          </cell>
          <cell r="L96">
            <v>1</v>
          </cell>
          <cell r="M96">
            <v>7</v>
          </cell>
          <cell r="N96">
            <v>0.17948717948717949</v>
          </cell>
          <cell r="O96">
            <v>5</v>
          </cell>
          <cell r="P96">
            <v>0.7142857142857143</v>
          </cell>
          <cell r="Q96">
            <v>0.16270366764037653</v>
          </cell>
        </row>
        <row r="97">
          <cell r="A97">
            <v>3537</v>
          </cell>
          <cell r="B97" t="str">
            <v>MOURENX</v>
          </cell>
          <cell r="C97">
            <v>1865</v>
          </cell>
          <cell r="D97">
            <v>0</v>
          </cell>
          <cell r="E97">
            <v>0</v>
          </cell>
          <cell r="F97">
            <v>204.58</v>
          </cell>
          <cell r="G97">
            <v>0.10969436997319036</v>
          </cell>
          <cell r="H97">
            <v>337</v>
          </cell>
          <cell r="I97">
            <v>48.142857142857146</v>
          </cell>
          <cell r="J97">
            <v>52</v>
          </cell>
          <cell r="K97">
            <v>0</v>
          </cell>
          <cell r="L97">
            <v>0</v>
          </cell>
          <cell r="M97">
            <v>4</v>
          </cell>
          <cell r="N97">
            <v>7.6923076923076927E-2</v>
          </cell>
          <cell r="O97">
            <v>12</v>
          </cell>
          <cell r="P97">
            <v>1.7142857142857142</v>
          </cell>
          <cell r="Q97">
            <v>9.3308723448133651E-2</v>
          </cell>
        </row>
        <row r="98">
          <cell r="A98">
            <v>3535</v>
          </cell>
          <cell r="B98" t="str">
            <v>PAU MERMOZ</v>
          </cell>
          <cell r="C98">
            <v>2820</v>
          </cell>
          <cell r="D98">
            <v>0</v>
          </cell>
          <cell r="E98">
            <v>31.12</v>
          </cell>
          <cell r="F98">
            <v>337.46</v>
          </cell>
          <cell r="G98">
            <v>0.11966666666666666</v>
          </cell>
          <cell r="H98">
            <v>481</v>
          </cell>
          <cell r="I98">
            <v>68.714285714285708</v>
          </cell>
          <cell r="J98">
            <v>93</v>
          </cell>
          <cell r="K98">
            <v>1</v>
          </cell>
          <cell r="L98">
            <v>3</v>
          </cell>
          <cell r="M98">
            <v>13</v>
          </cell>
          <cell r="N98">
            <v>0.13978494623655913</v>
          </cell>
          <cell r="O98">
            <v>14</v>
          </cell>
          <cell r="P98">
            <v>2</v>
          </cell>
          <cell r="Q98">
            <v>0.12972580645161289</v>
          </cell>
        </row>
        <row r="99">
          <cell r="A99">
            <v>53542</v>
          </cell>
          <cell r="B99" t="str">
            <v>Multisite LONS</v>
          </cell>
          <cell r="C99">
            <v>4096</v>
          </cell>
          <cell r="D99">
            <v>32</v>
          </cell>
          <cell r="E99">
            <v>56</v>
          </cell>
          <cell r="F99">
            <v>1429.14</v>
          </cell>
          <cell r="G99">
            <v>0.34891113281250002</v>
          </cell>
          <cell r="H99">
            <v>0</v>
          </cell>
          <cell r="I99">
            <v>0</v>
          </cell>
          <cell r="J99">
            <v>164</v>
          </cell>
          <cell r="K99">
            <v>0</v>
          </cell>
          <cell r="L99">
            <v>0</v>
          </cell>
          <cell r="M99">
            <v>23</v>
          </cell>
          <cell r="N99">
            <v>0.1402439024390244</v>
          </cell>
          <cell r="O99">
            <v>25</v>
          </cell>
          <cell r="P99">
            <v>3.5714285714285716</v>
          </cell>
          <cell r="Q99">
            <v>0.24457751762576221</v>
          </cell>
        </row>
        <row r="100">
          <cell r="A100">
            <v>3539</v>
          </cell>
          <cell r="B100" t="str">
            <v>BILLERE</v>
          </cell>
          <cell r="C100">
            <v>1872</v>
          </cell>
          <cell r="D100">
            <v>32</v>
          </cell>
          <cell r="E100">
            <v>32</v>
          </cell>
          <cell r="F100">
            <v>1204.47</v>
          </cell>
          <cell r="G100">
            <v>0.44</v>
          </cell>
          <cell r="H100">
            <v>0</v>
          </cell>
          <cell r="I100">
            <v>0</v>
          </cell>
          <cell r="J100">
            <v>63</v>
          </cell>
          <cell r="K100">
            <v>0</v>
          </cell>
          <cell r="L100">
            <v>0</v>
          </cell>
          <cell r="M100">
            <v>7</v>
          </cell>
          <cell r="N100">
            <v>0.1111111111111111</v>
          </cell>
          <cell r="O100">
            <v>12</v>
          </cell>
          <cell r="P100">
            <v>1.7142857142857142</v>
          </cell>
          <cell r="Q100">
            <v>0.27555555555555555</v>
          </cell>
        </row>
        <row r="101">
          <cell r="A101">
            <v>3542</v>
          </cell>
          <cell r="B101" t="str">
            <v>LONS COMEDIE</v>
          </cell>
          <cell r="C101">
            <v>2224</v>
          </cell>
          <cell r="D101">
            <v>0</v>
          </cell>
          <cell r="E101">
            <v>24</v>
          </cell>
          <cell r="F101">
            <v>224.67</v>
          </cell>
          <cell r="G101">
            <v>0.10102068345323741</v>
          </cell>
          <cell r="H101">
            <v>421</v>
          </cell>
          <cell r="I101">
            <v>60.142857142857146</v>
          </cell>
          <cell r="J101">
            <v>101</v>
          </cell>
          <cell r="K101">
            <v>0</v>
          </cell>
          <cell r="L101">
            <v>0</v>
          </cell>
          <cell r="M101">
            <v>16</v>
          </cell>
          <cell r="N101">
            <v>0.15841584158415842</v>
          </cell>
          <cell r="O101">
            <v>14</v>
          </cell>
          <cell r="P101">
            <v>2</v>
          </cell>
          <cell r="Q101">
            <v>0.12971826251869792</v>
          </cell>
        </row>
        <row r="102">
          <cell r="A102">
            <v>3543</v>
          </cell>
          <cell r="B102" t="str">
            <v>LESCAR L'EUROPE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</row>
        <row r="103">
          <cell r="A103">
            <v>53538</v>
          </cell>
          <cell r="B103" t="str">
            <v>Multisite PAU THIERS</v>
          </cell>
          <cell r="C103">
            <v>7800</v>
          </cell>
          <cell r="D103">
            <v>128.5</v>
          </cell>
          <cell r="E103">
            <v>128.55000000000001</v>
          </cell>
          <cell r="F103">
            <v>1123.67</v>
          </cell>
          <cell r="G103">
            <v>0.14406025641025641</v>
          </cell>
          <cell r="H103">
            <v>1139</v>
          </cell>
          <cell r="I103">
            <v>162.71428571428572</v>
          </cell>
          <cell r="J103">
            <v>219</v>
          </cell>
          <cell r="K103">
            <v>0</v>
          </cell>
          <cell r="L103">
            <v>1</v>
          </cell>
          <cell r="M103">
            <v>18</v>
          </cell>
          <cell r="N103">
            <v>8.2191780821917804E-2</v>
          </cell>
          <cell r="O103">
            <v>46</v>
          </cell>
          <cell r="P103">
            <v>6.5714285714285712</v>
          </cell>
          <cell r="Q103">
            <v>0.11312601861608711</v>
          </cell>
        </row>
        <row r="104">
          <cell r="A104">
            <v>3538</v>
          </cell>
          <cell r="B104" t="str">
            <v>PAU THIERS</v>
          </cell>
          <cell r="C104">
            <v>4186</v>
          </cell>
          <cell r="D104">
            <v>128.5</v>
          </cell>
          <cell r="E104">
            <v>128.55000000000001</v>
          </cell>
          <cell r="F104">
            <v>858.3599999999999</v>
          </cell>
          <cell r="G104">
            <v>0.20505494505494504</v>
          </cell>
          <cell r="H104">
            <v>356</v>
          </cell>
          <cell r="I104">
            <v>50.857142857142854</v>
          </cell>
          <cell r="J104">
            <v>93</v>
          </cell>
          <cell r="K104">
            <v>0</v>
          </cell>
          <cell r="L104">
            <v>0</v>
          </cell>
          <cell r="M104">
            <v>6</v>
          </cell>
          <cell r="N104">
            <v>6.4516129032258063E-2</v>
          </cell>
          <cell r="O104">
            <v>21</v>
          </cell>
          <cell r="P104">
            <v>3</v>
          </cell>
          <cell r="Q104">
            <v>0.13478553704360155</v>
          </cell>
        </row>
        <row r="105">
          <cell r="A105">
            <v>3540</v>
          </cell>
          <cell r="B105" t="str">
            <v>NAY</v>
          </cell>
          <cell r="C105">
            <v>1323</v>
          </cell>
          <cell r="D105">
            <v>0</v>
          </cell>
          <cell r="E105">
            <v>0</v>
          </cell>
          <cell r="F105">
            <v>111.69</v>
          </cell>
          <cell r="G105">
            <v>8.4421768707482997E-2</v>
          </cell>
          <cell r="H105">
            <v>272</v>
          </cell>
          <cell r="I105">
            <v>38.857142857142854</v>
          </cell>
          <cell r="J105">
            <v>54</v>
          </cell>
          <cell r="K105">
            <v>0</v>
          </cell>
          <cell r="L105">
            <v>0</v>
          </cell>
          <cell r="M105">
            <v>6</v>
          </cell>
          <cell r="N105">
            <v>0.1111111111111111</v>
          </cell>
          <cell r="O105">
            <v>10</v>
          </cell>
          <cell r="P105">
            <v>1.4285714285714286</v>
          </cell>
          <cell r="Q105">
            <v>9.7766439909297051E-2</v>
          </cell>
        </row>
        <row r="106">
          <cell r="A106">
            <v>3541</v>
          </cell>
          <cell r="B106" t="str">
            <v>PAU HERMES</v>
          </cell>
          <cell r="C106">
            <v>2291</v>
          </cell>
          <cell r="D106">
            <v>0</v>
          </cell>
          <cell r="E106">
            <v>0</v>
          </cell>
          <cell r="F106">
            <v>153.62</v>
          </cell>
          <cell r="G106">
            <v>6.7053688345700566E-2</v>
          </cell>
          <cell r="H106">
            <v>511</v>
          </cell>
          <cell r="I106">
            <v>73</v>
          </cell>
          <cell r="J106">
            <v>72</v>
          </cell>
          <cell r="K106">
            <v>0</v>
          </cell>
          <cell r="L106">
            <v>1</v>
          </cell>
          <cell r="M106">
            <v>6</v>
          </cell>
          <cell r="N106">
            <v>8.3333333333333329E-2</v>
          </cell>
          <cell r="O106">
            <v>15</v>
          </cell>
          <cell r="P106">
            <v>2.1428571428571428</v>
          </cell>
          <cell r="Q106">
            <v>7.5193510839516947E-2</v>
          </cell>
        </row>
        <row r="107">
          <cell r="A107">
            <v>43783</v>
          </cell>
          <cell r="B107" t="str">
            <v>DGA COTE BASQUE</v>
          </cell>
          <cell r="C107">
            <v>26930</v>
          </cell>
          <cell r="D107">
            <v>11</v>
          </cell>
          <cell r="E107">
            <v>758.41</v>
          </cell>
          <cell r="F107">
            <v>5834.04</v>
          </cell>
          <cell r="G107">
            <v>0.21663720757519495</v>
          </cell>
          <cell r="H107">
            <v>1976</v>
          </cell>
          <cell r="I107">
            <v>282.28571428571428</v>
          </cell>
          <cell r="J107">
            <v>720</v>
          </cell>
          <cell r="K107">
            <v>2</v>
          </cell>
          <cell r="L107">
            <v>16</v>
          </cell>
          <cell r="M107">
            <v>81</v>
          </cell>
          <cell r="N107">
            <v>0.1125</v>
          </cell>
          <cell r="O107">
            <v>128</v>
          </cell>
          <cell r="P107">
            <v>18.285714285714285</v>
          </cell>
          <cell r="Q107">
            <v>0.16456860378759747</v>
          </cell>
        </row>
        <row r="108">
          <cell r="A108">
            <v>51700</v>
          </cell>
          <cell r="B108" t="str">
            <v>Multisite BAYONNE</v>
          </cell>
          <cell r="C108">
            <v>8164</v>
          </cell>
          <cell r="D108">
            <v>0</v>
          </cell>
          <cell r="E108">
            <v>62.379999999999995</v>
          </cell>
          <cell r="F108">
            <v>964.86</v>
          </cell>
          <cell r="G108">
            <v>0.11818471337579618</v>
          </cell>
          <cell r="H108">
            <v>1403</v>
          </cell>
          <cell r="I108">
            <v>200.42857142857142</v>
          </cell>
          <cell r="J108">
            <v>244</v>
          </cell>
          <cell r="K108">
            <v>1</v>
          </cell>
          <cell r="L108">
            <v>5</v>
          </cell>
          <cell r="M108">
            <v>30</v>
          </cell>
          <cell r="N108">
            <v>0.12295081967213115</v>
          </cell>
          <cell r="O108">
            <v>41</v>
          </cell>
          <cell r="P108">
            <v>5.8571428571428568</v>
          </cell>
          <cell r="Q108">
            <v>0.12056776652396367</v>
          </cell>
        </row>
        <row r="109">
          <cell r="A109">
            <v>1700</v>
          </cell>
          <cell r="B109" t="str">
            <v>BAYONNE</v>
          </cell>
          <cell r="C109">
            <v>5025</v>
          </cell>
          <cell r="D109">
            <v>0</v>
          </cell>
          <cell r="E109">
            <v>62.379999999999995</v>
          </cell>
          <cell r="F109">
            <v>433.87</v>
          </cell>
          <cell r="G109">
            <v>8.6342288557213931E-2</v>
          </cell>
          <cell r="H109">
            <v>1024</v>
          </cell>
          <cell r="I109">
            <v>146.28571428571428</v>
          </cell>
          <cell r="J109">
            <v>143</v>
          </cell>
          <cell r="K109">
            <v>0</v>
          </cell>
          <cell r="L109">
            <v>3</v>
          </cell>
          <cell r="M109">
            <v>14</v>
          </cell>
          <cell r="N109">
            <v>9.7902097902097904E-2</v>
          </cell>
          <cell r="O109">
            <v>28</v>
          </cell>
          <cell r="P109">
            <v>4</v>
          </cell>
          <cell r="Q109">
            <v>9.2122193229655924E-2</v>
          </cell>
        </row>
        <row r="110">
          <cell r="A110">
            <v>1737</v>
          </cell>
          <cell r="B110" t="str">
            <v>BAYONNE SAINT ESPRIT</v>
          </cell>
          <cell r="C110">
            <v>1144</v>
          </cell>
          <cell r="D110">
            <v>0</v>
          </cell>
          <cell r="E110">
            <v>0</v>
          </cell>
          <cell r="F110">
            <v>328.3</v>
          </cell>
          <cell r="G110">
            <v>0.28697552447552449</v>
          </cell>
          <cell r="H110">
            <v>4</v>
          </cell>
          <cell r="I110">
            <v>0.5714285714285714</v>
          </cell>
          <cell r="J110">
            <v>40</v>
          </cell>
          <cell r="K110">
            <v>1</v>
          </cell>
          <cell r="L110">
            <v>1</v>
          </cell>
          <cell r="M110">
            <v>7</v>
          </cell>
          <cell r="N110">
            <v>0.17499999999999999</v>
          </cell>
          <cell r="O110">
            <v>5</v>
          </cell>
          <cell r="P110">
            <v>0.7142857142857143</v>
          </cell>
          <cell r="Q110">
            <v>0.23098776223776224</v>
          </cell>
        </row>
        <row r="111">
          <cell r="A111">
            <v>1747</v>
          </cell>
          <cell r="B111" t="str">
            <v>BAYONNE CITE DU PALAIS</v>
          </cell>
          <cell r="C111">
            <v>1995</v>
          </cell>
          <cell r="D111">
            <v>0</v>
          </cell>
          <cell r="E111">
            <v>0</v>
          </cell>
          <cell r="F111">
            <v>202.67</v>
          </cell>
          <cell r="G111">
            <v>0.10158897243107769</v>
          </cell>
          <cell r="H111">
            <v>376</v>
          </cell>
          <cell r="I111">
            <v>53.714285714285715</v>
          </cell>
          <cell r="J111">
            <v>61</v>
          </cell>
          <cell r="K111">
            <v>0</v>
          </cell>
          <cell r="L111">
            <v>1</v>
          </cell>
          <cell r="M111">
            <v>9</v>
          </cell>
          <cell r="N111">
            <v>0.14754098360655737</v>
          </cell>
          <cell r="O111">
            <v>9</v>
          </cell>
          <cell r="P111">
            <v>1.2857142857142858</v>
          </cell>
          <cell r="Q111">
            <v>0.12456497801881752</v>
          </cell>
        </row>
        <row r="112">
          <cell r="A112">
            <v>51731</v>
          </cell>
          <cell r="B112" t="str">
            <v>Multisite BIARRITZ</v>
          </cell>
          <cell r="C112">
            <v>5468</v>
          </cell>
          <cell r="D112">
            <v>0</v>
          </cell>
          <cell r="E112">
            <v>219</v>
          </cell>
          <cell r="F112">
            <v>1208.04</v>
          </cell>
          <cell r="G112">
            <v>0.22092904169714703</v>
          </cell>
          <cell r="H112">
            <v>378</v>
          </cell>
          <cell r="I112">
            <v>54</v>
          </cell>
          <cell r="J112">
            <v>138</v>
          </cell>
          <cell r="K112">
            <v>0</v>
          </cell>
          <cell r="L112">
            <v>2</v>
          </cell>
          <cell r="M112">
            <v>9</v>
          </cell>
          <cell r="N112">
            <v>6.5217391304347824E-2</v>
          </cell>
          <cell r="O112">
            <v>32</v>
          </cell>
          <cell r="P112">
            <v>4.5714285714285712</v>
          </cell>
          <cell r="Q112">
            <v>0.14307321650074742</v>
          </cell>
        </row>
        <row r="113">
          <cell r="A113">
            <v>1731</v>
          </cell>
          <cell r="B113" t="str">
            <v>BIARRITZ</v>
          </cell>
          <cell r="C113">
            <v>4024</v>
          </cell>
          <cell r="D113">
            <v>0</v>
          </cell>
          <cell r="E113">
            <v>39</v>
          </cell>
          <cell r="F113">
            <v>842.2</v>
          </cell>
          <cell r="G113">
            <v>0.20929423459244534</v>
          </cell>
          <cell r="H113">
            <v>325</v>
          </cell>
          <cell r="I113">
            <v>46.428571428571431</v>
          </cell>
          <cell r="J113">
            <v>97</v>
          </cell>
          <cell r="K113">
            <v>0</v>
          </cell>
          <cell r="L113">
            <v>1</v>
          </cell>
          <cell r="M113">
            <v>3</v>
          </cell>
          <cell r="N113">
            <v>3.0927835051546393E-2</v>
          </cell>
          <cell r="O113">
            <v>26</v>
          </cell>
          <cell r="P113">
            <v>3.7142857142857144</v>
          </cell>
          <cell r="Q113">
            <v>0.12011103482199587</v>
          </cell>
        </row>
        <row r="114">
          <cell r="A114">
            <v>1749</v>
          </cell>
          <cell r="B114" t="str">
            <v>BIARRITZ SAINT CHARLES</v>
          </cell>
          <cell r="C114">
            <v>1444</v>
          </cell>
          <cell r="D114">
            <v>0</v>
          </cell>
          <cell r="E114">
            <v>180</v>
          </cell>
          <cell r="F114">
            <v>365.84</v>
          </cell>
          <cell r="G114">
            <v>0.25335180055401663</v>
          </cell>
          <cell r="H114">
            <v>53</v>
          </cell>
          <cell r="I114">
            <v>7.5714285714285712</v>
          </cell>
          <cell r="J114">
            <v>41</v>
          </cell>
          <cell r="K114">
            <v>0</v>
          </cell>
          <cell r="L114">
            <v>1</v>
          </cell>
          <cell r="M114">
            <v>6</v>
          </cell>
          <cell r="N114">
            <v>0.14634146341463414</v>
          </cell>
          <cell r="O114">
            <v>6</v>
          </cell>
          <cell r="P114">
            <v>0.8571428571428571</v>
          </cell>
          <cell r="Q114">
            <v>0.1998466319843254</v>
          </cell>
        </row>
        <row r="115">
          <cell r="A115">
            <v>51735</v>
          </cell>
          <cell r="B115" t="str">
            <v>Multisite ST JEAN DE LUZ</v>
          </cell>
          <cell r="C115">
            <v>7279</v>
          </cell>
          <cell r="D115">
            <v>11</v>
          </cell>
          <cell r="E115">
            <v>199.32</v>
          </cell>
          <cell r="F115">
            <v>2464.6200000000003</v>
          </cell>
          <cell r="G115">
            <v>0.33859321335348269</v>
          </cell>
          <cell r="H115">
            <v>0</v>
          </cell>
          <cell r="I115">
            <v>0</v>
          </cell>
          <cell r="J115">
            <v>145</v>
          </cell>
          <cell r="K115">
            <v>1</v>
          </cell>
          <cell r="L115">
            <v>6</v>
          </cell>
          <cell r="M115">
            <v>21</v>
          </cell>
          <cell r="N115">
            <v>0.14482758620689656</v>
          </cell>
          <cell r="O115">
            <v>22</v>
          </cell>
          <cell r="P115">
            <v>3.1428571428571428</v>
          </cell>
          <cell r="Q115">
            <v>0.24171039978018963</v>
          </cell>
        </row>
        <row r="116">
          <cell r="A116">
            <v>1733</v>
          </cell>
          <cell r="B116" t="str">
            <v>HENDAYE</v>
          </cell>
          <cell r="C116">
            <v>1938</v>
          </cell>
          <cell r="D116">
            <v>11</v>
          </cell>
          <cell r="E116">
            <v>11</v>
          </cell>
          <cell r="F116">
            <v>485.14</v>
          </cell>
          <cell r="G116">
            <v>0.25033023735810112</v>
          </cell>
          <cell r="H116">
            <v>77</v>
          </cell>
          <cell r="I116">
            <v>11</v>
          </cell>
          <cell r="J116">
            <v>41</v>
          </cell>
          <cell r="K116">
            <v>0</v>
          </cell>
          <cell r="L116">
            <v>0</v>
          </cell>
          <cell r="M116">
            <v>4</v>
          </cell>
          <cell r="N116">
            <v>9.7560975609756101E-2</v>
          </cell>
          <cell r="O116">
            <v>8</v>
          </cell>
          <cell r="P116">
            <v>1.1428571428571428</v>
          </cell>
          <cell r="Q116">
            <v>0.17394560648392859</v>
          </cell>
        </row>
        <row r="117">
          <cell r="A117">
            <v>1735</v>
          </cell>
          <cell r="B117" t="str">
            <v>ST JEAN DE LUZ</v>
          </cell>
          <cell r="C117">
            <v>5341</v>
          </cell>
          <cell r="D117">
            <v>0</v>
          </cell>
          <cell r="E117">
            <v>188.32</v>
          </cell>
          <cell r="F117">
            <v>1979.48</v>
          </cell>
          <cell r="G117">
            <v>0.37061973413218496</v>
          </cell>
          <cell r="H117">
            <v>0</v>
          </cell>
          <cell r="I117">
            <v>0</v>
          </cell>
          <cell r="J117">
            <v>104</v>
          </cell>
          <cell r="K117">
            <v>1</v>
          </cell>
          <cell r="L117">
            <v>6</v>
          </cell>
          <cell r="M117">
            <v>17</v>
          </cell>
          <cell r="N117">
            <v>0.16346153846153846</v>
          </cell>
          <cell r="O117">
            <v>14</v>
          </cell>
          <cell r="P117">
            <v>2</v>
          </cell>
          <cell r="Q117">
            <v>0.2670406362968617</v>
          </cell>
        </row>
        <row r="118">
          <cell r="A118">
            <v>51738</v>
          </cell>
          <cell r="B118" t="str">
            <v>Multisite ANGLET</v>
          </cell>
          <cell r="C118">
            <v>4527</v>
          </cell>
          <cell r="D118">
            <v>0</v>
          </cell>
          <cell r="E118">
            <v>254.91</v>
          </cell>
          <cell r="F118">
            <v>891.20999999999992</v>
          </cell>
          <cell r="G118">
            <v>0.1968654738237243</v>
          </cell>
          <cell r="H118">
            <v>422</v>
          </cell>
          <cell r="I118">
            <v>60.285714285714285</v>
          </cell>
          <cell r="J118">
            <v>149</v>
          </cell>
          <cell r="K118">
            <v>0</v>
          </cell>
          <cell r="L118">
            <v>3</v>
          </cell>
          <cell r="M118">
            <v>14</v>
          </cell>
          <cell r="N118">
            <v>9.3959731543624164E-2</v>
          </cell>
          <cell r="O118">
            <v>30</v>
          </cell>
          <cell r="P118">
            <v>4.2857142857142856</v>
          </cell>
          <cell r="Q118">
            <v>0.14541260268367423</v>
          </cell>
        </row>
        <row r="119">
          <cell r="A119">
            <v>1738</v>
          </cell>
          <cell r="B119" t="str">
            <v>ANGLET</v>
          </cell>
          <cell r="C119">
            <v>3438</v>
          </cell>
          <cell r="D119">
            <v>0</v>
          </cell>
          <cell r="E119">
            <v>245.39</v>
          </cell>
          <cell r="F119">
            <v>698.5</v>
          </cell>
          <cell r="G119">
            <v>0.20317044793484584</v>
          </cell>
          <cell r="H119">
            <v>299</v>
          </cell>
          <cell r="I119">
            <v>42.714285714285715</v>
          </cell>
          <cell r="J119">
            <v>91</v>
          </cell>
          <cell r="K119">
            <v>0</v>
          </cell>
          <cell r="L119">
            <v>2</v>
          </cell>
          <cell r="M119">
            <v>6</v>
          </cell>
          <cell r="N119">
            <v>6.5934065934065936E-2</v>
          </cell>
          <cell r="O119">
            <v>21</v>
          </cell>
          <cell r="P119">
            <v>3</v>
          </cell>
          <cell r="Q119">
            <v>0.13455225693445588</v>
          </cell>
        </row>
        <row r="120">
          <cell r="A120">
            <v>1754</v>
          </cell>
          <cell r="B120" t="str">
            <v>ANGLET ERDIAN</v>
          </cell>
          <cell r="C120">
            <v>584</v>
          </cell>
          <cell r="D120">
            <v>0</v>
          </cell>
          <cell r="E120">
            <v>9</v>
          </cell>
          <cell r="F120">
            <v>106.6</v>
          </cell>
          <cell r="G120">
            <v>0.18253424657534245</v>
          </cell>
          <cell r="H120">
            <v>63</v>
          </cell>
          <cell r="I120">
            <v>9</v>
          </cell>
          <cell r="J120">
            <v>29</v>
          </cell>
          <cell r="K120">
            <v>0</v>
          </cell>
          <cell r="L120">
            <v>0</v>
          </cell>
          <cell r="M120">
            <v>1</v>
          </cell>
          <cell r="N120">
            <v>3.4482758620689655E-2</v>
          </cell>
          <cell r="O120">
            <v>8</v>
          </cell>
          <cell r="P120">
            <v>1.1428571428571428</v>
          </cell>
          <cell r="Q120">
            <v>0.10850850259801606</v>
          </cell>
        </row>
        <row r="121">
          <cell r="A121">
            <v>1755</v>
          </cell>
          <cell r="B121" t="str">
            <v>USTARITZ</v>
          </cell>
          <cell r="C121">
            <v>505</v>
          </cell>
          <cell r="D121">
            <v>0</v>
          </cell>
          <cell r="E121">
            <v>0.52</v>
          </cell>
          <cell r="F121">
            <v>86.1</v>
          </cell>
          <cell r="G121">
            <v>0.17049504950495048</v>
          </cell>
          <cell r="H121">
            <v>61</v>
          </cell>
          <cell r="I121">
            <v>8.7142857142857135</v>
          </cell>
          <cell r="J121">
            <v>29</v>
          </cell>
          <cell r="K121">
            <v>0</v>
          </cell>
          <cell r="L121">
            <v>1</v>
          </cell>
          <cell r="M121">
            <v>7</v>
          </cell>
          <cell r="N121">
            <v>0.2413793103448276</v>
          </cell>
          <cell r="O121">
            <v>2</v>
          </cell>
          <cell r="P121">
            <v>0.2857142857142857</v>
          </cell>
          <cell r="Q121">
            <v>0.20593717992488902</v>
          </cell>
        </row>
        <row r="122">
          <cell r="A122">
            <v>1743</v>
          </cell>
          <cell r="B122" t="str">
            <v>CAMBO LES BAINS</v>
          </cell>
          <cell r="C122">
            <v>1353</v>
          </cell>
          <cell r="D122">
            <v>0</v>
          </cell>
          <cell r="E122">
            <v>22.8</v>
          </cell>
          <cell r="F122">
            <v>305.31</v>
          </cell>
          <cell r="G122">
            <v>0.2256541019955654</v>
          </cell>
          <cell r="H122">
            <v>88</v>
          </cell>
          <cell r="I122">
            <v>12.571428571428571</v>
          </cell>
          <cell r="J122">
            <v>44</v>
          </cell>
          <cell r="K122">
            <v>0</v>
          </cell>
          <cell r="L122">
            <v>0</v>
          </cell>
          <cell r="M122">
            <v>7</v>
          </cell>
          <cell r="N122">
            <v>0.15909090909090909</v>
          </cell>
          <cell r="O122">
            <v>6</v>
          </cell>
          <cell r="P122">
            <v>0.8571428571428571</v>
          </cell>
          <cell r="Q122">
            <v>0.19237250554323726</v>
          </cell>
        </row>
        <row r="123">
          <cell r="A123">
            <v>43787</v>
          </cell>
          <cell r="B123" t="str">
            <v>DGA LANDES SUD</v>
          </cell>
          <cell r="C123">
            <v>14031</v>
          </cell>
          <cell r="D123">
            <v>122.02</v>
          </cell>
          <cell r="E123">
            <v>165.5</v>
          </cell>
          <cell r="F123">
            <v>1696.79</v>
          </cell>
          <cell r="G123">
            <v>0.12093150880193856</v>
          </cell>
          <cell r="H123">
            <v>2373</v>
          </cell>
          <cell r="I123">
            <v>339</v>
          </cell>
          <cell r="J123">
            <v>442</v>
          </cell>
          <cell r="K123">
            <v>1</v>
          </cell>
          <cell r="L123">
            <v>4</v>
          </cell>
          <cell r="M123">
            <v>44</v>
          </cell>
          <cell r="N123">
            <v>9.9547511312217188E-2</v>
          </cell>
          <cell r="O123">
            <v>85</v>
          </cell>
          <cell r="P123">
            <v>12.142857142857142</v>
          </cell>
          <cell r="Q123">
            <v>0.11023951005707788</v>
          </cell>
        </row>
        <row r="124">
          <cell r="A124">
            <v>51732</v>
          </cell>
          <cell r="B124" t="str">
            <v>Multisite DAX</v>
          </cell>
          <cell r="C124">
            <v>7739</v>
          </cell>
          <cell r="D124">
            <v>12</v>
          </cell>
          <cell r="E124">
            <v>25.38</v>
          </cell>
          <cell r="F124">
            <v>830.57</v>
          </cell>
          <cell r="G124">
            <v>0.10732265150536245</v>
          </cell>
          <cell r="H124">
            <v>1414</v>
          </cell>
          <cell r="I124">
            <v>202</v>
          </cell>
          <cell r="J124">
            <v>220</v>
          </cell>
          <cell r="K124">
            <v>0</v>
          </cell>
          <cell r="L124">
            <v>2</v>
          </cell>
          <cell r="M124">
            <v>15</v>
          </cell>
          <cell r="N124">
            <v>6.8181818181818177E-2</v>
          </cell>
          <cell r="O124">
            <v>49</v>
          </cell>
          <cell r="P124">
            <v>7</v>
          </cell>
          <cell r="Q124">
            <v>8.7752234843590321E-2</v>
          </cell>
        </row>
        <row r="125">
          <cell r="A125">
            <v>1732</v>
          </cell>
          <cell r="B125" t="str">
            <v>DAX</v>
          </cell>
          <cell r="C125">
            <v>5026</v>
          </cell>
          <cell r="D125">
            <v>10</v>
          </cell>
          <cell r="E125">
            <v>23.38</v>
          </cell>
          <cell r="F125">
            <v>443.08000000000004</v>
          </cell>
          <cell r="G125">
            <v>8.8157580580978917E-2</v>
          </cell>
          <cell r="H125">
            <v>1015</v>
          </cell>
          <cell r="I125">
            <v>145</v>
          </cell>
          <cell r="J125">
            <v>132</v>
          </cell>
          <cell r="K125">
            <v>0</v>
          </cell>
          <cell r="L125">
            <v>2</v>
          </cell>
          <cell r="M125">
            <v>13</v>
          </cell>
          <cell r="N125">
            <v>9.8484848484848481E-2</v>
          </cell>
          <cell r="O125">
            <v>26</v>
          </cell>
          <cell r="P125">
            <v>3.7142857142857144</v>
          </cell>
          <cell r="Q125">
            <v>9.3321214532913699E-2</v>
          </cell>
        </row>
        <row r="126">
          <cell r="A126">
            <v>1742</v>
          </cell>
          <cell r="B126" t="str">
            <v>PEYREHORADE</v>
          </cell>
          <cell r="C126">
            <v>797</v>
          </cell>
          <cell r="D126">
            <v>0</v>
          </cell>
          <cell r="E126">
            <v>0</v>
          </cell>
          <cell r="F126">
            <v>183.98</v>
          </cell>
          <cell r="G126">
            <v>0.23084065244667501</v>
          </cell>
          <cell r="H126">
            <v>48</v>
          </cell>
          <cell r="I126">
            <v>6.8571428571428568</v>
          </cell>
          <cell r="J126">
            <v>37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11</v>
          </cell>
          <cell r="P126">
            <v>1.5714285714285714</v>
          </cell>
          <cell r="Q126">
            <v>0.1154203262233375</v>
          </cell>
        </row>
        <row r="127">
          <cell r="A127">
            <v>1745</v>
          </cell>
          <cell r="B127" t="str">
            <v>SAINT PAUL LES DAX</v>
          </cell>
          <cell r="C127">
            <v>1916</v>
          </cell>
          <cell r="D127">
            <v>2</v>
          </cell>
          <cell r="E127">
            <v>2</v>
          </cell>
          <cell r="F127">
            <v>203.51</v>
          </cell>
          <cell r="G127">
            <v>0.10621607515657619</v>
          </cell>
          <cell r="H127">
            <v>353</v>
          </cell>
          <cell r="I127">
            <v>50.428571428571431</v>
          </cell>
          <cell r="J127">
            <v>51</v>
          </cell>
          <cell r="K127">
            <v>0</v>
          </cell>
          <cell r="L127">
            <v>0</v>
          </cell>
          <cell r="M127">
            <v>2</v>
          </cell>
          <cell r="N127">
            <v>3.9215686274509803E-2</v>
          </cell>
          <cell r="O127">
            <v>13</v>
          </cell>
          <cell r="P127">
            <v>1.8571428571428572</v>
          </cell>
          <cell r="Q127">
            <v>7.2715880715542996E-2</v>
          </cell>
        </row>
        <row r="128">
          <cell r="A128">
            <v>51746</v>
          </cell>
          <cell r="B128" t="str">
            <v>Multisite CAPBRETON</v>
          </cell>
          <cell r="C128">
            <v>6226</v>
          </cell>
          <cell r="D128">
            <v>110.02</v>
          </cell>
          <cell r="E128">
            <v>140.13</v>
          </cell>
          <cell r="F128">
            <v>866.22</v>
          </cell>
          <cell r="G128">
            <v>0.13912945711532285</v>
          </cell>
          <cell r="H128">
            <v>940</v>
          </cell>
          <cell r="I128">
            <v>134.28571428571428</v>
          </cell>
          <cell r="J128">
            <v>222</v>
          </cell>
          <cell r="K128">
            <v>1</v>
          </cell>
          <cell r="L128">
            <v>2</v>
          </cell>
          <cell r="M128">
            <v>29</v>
          </cell>
          <cell r="N128">
            <v>0.13063063063063063</v>
          </cell>
          <cell r="O128">
            <v>36</v>
          </cell>
          <cell r="P128">
            <v>5.1428571428571432</v>
          </cell>
          <cell r="Q128">
            <v>0.13488004387297675</v>
          </cell>
        </row>
        <row r="129">
          <cell r="A129">
            <v>1740</v>
          </cell>
          <cell r="B129" t="str">
            <v>TARNOS</v>
          </cell>
          <cell r="C129">
            <v>1796</v>
          </cell>
          <cell r="D129">
            <v>20.02</v>
          </cell>
          <cell r="E129">
            <v>20.13</v>
          </cell>
          <cell r="F129">
            <v>165.29</v>
          </cell>
          <cell r="G129">
            <v>9.2032293986636968E-2</v>
          </cell>
          <cell r="H129">
            <v>356</v>
          </cell>
          <cell r="I129">
            <v>50.857142857142854</v>
          </cell>
          <cell r="J129">
            <v>73</v>
          </cell>
          <cell r="K129">
            <v>0</v>
          </cell>
          <cell r="L129">
            <v>0</v>
          </cell>
          <cell r="M129">
            <v>14</v>
          </cell>
          <cell r="N129">
            <v>0.19178082191780821</v>
          </cell>
          <cell r="O129">
            <v>8</v>
          </cell>
          <cell r="P129">
            <v>1.1428571428571428</v>
          </cell>
          <cell r="Q129">
            <v>0.1419065579522226</v>
          </cell>
        </row>
        <row r="130">
          <cell r="A130">
            <v>1746</v>
          </cell>
          <cell r="B130" t="str">
            <v>CAPBRETON</v>
          </cell>
          <cell r="C130">
            <v>3407</v>
          </cell>
          <cell r="D130">
            <v>0</v>
          </cell>
          <cell r="E130">
            <v>30</v>
          </cell>
          <cell r="F130">
            <v>454</v>
          </cell>
          <cell r="G130">
            <v>0.1332550631053713</v>
          </cell>
          <cell r="H130">
            <v>535</v>
          </cell>
          <cell r="I130">
            <v>76.428571428571431</v>
          </cell>
          <cell r="J130">
            <v>85</v>
          </cell>
          <cell r="K130">
            <v>0</v>
          </cell>
          <cell r="L130">
            <v>1</v>
          </cell>
          <cell r="M130">
            <v>9</v>
          </cell>
          <cell r="N130">
            <v>0.10588235294117647</v>
          </cell>
          <cell r="O130">
            <v>16</v>
          </cell>
          <cell r="P130">
            <v>2.2857142857142856</v>
          </cell>
          <cell r="Q130">
            <v>0.11956870802327388</v>
          </cell>
        </row>
        <row r="131">
          <cell r="A131">
            <v>1753</v>
          </cell>
          <cell r="B131" t="str">
            <v>SAINT VINCENT DE TYROSSE</v>
          </cell>
          <cell r="C131">
            <v>1023</v>
          </cell>
          <cell r="D131">
            <v>90</v>
          </cell>
          <cell r="E131">
            <v>90</v>
          </cell>
          <cell r="F131">
            <v>246.93</v>
          </cell>
          <cell r="G131">
            <v>0.24137829912023462</v>
          </cell>
          <cell r="H131">
            <v>50</v>
          </cell>
          <cell r="I131">
            <v>7.1428571428571432</v>
          </cell>
          <cell r="J131">
            <v>64</v>
          </cell>
          <cell r="K131">
            <v>1</v>
          </cell>
          <cell r="L131">
            <v>1</v>
          </cell>
          <cell r="M131">
            <v>6</v>
          </cell>
          <cell r="N131">
            <v>9.375E-2</v>
          </cell>
          <cell r="O131">
            <v>13</v>
          </cell>
          <cell r="P131">
            <v>1.8571428571428572</v>
          </cell>
          <cell r="Q131">
            <v>0.16756414956011731</v>
          </cell>
        </row>
        <row r="132">
          <cell r="A132">
            <v>43804</v>
          </cell>
          <cell r="B132" t="str">
            <v>DGA VIENNE</v>
          </cell>
          <cell r="C132">
            <v>16825</v>
          </cell>
          <cell r="D132">
            <v>38.15</v>
          </cell>
          <cell r="E132">
            <v>305.94</v>
          </cell>
          <cell r="F132">
            <v>2817.7999999999997</v>
          </cell>
          <cell r="G132">
            <v>0.16747696879643387</v>
          </cell>
          <cell r="H132">
            <v>2062</v>
          </cell>
          <cell r="I132">
            <v>294.57142857142856</v>
          </cell>
          <cell r="J132">
            <v>489</v>
          </cell>
          <cell r="K132">
            <v>8</v>
          </cell>
          <cell r="L132">
            <v>12</v>
          </cell>
          <cell r="M132">
            <v>125</v>
          </cell>
          <cell r="N132">
            <v>0.2556237218813906</v>
          </cell>
          <cell r="O132">
            <v>17</v>
          </cell>
          <cell r="P132">
            <v>2.4285714285714284</v>
          </cell>
          <cell r="Q132">
            <v>0.21155034533891223</v>
          </cell>
        </row>
        <row r="133">
          <cell r="A133">
            <v>57800</v>
          </cell>
          <cell r="B133" t="str">
            <v>Multisite POITIERS</v>
          </cell>
          <cell r="C133">
            <v>7792</v>
          </cell>
          <cell r="D133">
            <v>1.2</v>
          </cell>
          <cell r="E133">
            <v>221.25</v>
          </cell>
          <cell r="F133">
            <v>1624.24</v>
          </cell>
          <cell r="G133">
            <v>0.20844969199178645</v>
          </cell>
          <cell r="H133">
            <v>636</v>
          </cell>
          <cell r="I133">
            <v>90.857142857142861</v>
          </cell>
          <cell r="J133">
            <v>197</v>
          </cell>
          <cell r="K133">
            <v>5</v>
          </cell>
          <cell r="L133">
            <v>8</v>
          </cell>
          <cell r="M133">
            <v>44</v>
          </cell>
          <cell r="N133">
            <v>0.2233502538071066</v>
          </cell>
          <cell r="O133">
            <v>14</v>
          </cell>
          <cell r="P133">
            <v>2</v>
          </cell>
          <cell r="Q133">
            <v>0.21589997289944651</v>
          </cell>
        </row>
        <row r="134">
          <cell r="A134">
            <v>7800</v>
          </cell>
          <cell r="B134" t="str">
            <v>POITIERS</v>
          </cell>
          <cell r="C134">
            <v>6038</v>
          </cell>
          <cell r="D134">
            <v>1.2</v>
          </cell>
          <cell r="E134">
            <v>221.23</v>
          </cell>
          <cell r="F134">
            <v>1595.8300000000002</v>
          </cell>
          <cell r="G134">
            <v>0.26429778072209342</v>
          </cell>
          <cell r="H134">
            <v>156</v>
          </cell>
          <cell r="I134">
            <v>22.285714285714285</v>
          </cell>
          <cell r="J134">
            <v>149</v>
          </cell>
          <cell r="K134">
            <v>4</v>
          </cell>
          <cell r="L134">
            <v>7</v>
          </cell>
          <cell r="M134">
            <v>39</v>
          </cell>
          <cell r="N134">
            <v>0.26174496644295303</v>
          </cell>
          <cell r="O134">
            <v>5</v>
          </cell>
          <cell r="P134">
            <v>0.7142857142857143</v>
          </cell>
          <cell r="Q134">
            <v>0.2630213735825232</v>
          </cell>
        </row>
        <row r="135">
          <cell r="A135">
            <v>7803</v>
          </cell>
          <cell r="B135" t="str">
            <v>POITIERS BOURBEAU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</row>
        <row r="136">
          <cell r="A136">
            <v>7839</v>
          </cell>
          <cell r="B136" t="str">
            <v>POITIERS LIBERATION</v>
          </cell>
          <cell r="C136">
            <v>1754</v>
          </cell>
          <cell r="D136">
            <v>0</v>
          </cell>
          <cell r="E136">
            <v>0.02</v>
          </cell>
          <cell r="F136">
            <v>28.4</v>
          </cell>
          <cell r="G136">
            <v>1.6191562143671605E-2</v>
          </cell>
          <cell r="H136">
            <v>481</v>
          </cell>
          <cell r="I136">
            <v>68.714285714285708</v>
          </cell>
          <cell r="J136">
            <v>48</v>
          </cell>
          <cell r="K136">
            <v>1</v>
          </cell>
          <cell r="L136">
            <v>1</v>
          </cell>
          <cell r="M136">
            <v>5</v>
          </cell>
          <cell r="N136">
            <v>0.10416666666666667</v>
          </cell>
          <cell r="O136">
            <v>9</v>
          </cell>
          <cell r="P136">
            <v>1.2857142857142858</v>
          </cell>
          <cell r="Q136">
            <v>6.017911440516914E-2</v>
          </cell>
        </row>
        <row r="137">
          <cell r="A137">
            <v>7831</v>
          </cell>
          <cell r="B137" t="str">
            <v>CHATELLERAULT</v>
          </cell>
          <cell r="C137">
            <v>4078</v>
          </cell>
          <cell r="D137">
            <v>0.05</v>
          </cell>
          <cell r="E137">
            <v>10.050000000000001</v>
          </cell>
          <cell r="F137">
            <v>398.79</v>
          </cell>
          <cell r="G137">
            <v>9.7790583619421292E-2</v>
          </cell>
          <cell r="H137">
            <v>784</v>
          </cell>
          <cell r="I137">
            <v>112</v>
          </cell>
          <cell r="J137">
            <v>125</v>
          </cell>
          <cell r="K137">
            <v>3</v>
          </cell>
          <cell r="L137">
            <v>3</v>
          </cell>
          <cell r="M137">
            <v>50</v>
          </cell>
          <cell r="N137">
            <v>0.4</v>
          </cell>
          <cell r="O137">
            <v>0</v>
          </cell>
          <cell r="P137">
            <v>0</v>
          </cell>
          <cell r="Q137">
            <v>0.24889529180971065</v>
          </cell>
        </row>
        <row r="138">
          <cell r="A138">
            <v>57836</v>
          </cell>
          <cell r="B138" t="str">
            <v>Multisite POITIERS PROVENCE</v>
          </cell>
          <cell r="C138">
            <v>4867</v>
          </cell>
          <cell r="D138">
            <v>36.9</v>
          </cell>
          <cell r="E138">
            <v>74.64</v>
          </cell>
          <cell r="F138">
            <v>794.77</v>
          </cell>
          <cell r="G138">
            <v>0.16329771933429216</v>
          </cell>
          <cell r="H138">
            <v>617</v>
          </cell>
          <cell r="I138">
            <v>88.142857142857139</v>
          </cell>
          <cell r="J138">
            <v>167</v>
          </cell>
          <cell r="K138">
            <v>0</v>
          </cell>
          <cell r="L138">
            <v>1</v>
          </cell>
          <cell r="M138">
            <v>31</v>
          </cell>
          <cell r="N138">
            <v>0.18562874251497005</v>
          </cell>
          <cell r="O138">
            <v>18</v>
          </cell>
          <cell r="P138">
            <v>2.5714285714285716</v>
          </cell>
          <cell r="Q138">
            <v>0.17446323092463112</v>
          </cell>
        </row>
        <row r="139">
          <cell r="A139">
            <v>7802</v>
          </cell>
          <cell r="B139" t="str">
            <v>NEUVILLE DE POITOU</v>
          </cell>
          <cell r="C139">
            <v>945</v>
          </cell>
          <cell r="D139">
            <v>0</v>
          </cell>
          <cell r="E139">
            <v>26.11</v>
          </cell>
          <cell r="F139">
            <v>165.5</v>
          </cell>
          <cell r="G139">
            <v>0.17513227513227514</v>
          </cell>
          <cell r="H139">
            <v>109</v>
          </cell>
          <cell r="I139">
            <v>15.571428571428571</v>
          </cell>
          <cell r="J139">
            <v>34</v>
          </cell>
          <cell r="K139">
            <v>0</v>
          </cell>
          <cell r="L139">
            <v>1</v>
          </cell>
          <cell r="M139">
            <v>5</v>
          </cell>
          <cell r="N139">
            <v>0.14705882352941177</v>
          </cell>
          <cell r="O139">
            <v>5</v>
          </cell>
          <cell r="P139">
            <v>0.7142857142857143</v>
          </cell>
          <cell r="Q139">
            <v>0.16109554933084347</v>
          </cell>
        </row>
        <row r="140">
          <cell r="A140">
            <v>7832</v>
          </cell>
          <cell r="B140" t="str">
            <v>POITIERS BEAULIEU</v>
          </cell>
          <cell r="C140">
            <v>2593</v>
          </cell>
          <cell r="D140">
            <v>11.9</v>
          </cell>
          <cell r="E140">
            <v>22.05</v>
          </cell>
          <cell r="F140">
            <v>407.55</v>
          </cell>
          <cell r="G140">
            <v>0.1571731585036637</v>
          </cell>
          <cell r="H140">
            <v>345</v>
          </cell>
          <cell r="I140">
            <v>49.285714285714285</v>
          </cell>
          <cell r="J140">
            <v>67</v>
          </cell>
          <cell r="K140">
            <v>0</v>
          </cell>
          <cell r="L140">
            <v>0</v>
          </cell>
          <cell r="M140">
            <v>15</v>
          </cell>
          <cell r="N140">
            <v>0.22388059701492538</v>
          </cell>
          <cell r="O140">
            <v>5</v>
          </cell>
          <cell r="P140">
            <v>0.7142857142857143</v>
          </cell>
          <cell r="Q140">
            <v>0.19052687775929456</v>
          </cell>
        </row>
        <row r="141">
          <cell r="A141">
            <v>7836</v>
          </cell>
          <cell r="B141" t="str">
            <v>POITIERS PROVENCE</v>
          </cell>
          <cell r="C141">
            <v>1329</v>
          </cell>
          <cell r="D141">
            <v>25</v>
          </cell>
          <cell r="E141">
            <v>26.48</v>
          </cell>
          <cell r="F141">
            <v>221.73</v>
          </cell>
          <cell r="G141">
            <v>0.16683972911963882</v>
          </cell>
          <cell r="H141">
            <v>164</v>
          </cell>
          <cell r="I141">
            <v>23.428571428571427</v>
          </cell>
          <cell r="J141">
            <v>66</v>
          </cell>
          <cell r="K141">
            <v>0</v>
          </cell>
          <cell r="L141">
            <v>0</v>
          </cell>
          <cell r="M141">
            <v>11</v>
          </cell>
          <cell r="N141">
            <v>0.16666666666666666</v>
          </cell>
          <cell r="O141">
            <v>9</v>
          </cell>
          <cell r="P141">
            <v>1.2857142857142858</v>
          </cell>
          <cell r="Q141">
            <v>0.16675319789315274</v>
          </cell>
        </row>
        <row r="142">
          <cell r="A142">
            <v>43812</v>
          </cell>
          <cell r="B142" t="str">
            <v>DGA PAYS ROCHELAIS DEUX SEVRES</v>
          </cell>
          <cell r="C142">
            <v>26648</v>
          </cell>
          <cell r="D142">
            <v>14.08</v>
          </cell>
          <cell r="E142">
            <v>485.61</v>
          </cell>
          <cell r="F142">
            <v>3649.9100000000003</v>
          </cell>
          <cell r="G142">
            <v>0.13696750225157611</v>
          </cell>
          <cell r="H142">
            <v>4079</v>
          </cell>
          <cell r="I142">
            <v>582.71428571428567</v>
          </cell>
          <cell r="J142">
            <v>658</v>
          </cell>
          <cell r="K142">
            <v>8</v>
          </cell>
          <cell r="L142">
            <v>23</v>
          </cell>
          <cell r="M142">
            <v>109</v>
          </cell>
          <cell r="N142">
            <v>0.16565349544072949</v>
          </cell>
          <cell r="O142">
            <v>82</v>
          </cell>
          <cell r="P142">
            <v>11.714285714285714</v>
          </cell>
          <cell r="Q142">
            <v>0.1513104988461528</v>
          </cell>
        </row>
        <row r="143">
          <cell r="A143">
            <v>55131</v>
          </cell>
          <cell r="B143" t="str">
            <v>Multisite BRESSUIRE</v>
          </cell>
          <cell r="C143">
            <v>5619</v>
          </cell>
          <cell r="D143">
            <v>0.03</v>
          </cell>
          <cell r="E143">
            <v>63.65</v>
          </cell>
          <cell r="F143">
            <v>585.87</v>
          </cell>
          <cell r="G143">
            <v>0.10426588360918312</v>
          </cell>
          <cell r="H143">
            <v>1044</v>
          </cell>
          <cell r="I143">
            <v>149.14285714285714</v>
          </cell>
          <cell r="J143">
            <v>107</v>
          </cell>
          <cell r="K143">
            <v>1</v>
          </cell>
          <cell r="L143">
            <v>1</v>
          </cell>
          <cell r="M143">
            <v>17</v>
          </cell>
          <cell r="N143">
            <v>0.15887850467289719</v>
          </cell>
          <cell r="O143">
            <v>15</v>
          </cell>
          <cell r="P143">
            <v>2.1428571428571428</v>
          </cell>
          <cell r="Q143">
            <v>0.13157219414104016</v>
          </cell>
        </row>
        <row r="144">
          <cell r="A144">
            <v>5131</v>
          </cell>
          <cell r="B144" t="str">
            <v>BRESSUIRE</v>
          </cell>
          <cell r="C144">
            <v>3408</v>
          </cell>
          <cell r="D144">
            <v>0</v>
          </cell>
          <cell r="E144">
            <v>58.62</v>
          </cell>
          <cell r="F144">
            <v>277.73</v>
          </cell>
          <cell r="G144">
            <v>8.1493544600938966E-2</v>
          </cell>
          <cell r="H144">
            <v>711</v>
          </cell>
          <cell r="I144">
            <v>101.57142857142857</v>
          </cell>
          <cell r="J144">
            <v>41</v>
          </cell>
          <cell r="K144">
            <v>0</v>
          </cell>
          <cell r="L144">
            <v>0</v>
          </cell>
          <cell r="M144">
            <v>9</v>
          </cell>
          <cell r="N144">
            <v>0.21951219512195122</v>
          </cell>
          <cell r="O144">
            <v>3</v>
          </cell>
          <cell r="P144">
            <v>0.42857142857142855</v>
          </cell>
          <cell r="Q144">
            <v>0.15050286986144509</v>
          </cell>
        </row>
        <row r="145">
          <cell r="A145">
            <v>5139</v>
          </cell>
          <cell r="B145" t="str">
            <v>THOUARS</v>
          </cell>
          <cell r="C145">
            <v>881</v>
          </cell>
          <cell r="D145">
            <v>0.03</v>
          </cell>
          <cell r="E145">
            <v>5.03</v>
          </cell>
          <cell r="F145">
            <v>108.32</v>
          </cell>
          <cell r="G145">
            <v>0.12295119182746878</v>
          </cell>
          <cell r="H145">
            <v>148</v>
          </cell>
          <cell r="I145">
            <v>21.142857142857142</v>
          </cell>
          <cell r="J145">
            <v>32</v>
          </cell>
          <cell r="K145">
            <v>1</v>
          </cell>
          <cell r="L145">
            <v>1</v>
          </cell>
          <cell r="M145">
            <v>3</v>
          </cell>
          <cell r="N145">
            <v>9.375E-2</v>
          </cell>
          <cell r="O145">
            <v>7</v>
          </cell>
          <cell r="P145">
            <v>1</v>
          </cell>
          <cell r="Q145">
            <v>0.10835059591373439</v>
          </cell>
        </row>
        <row r="146">
          <cell r="A146">
            <v>7834</v>
          </cell>
          <cell r="B146" t="str">
            <v>PARTHENAY</v>
          </cell>
          <cell r="C146">
            <v>1330</v>
          </cell>
          <cell r="D146">
            <v>0</v>
          </cell>
          <cell r="E146">
            <v>0</v>
          </cell>
          <cell r="F146">
            <v>199.82999999999998</v>
          </cell>
          <cell r="G146">
            <v>0.15024812030075188</v>
          </cell>
          <cell r="H146">
            <v>186</v>
          </cell>
          <cell r="I146">
            <v>26.571428571428573</v>
          </cell>
          <cell r="J146">
            <v>34</v>
          </cell>
          <cell r="K146">
            <v>0</v>
          </cell>
          <cell r="L146">
            <v>0</v>
          </cell>
          <cell r="M146">
            <v>5</v>
          </cell>
          <cell r="N146">
            <v>0.14705882352941177</v>
          </cell>
          <cell r="O146">
            <v>5</v>
          </cell>
          <cell r="P146">
            <v>0.7142857142857143</v>
          </cell>
          <cell r="Q146">
            <v>0.14865347191508183</v>
          </cell>
        </row>
        <row r="147">
          <cell r="A147">
            <v>57833</v>
          </cell>
          <cell r="B147" t="str">
            <v>Multisite NIORT</v>
          </cell>
          <cell r="C147">
            <v>6402</v>
          </cell>
          <cell r="D147">
            <v>2</v>
          </cell>
          <cell r="E147">
            <v>203.9</v>
          </cell>
          <cell r="F147">
            <v>1082.1600000000001</v>
          </cell>
          <cell r="G147">
            <v>0.16903467666354266</v>
          </cell>
          <cell r="H147">
            <v>775</v>
          </cell>
          <cell r="I147">
            <v>110.71428571428571</v>
          </cell>
          <cell r="J147">
            <v>157</v>
          </cell>
          <cell r="K147">
            <v>2</v>
          </cell>
          <cell r="L147">
            <v>5</v>
          </cell>
          <cell r="M147">
            <v>31</v>
          </cell>
          <cell r="N147">
            <v>0.19745222929936307</v>
          </cell>
          <cell r="O147">
            <v>15</v>
          </cell>
          <cell r="P147">
            <v>2.1428571428571428</v>
          </cell>
          <cell r="Q147">
            <v>0.18324345298145286</v>
          </cell>
        </row>
        <row r="148">
          <cell r="A148">
            <v>7833</v>
          </cell>
          <cell r="B148" t="str">
            <v>NIORT</v>
          </cell>
          <cell r="C148">
            <v>5093</v>
          </cell>
          <cell r="D148">
            <v>2</v>
          </cell>
          <cell r="E148">
            <v>96.88</v>
          </cell>
          <cell r="F148">
            <v>917.38</v>
          </cell>
          <cell r="G148">
            <v>0.18012566267425878</v>
          </cell>
          <cell r="H148">
            <v>560</v>
          </cell>
          <cell r="I148">
            <v>80</v>
          </cell>
          <cell r="J148">
            <v>107</v>
          </cell>
          <cell r="K148">
            <v>2</v>
          </cell>
          <cell r="L148">
            <v>4</v>
          </cell>
          <cell r="M148">
            <v>19</v>
          </cell>
          <cell r="N148">
            <v>0.17757009345794392</v>
          </cell>
          <cell r="O148">
            <v>13</v>
          </cell>
          <cell r="P148">
            <v>1.8571428571428572</v>
          </cell>
          <cell r="Q148">
            <v>0.17884787806610136</v>
          </cell>
        </row>
        <row r="149">
          <cell r="A149">
            <v>7835</v>
          </cell>
          <cell r="B149" t="str">
            <v>SAINT MAIXENT L'ECOLE</v>
          </cell>
          <cell r="C149">
            <v>899</v>
          </cell>
          <cell r="D149">
            <v>0</v>
          </cell>
          <cell r="E149">
            <v>107.02</v>
          </cell>
          <cell r="F149">
            <v>164.78</v>
          </cell>
          <cell r="G149">
            <v>0.18329254727474972</v>
          </cell>
          <cell r="H149">
            <v>96</v>
          </cell>
          <cell r="I149">
            <v>13.714285714285714</v>
          </cell>
          <cell r="J149">
            <v>34</v>
          </cell>
          <cell r="K149">
            <v>0</v>
          </cell>
          <cell r="L149">
            <v>1</v>
          </cell>
          <cell r="M149">
            <v>12</v>
          </cell>
          <cell r="N149">
            <v>0.35294117647058826</v>
          </cell>
          <cell r="O149">
            <v>0</v>
          </cell>
          <cell r="P149">
            <v>0</v>
          </cell>
          <cell r="Q149">
            <v>0.26811686187266898</v>
          </cell>
        </row>
        <row r="150">
          <cell r="A150">
            <v>7837</v>
          </cell>
          <cell r="B150" t="str">
            <v>MELLE</v>
          </cell>
          <cell r="C150">
            <v>410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119</v>
          </cell>
          <cell r="I150">
            <v>17</v>
          </cell>
          <cell r="J150">
            <v>16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5</v>
          </cell>
          <cell r="P150">
            <v>0.7142857142857143</v>
          </cell>
          <cell r="Q150">
            <v>0</v>
          </cell>
        </row>
        <row r="151">
          <cell r="A151">
            <v>58100</v>
          </cell>
          <cell r="B151" t="str">
            <v>Multisite LA ROCHELLE</v>
          </cell>
          <cell r="C151">
            <v>8277</v>
          </cell>
          <cell r="D151">
            <v>12</v>
          </cell>
          <cell r="E151">
            <v>131.94</v>
          </cell>
          <cell r="F151">
            <v>1182</v>
          </cell>
          <cell r="G151">
            <v>0.14280536426241391</v>
          </cell>
          <cell r="H151">
            <v>1219</v>
          </cell>
          <cell r="I151">
            <v>174.14285714285714</v>
          </cell>
          <cell r="J151">
            <v>219</v>
          </cell>
          <cell r="K151">
            <v>1</v>
          </cell>
          <cell r="L151">
            <v>3</v>
          </cell>
          <cell r="M151">
            <v>32</v>
          </cell>
          <cell r="N151">
            <v>0.14611872146118721</v>
          </cell>
          <cell r="O151">
            <v>32</v>
          </cell>
          <cell r="P151">
            <v>4.5714285714285712</v>
          </cell>
          <cell r="Q151">
            <v>0.14446204286180056</v>
          </cell>
        </row>
        <row r="152">
          <cell r="A152">
            <v>8100</v>
          </cell>
          <cell r="B152" t="str">
            <v>LA ROCHELLE</v>
          </cell>
          <cell r="C152">
            <v>5864</v>
          </cell>
          <cell r="D152">
            <v>12</v>
          </cell>
          <cell r="E152">
            <v>131.94</v>
          </cell>
          <cell r="F152">
            <v>919.78</v>
          </cell>
          <cell r="G152">
            <v>0.15685197817189631</v>
          </cell>
          <cell r="H152">
            <v>781</v>
          </cell>
          <cell r="I152">
            <v>111.57142857142857</v>
          </cell>
          <cell r="J152">
            <v>129</v>
          </cell>
          <cell r="K152">
            <v>0</v>
          </cell>
          <cell r="L152">
            <v>2</v>
          </cell>
          <cell r="M152">
            <v>17</v>
          </cell>
          <cell r="N152">
            <v>0.13178294573643412</v>
          </cell>
          <cell r="O152">
            <v>21</v>
          </cell>
          <cell r="P152">
            <v>3</v>
          </cell>
          <cell r="Q152">
            <v>0.14431746195416523</v>
          </cell>
        </row>
        <row r="153">
          <cell r="A153">
            <v>8146</v>
          </cell>
          <cell r="B153" t="str">
            <v>LA ROCHELLE BEL AIR</v>
          </cell>
          <cell r="C153">
            <v>1382</v>
          </cell>
          <cell r="D153">
            <v>0</v>
          </cell>
          <cell r="E153">
            <v>0</v>
          </cell>
          <cell r="F153">
            <v>119.58</v>
          </cell>
          <cell r="G153">
            <v>8.6526772793053541E-2</v>
          </cell>
          <cell r="H153">
            <v>282</v>
          </cell>
          <cell r="I153">
            <v>40.285714285714285</v>
          </cell>
          <cell r="J153">
            <v>53</v>
          </cell>
          <cell r="K153">
            <v>1</v>
          </cell>
          <cell r="L153">
            <v>1</v>
          </cell>
          <cell r="M153">
            <v>12</v>
          </cell>
          <cell r="N153">
            <v>0.22641509433962265</v>
          </cell>
          <cell r="O153">
            <v>4</v>
          </cell>
          <cell r="P153">
            <v>0.5714285714285714</v>
          </cell>
          <cell r="Q153">
            <v>0.15647093356633809</v>
          </cell>
        </row>
        <row r="154">
          <cell r="A154">
            <v>8150</v>
          </cell>
          <cell r="B154" t="str">
            <v>LA ROCHELLE MARCHE</v>
          </cell>
          <cell r="C154">
            <v>1031</v>
          </cell>
          <cell r="D154">
            <v>0</v>
          </cell>
          <cell r="E154">
            <v>0</v>
          </cell>
          <cell r="F154">
            <v>142.63999999999999</v>
          </cell>
          <cell r="G154">
            <v>0.13835111542192044</v>
          </cell>
          <cell r="H154">
            <v>157</v>
          </cell>
          <cell r="I154">
            <v>22.428571428571427</v>
          </cell>
          <cell r="J154">
            <v>37</v>
          </cell>
          <cell r="K154">
            <v>0</v>
          </cell>
          <cell r="L154">
            <v>0</v>
          </cell>
          <cell r="M154">
            <v>3</v>
          </cell>
          <cell r="N154">
            <v>8.1081081081081086E-2</v>
          </cell>
          <cell r="O154">
            <v>8</v>
          </cell>
          <cell r="P154">
            <v>1.1428571428571428</v>
          </cell>
          <cell r="Q154">
            <v>0.10971609825150076</v>
          </cell>
        </row>
        <row r="155">
          <cell r="A155">
            <v>58143</v>
          </cell>
          <cell r="B155" t="str">
            <v>Multisite AYTRE</v>
          </cell>
          <cell r="C155">
            <v>3979</v>
          </cell>
          <cell r="D155">
            <v>0.05</v>
          </cell>
          <cell r="E155">
            <v>86.12</v>
          </cell>
          <cell r="F155">
            <v>443.47</v>
          </cell>
          <cell r="G155">
            <v>0.11145262628801207</v>
          </cell>
          <cell r="H155">
            <v>711</v>
          </cell>
          <cell r="I155">
            <v>101.57142857142857</v>
          </cell>
          <cell r="J155">
            <v>138</v>
          </cell>
          <cell r="K155">
            <v>1</v>
          </cell>
          <cell r="L155">
            <v>11</v>
          </cell>
          <cell r="M155">
            <v>25</v>
          </cell>
          <cell r="N155">
            <v>0.18115942028985507</v>
          </cell>
          <cell r="O155">
            <v>16</v>
          </cell>
          <cell r="P155">
            <v>2.2857142857142856</v>
          </cell>
          <cell r="Q155">
            <v>0.14630602328893358</v>
          </cell>
        </row>
        <row r="156">
          <cell r="A156">
            <v>8143</v>
          </cell>
          <cell r="B156" t="str">
            <v>AYTRE</v>
          </cell>
          <cell r="C156">
            <v>1913</v>
          </cell>
          <cell r="D156">
            <v>0</v>
          </cell>
          <cell r="E156">
            <v>28</v>
          </cell>
          <cell r="F156">
            <v>177.04</v>
          </cell>
          <cell r="G156">
            <v>9.2545739675901725E-2</v>
          </cell>
          <cell r="H156">
            <v>378</v>
          </cell>
          <cell r="I156">
            <v>54</v>
          </cell>
          <cell r="J156">
            <v>60</v>
          </cell>
          <cell r="K156">
            <v>0</v>
          </cell>
          <cell r="L156">
            <v>1</v>
          </cell>
          <cell r="M156">
            <v>10</v>
          </cell>
          <cell r="N156">
            <v>0.16666666666666666</v>
          </cell>
          <cell r="O156">
            <v>8</v>
          </cell>
          <cell r="P156">
            <v>1.1428571428571428</v>
          </cell>
          <cell r="Q156">
            <v>0.12960620317128418</v>
          </cell>
        </row>
        <row r="157">
          <cell r="A157">
            <v>8145</v>
          </cell>
          <cell r="B157" t="str">
            <v>MARANS</v>
          </cell>
          <cell r="C157">
            <v>609</v>
          </cell>
          <cell r="D157">
            <v>0</v>
          </cell>
          <cell r="E157">
            <v>0.05</v>
          </cell>
          <cell r="F157">
            <v>32.75</v>
          </cell>
          <cell r="G157">
            <v>5.3776683087027911E-2</v>
          </cell>
          <cell r="H157">
            <v>144</v>
          </cell>
          <cell r="I157">
            <v>20.571428571428573</v>
          </cell>
          <cell r="J157">
            <v>25</v>
          </cell>
          <cell r="K157">
            <v>0</v>
          </cell>
          <cell r="L157">
            <v>1</v>
          </cell>
          <cell r="M157">
            <v>3</v>
          </cell>
          <cell r="N157">
            <v>0.12</v>
          </cell>
          <cell r="O157">
            <v>5</v>
          </cell>
          <cell r="P157">
            <v>0.7142857142857143</v>
          </cell>
          <cell r="Q157">
            <v>8.688834154351395E-2</v>
          </cell>
        </row>
        <row r="158">
          <cell r="A158">
            <v>8152</v>
          </cell>
          <cell r="B158" t="str">
            <v>PERIGNY</v>
          </cell>
          <cell r="C158">
            <v>985</v>
          </cell>
          <cell r="D158">
            <v>0.05</v>
          </cell>
          <cell r="E158">
            <v>53.08</v>
          </cell>
          <cell r="F158">
            <v>173.99</v>
          </cell>
          <cell r="G158">
            <v>0.17663959390862946</v>
          </cell>
          <cell r="H158">
            <v>112</v>
          </cell>
          <cell r="I158">
            <v>16</v>
          </cell>
          <cell r="J158">
            <v>35</v>
          </cell>
          <cell r="K158">
            <v>0</v>
          </cell>
          <cell r="L158">
            <v>8</v>
          </cell>
          <cell r="M158">
            <v>9</v>
          </cell>
          <cell r="N158">
            <v>0.25714285714285712</v>
          </cell>
          <cell r="O158">
            <v>2</v>
          </cell>
          <cell r="P158">
            <v>0.2857142857142857</v>
          </cell>
          <cell r="Q158">
            <v>0.2168912255257433</v>
          </cell>
        </row>
        <row r="159">
          <cell r="A159">
            <v>8153</v>
          </cell>
          <cell r="B159" t="str">
            <v>LA ROCHELLE LES MINIMES</v>
          </cell>
          <cell r="C159">
            <v>472</v>
          </cell>
          <cell r="D159">
            <v>0</v>
          </cell>
          <cell r="E159">
            <v>5</v>
          </cell>
          <cell r="F159">
            <v>59.7</v>
          </cell>
          <cell r="G159">
            <v>0.12648305084745765</v>
          </cell>
          <cell r="H159">
            <v>78</v>
          </cell>
          <cell r="I159">
            <v>11.142857142857142</v>
          </cell>
          <cell r="J159">
            <v>18</v>
          </cell>
          <cell r="K159">
            <v>1</v>
          </cell>
          <cell r="L159">
            <v>1</v>
          </cell>
          <cell r="M159">
            <v>3</v>
          </cell>
          <cell r="N159">
            <v>0.16666666666666666</v>
          </cell>
          <cell r="O159">
            <v>3</v>
          </cell>
          <cell r="P159">
            <v>0.42857142857142855</v>
          </cell>
          <cell r="Q159">
            <v>0.14657485875706217</v>
          </cell>
        </row>
        <row r="160">
          <cell r="A160">
            <v>8148</v>
          </cell>
          <cell r="B160" t="str">
            <v>SAINT MARTIN DE RE</v>
          </cell>
          <cell r="C160">
            <v>2244</v>
          </cell>
          <cell r="D160">
            <v>0</v>
          </cell>
          <cell r="E160">
            <v>0</v>
          </cell>
          <cell r="F160">
            <v>356.41</v>
          </cell>
          <cell r="G160">
            <v>0.15882798573975046</v>
          </cell>
          <cell r="H160">
            <v>295</v>
          </cell>
          <cell r="I160">
            <v>42.142857142857146</v>
          </cell>
          <cell r="J160">
            <v>37</v>
          </cell>
          <cell r="K160">
            <v>3</v>
          </cell>
          <cell r="L160">
            <v>3</v>
          </cell>
          <cell r="M160">
            <v>4</v>
          </cell>
          <cell r="N160">
            <v>0.10810810810810811</v>
          </cell>
          <cell r="O160">
            <v>7</v>
          </cell>
          <cell r="P160">
            <v>1</v>
          </cell>
          <cell r="Q160">
            <v>0.13346804692392927</v>
          </cell>
        </row>
        <row r="161">
          <cell r="A161">
            <v>43816</v>
          </cell>
          <cell r="B161" t="str">
            <v>DGA CHARENTE MARITIME SUD</v>
          </cell>
          <cell r="C161">
            <v>17598</v>
          </cell>
          <cell r="D161">
            <v>68.62</v>
          </cell>
          <cell r="E161">
            <v>528.64</v>
          </cell>
          <cell r="F161">
            <v>3234.1</v>
          </cell>
          <cell r="G161">
            <v>0.18377656551880894</v>
          </cell>
          <cell r="H161">
            <v>1870</v>
          </cell>
          <cell r="I161">
            <v>267.14285714285717</v>
          </cell>
          <cell r="J161">
            <v>459</v>
          </cell>
          <cell r="K161">
            <v>1</v>
          </cell>
          <cell r="L161">
            <v>4</v>
          </cell>
          <cell r="M161">
            <v>47</v>
          </cell>
          <cell r="N161">
            <v>0.10239651416122005</v>
          </cell>
          <cell r="O161">
            <v>87</v>
          </cell>
          <cell r="P161">
            <v>12.428571428571429</v>
          </cell>
          <cell r="Q161">
            <v>0.14308653984001449</v>
          </cell>
        </row>
        <row r="162">
          <cell r="A162">
            <v>8131</v>
          </cell>
          <cell r="B162" t="str">
            <v>JONZAC</v>
          </cell>
          <cell r="C162">
            <v>1230</v>
          </cell>
          <cell r="D162">
            <v>0</v>
          </cell>
          <cell r="E162">
            <v>52</v>
          </cell>
          <cell r="F162">
            <v>362.03</v>
          </cell>
          <cell r="G162">
            <v>0.29433333333333334</v>
          </cell>
          <cell r="H162">
            <v>0</v>
          </cell>
          <cell r="I162">
            <v>0</v>
          </cell>
          <cell r="J162">
            <v>45</v>
          </cell>
          <cell r="K162">
            <v>0</v>
          </cell>
          <cell r="L162">
            <v>0</v>
          </cell>
          <cell r="M162">
            <v>2</v>
          </cell>
          <cell r="N162">
            <v>4.4444444444444446E-2</v>
          </cell>
          <cell r="O162">
            <v>12</v>
          </cell>
          <cell r="P162">
            <v>1.7142857142857142</v>
          </cell>
          <cell r="Q162">
            <v>0.16938888888888889</v>
          </cell>
        </row>
        <row r="163">
          <cell r="A163">
            <v>58134</v>
          </cell>
          <cell r="B163" t="str">
            <v>Multisite ROCHEFORT SUR MER</v>
          </cell>
          <cell r="C163">
            <v>5373</v>
          </cell>
          <cell r="D163">
            <v>30</v>
          </cell>
          <cell r="E163">
            <v>30.02</v>
          </cell>
          <cell r="F163">
            <v>738.97</v>
          </cell>
          <cell r="G163">
            <v>0.13753396612693095</v>
          </cell>
          <cell r="H163">
            <v>820</v>
          </cell>
          <cell r="I163">
            <v>117.14285714285714</v>
          </cell>
          <cell r="J163">
            <v>163</v>
          </cell>
          <cell r="K163">
            <v>0</v>
          </cell>
          <cell r="L163">
            <v>1</v>
          </cell>
          <cell r="M163">
            <v>25</v>
          </cell>
          <cell r="N163">
            <v>0.15337423312883436</v>
          </cell>
          <cell r="O163">
            <v>23</v>
          </cell>
          <cell r="P163">
            <v>3.2857142857142856</v>
          </cell>
          <cell r="Q163">
            <v>0.14545409962788264</v>
          </cell>
        </row>
        <row r="164">
          <cell r="A164">
            <v>8134</v>
          </cell>
          <cell r="B164" t="str">
            <v>ROCHEFORT SUR MER</v>
          </cell>
          <cell r="C164">
            <v>2570</v>
          </cell>
          <cell r="D164">
            <v>30</v>
          </cell>
          <cell r="E164">
            <v>30.05</v>
          </cell>
          <cell r="F164">
            <v>434.57</v>
          </cell>
          <cell r="G164">
            <v>0.16909338521400777</v>
          </cell>
          <cell r="H164">
            <v>311</v>
          </cell>
          <cell r="I164">
            <v>44.428571428571431</v>
          </cell>
          <cell r="J164">
            <v>91</v>
          </cell>
          <cell r="K164">
            <v>0</v>
          </cell>
          <cell r="L164">
            <v>0</v>
          </cell>
          <cell r="M164">
            <v>24</v>
          </cell>
          <cell r="N164">
            <v>0.26373626373626374</v>
          </cell>
          <cell r="O164">
            <v>3</v>
          </cell>
          <cell r="P164">
            <v>0.42857142857142855</v>
          </cell>
          <cell r="Q164">
            <v>0.21641482447513577</v>
          </cell>
        </row>
        <row r="165">
          <cell r="A165">
            <v>8137</v>
          </cell>
          <cell r="B165" t="str">
            <v>SURGERES</v>
          </cell>
          <cell r="C165">
            <v>1369</v>
          </cell>
          <cell r="D165">
            <v>0</v>
          </cell>
          <cell r="E165">
            <v>0</v>
          </cell>
          <cell r="F165">
            <v>29.66</v>
          </cell>
          <cell r="G165">
            <v>2.16654492330168E-2</v>
          </cell>
          <cell r="H165">
            <v>368</v>
          </cell>
          <cell r="I165">
            <v>52.571428571428569</v>
          </cell>
          <cell r="J165">
            <v>39</v>
          </cell>
          <cell r="K165">
            <v>0</v>
          </cell>
          <cell r="L165">
            <v>1</v>
          </cell>
          <cell r="M165">
            <v>1</v>
          </cell>
          <cell r="N165">
            <v>2.564102564102564E-2</v>
          </cell>
          <cell r="O165">
            <v>11</v>
          </cell>
          <cell r="P165">
            <v>1.5714285714285714</v>
          </cell>
          <cell r="Q165">
            <v>2.3653237437021218E-2</v>
          </cell>
        </row>
        <row r="166">
          <cell r="A166">
            <v>8142</v>
          </cell>
          <cell r="B166" t="str">
            <v>SAINT PIERRE D'OLERON</v>
          </cell>
          <cell r="C166">
            <v>1434</v>
          </cell>
          <cell r="D166">
            <v>0</v>
          </cell>
          <cell r="E166">
            <v>-0.03</v>
          </cell>
          <cell r="F166">
            <v>274.74</v>
          </cell>
          <cell r="G166">
            <v>0.19158995815899582</v>
          </cell>
          <cell r="H166">
            <v>142</v>
          </cell>
          <cell r="I166">
            <v>20.285714285714285</v>
          </cell>
          <cell r="J166">
            <v>33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10</v>
          </cell>
          <cell r="P166">
            <v>1.4285714285714286</v>
          </cell>
          <cell r="Q166">
            <v>9.5794979079497911E-2</v>
          </cell>
        </row>
        <row r="167">
          <cell r="A167">
            <v>58135</v>
          </cell>
          <cell r="B167" t="str">
            <v>Multisite SAINTES</v>
          </cell>
          <cell r="C167">
            <v>2832</v>
          </cell>
          <cell r="D167">
            <v>0</v>
          </cell>
          <cell r="E167">
            <v>185</v>
          </cell>
          <cell r="F167">
            <v>557.54</v>
          </cell>
          <cell r="G167">
            <v>0.19687146892655366</v>
          </cell>
          <cell r="H167">
            <v>264</v>
          </cell>
          <cell r="I167">
            <v>37.714285714285715</v>
          </cell>
          <cell r="J167">
            <v>76</v>
          </cell>
          <cell r="K167">
            <v>0</v>
          </cell>
          <cell r="L167">
            <v>0</v>
          </cell>
          <cell r="M167">
            <v>6</v>
          </cell>
          <cell r="N167">
            <v>7.8947368421052627E-2</v>
          </cell>
          <cell r="O167">
            <v>17</v>
          </cell>
          <cell r="P167">
            <v>2.4285714285714284</v>
          </cell>
          <cell r="Q167">
            <v>0.13790941867380313</v>
          </cell>
        </row>
        <row r="168">
          <cell r="A168">
            <v>8135</v>
          </cell>
          <cell r="B168" t="str">
            <v>SAINTES</v>
          </cell>
          <cell r="C168">
            <v>2353</v>
          </cell>
          <cell r="D168">
            <v>0</v>
          </cell>
          <cell r="E168">
            <v>185</v>
          </cell>
          <cell r="F168">
            <v>536.66</v>
          </cell>
          <cell r="G168">
            <v>0.22807479813004675</v>
          </cell>
          <cell r="H168">
            <v>146</v>
          </cell>
          <cell r="I168">
            <v>20.857142857142858</v>
          </cell>
          <cell r="J168">
            <v>43</v>
          </cell>
          <cell r="K168">
            <v>0</v>
          </cell>
          <cell r="L168">
            <v>0</v>
          </cell>
          <cell r="M168">
            <v>5</v>
          </cell>
          <cell r="N168">
            <v>0.11627906976744186</v>
          </cell>
          <cell r="O168">
            <v>8</v>
          </cell>
          <cell r="P168">
            <v>1.1428571428571428</v>
          </cell>
          <cell r="Q168">
            <v>0.17217693394874431</v>
          </cell>
        </row>
        <row r="169">
          <cell r="A169">
            <v>8160</v>
          </cell>
          <cell r="B169" t="str">
            <v>SAINTES RECOUVRANCE</v>
          </cell>
          <cell r="C169">
            <v>479</v>
          </cell>
          <cell r="D169">
            <v>0</v>
          </cell>
          <cell r="E169">
            <v>0</v>
          </cell>
          <cell r="F169">
            <v>20.88</v>
          </cell>
          <cell r="G169">
            <v>4.3590814196242167E-2</v>
          </cell>
          <cell r="H169">
            <v>119</v>
          </cell>
          <cell r="I169">
            <v>17</v>
          </cell>
          <cell r="J169">
            <v>33</v>
          </cell>
          <cell r="K169">
            <v>0</v>
          </cell>
          <cell r="L169">
            <v>0</v>
          </cell>
          <cell r="M169">
            <v>1</v>
          </cell>
          <cell r="N169">
            <v>3.0303030303030304E-2</v>
          </cell>
          <cell r="O169">
            <v>9</v>
          </cell>
          <cell r="P169">
            <v>1.2857142857142858</v>
          </cell>
          <cell r="Q169">
            <v>3.6946922249636235E-2</v>
          </cell>
        </row>
        <row r="170">
          <cell r="A170">
            <v>8136</v>
          </cell>
          <cell r="B170" t="str">
            <v>SAINT JEAN D'ANGELY</v>
          </cell>
          <cell r="C170">
            <v>1237</v>
          </cell>
          <cell r="D170">
            <v>0</v>
          </cell>
          <cell r="E170">
            <v>32</v>
          </cell>
          <cell r="F170">
            <v>107.16000000000001</v>
          </cell>
          <cell r="G170">
            <v>8.6628940986257078E-2</v>
          </cell>
          <cell r="H170">
            <v>252</v>
          </cell>
          <cell r="I170">
            <v>36</v>
          </cell>
          <cell r="J170">
            <v>44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13</v>
          </cell>
          <cell r="P170">
            <v>1.8571428571428572</v>
          </cell>
          <cell r="Q170">
            <v>4.3314470493128539E-2</v>
          </cell>
        </row>
        <row r="171">
          <cell r="A171">
            <v>8139</v>
          </cell>
          <cell r="B171" t="str">
            <v>MATHA</v>
          </cell>
          <cell r="C171">
            <v>773</v>
          </cell>
          <cell r="D171">
            <v>10.02</v>
          </cell>
          <cell r="E171">
            <v>10.02</v>
          </cell>
          <cell r="F171">
            <v>10.52</v>
          </cell>
          <cell r="G171">
            <v>1.3609314359637774E-2</v>
          </cell>
          <cell r="H171">
            <v>214</v>
          </cell>
          <cell r="I171">
            <v>30.571428571428573</v>
          </cell>
          <cell r="J171">
            <v>27</v>
          </cell>
          <cell r="K171">
            <v>1</v>
          </cell>
          <cell r="L171">
            <v>3</v>
          </cell>
          <cell r="M171">
            <v>5</v>
          </cell>
          <cell r="N171">
            <v>0.18518518518518517</v>
          </cell>
          <cell r="O171">
            <v>3</v>
          </cell>
          <cell r="P171">
            <v>0.42857142857142855</v>
          </cell>
          <cell r="Q171">
            <v>9.9397249772411475E-2</v>
          </cell>
        </row>
        <row r="172">
          <cell r="A172">
            <v>8140</v>
          </cell>
          <cell r="B172" t="str">
            <v>ROYAN</v>
          </cell>
          <cell r="C172">
            <v>6060</v>
          </cell>
          <cell r="D172">
            <v>28.6</v>
          </cell>
          <cell r="E172">
            <v>219.6</v>
          </cell>
          <cell r="F172">
            <v>1457.89</v>
          </cell>
          <cell r="G172">
            <v>0.24057590759075909</v>
          </cell>
          <cell r="H172">
            <v>300</v>
          </cell>
          <cell r="I172">
            <v>42.857142857142854</v>
          </cell>
          <cell r="J172">
            <v>104</v>
          </cell>
          <cell r="K172">
            <v>0</v>
          </cell>
          <cell r="L172">
            <v>0</v>
          </cell>
          <cell r="M172">
            <v>9</v>
          </cell>
          <cell r="N172">
            <v>8.6538461538461536E-2</v>
          </cell>
          <cell r="O172">
            <v>22</v>
          </cell>
          <cell r="P172">
            <v>3.1428571428571428</v>
          </cell>
          <cell r="Q172">
            <v>0.16355718456461033</v>
          </cell>
        </row>
        <row r="173">
          <cell r="A173">
            <v>43874</v>
          </cell>
          <cell r="B173" t="str">
            <v>DGA CHARENTE</v>
          </cell>
          <cell r="C173">
            <v>18755</v>
          </cell>
          <cell r="D173">
            <v>88.12</v>
          </cell>
          <cell r="E173">
            <v>260.26</v>
          </cell>
          <cell r="F173">
            <v>2785.08</v>
          </cell>
          <cell r="G173">
            <v>0.14849800053319115</v>
          </cell>
          <cell r="H173">
            <v>2654</v>
          </cell>
          <cell r="I173">
            <v>379.14285714285717</v>
          </cell>
          <cell r="J173">
            <v>471</v>
          </cell>
          <cell r="K173">
            <v>2</v>
          </cell>
          <cell r="L173">
            <v>20</v>
          </cell>
          <cell r="M173">
            <v>72</v>
          </cell>
          <cell r="N173">
            <v>0.15286624203821655</v>
          </cell>
          <cell r="O173">
            <v>65</v>
          </cell>
          <cell r="P173">
            <v>9.2857142857142865</v>
          </cell>
          <cell r="Q173">
            <v>0.15068212128570385</v>
          </cell>
        </row>
        <row r="174">
          <cell r="A174">
            <v>55200</v>
          </cell>
          <cell r="B174" t="str">
            <v>Multisite ANGOULEME</v>
          </cell>
          <cell r="C174">
            <v>7641</v>
          </cell>
          <cell r="D174">
            <v>25.12</v>
          </cell>
          <cell r="E174">
            <v>42.32</v>
          </cell>
          <cell r="F174">
            <v>1426.53</v>
          </cell>
          <cell r="G174">
            <v>0.18669414998036907</v>
          </cell>
          <cell r="H174">
            <v>790</v>
          </cell>
          <cell r="I174">
            <v>112.85714285714286</v>
          </cell>
          <cell r="J174">
            <v>162</v>
          </cell>
          <cell r="K174">
            <v>2</v>
          </cell>
          <cell r="L174">
            <v>4</v>
          </cell>
          <cell r="M174">
            <v>23</v>
          </cell>
          <cell r="N174">
            <v>0.1419753086419753</v>
          </cell>
          <cell r="O174">
            <v>24</v>
          </cell>
          <cell r="P174">
            <v>3.4285714285714284</v>
          </cell>
          <cell r="Q174">
            <v>0.16433472931117218</v>
          </cell>
        </row>
        <row r="175">
          <cell r="A175">
            <v>5200</v>
          </cell>
          <cell r="B175" t="str">
            <v>ANGOULEME</v>
          </cell>
          <cell r="C175">
            <v>5884</v>
          </cell>
          <cell r="D175">
            <v>25.02</v>
          </cell>
          <cell r="E175">
            <v>24.020000000000003</v>
          </cell>
          <cell r="F175">
            <v>1231.73</v>
          </cell>
          <cell r="G175">
            <v>0.20933548606390212</v>
          </cell>
          <cell r="H175">
            <v>475</v>
          </cell>
          <cell r="I175">
            <v>67.857142857142861</v>
          </cell>
          <cell r="J175">
            <v>113</v>
          </cell>
          <cell r="K175">
            <v>1</v>
          </cell>
          <cell r="L175">
            <v>2</v>
          </cell>
          <cell r="M175">
            <v>14</v>
          </cell>
          <cell r="N175">
            <v>0.12389380530973451</v>
          </cell>
          <cell r="O175">
            <v>19</v>
          </cell>
          <cell r="P175">
            <v>2.7142857142857144</v>
          </cell>
          <cell r="Q175">
            <v>0.16661464568681833</v>
          </cell>
        </row>
        <row r="176">
          <cell r="A176">
            <v>5237</v>
          </cell>
          <cell r="B176" t="str">
            <v>RUELLE</v>
          </cell>
          <cell r="C176">
            <v>1757</v>
          </cell>
          <cell r="D176">
            <v>0.1</v>
          </cell>
          <cell r="E176">
            <v>18.3</v>
          </cell>
          <cell r="F176">
            <v>194.79999999999998</v>
          </cell>
          <cell r="G176">
            <v>0.11087080250426863</v>
          </cell>
          <cell r="H176">
            <v>315</v>
          </cell>
          <cell r="I176">
            <v>45</v>
          </cell>
          <cell r="J176">
            <v>49</v>
          </cell>
          <cell r="K176">
            <v>1</v>
          </cell>
          <cell r="L176">
            <v>2</v>
          </cell>
          <cell r="M176">
            <v>9</v>
          </cell>
          <cell r="N176">
            <v>0.18367346938775511</v>
          </cell>
          <cell r="O176">
            <v>6</v>
          </cell>
          <cell r="P176">
            <v>0.8571428571428571</v>
          </cell>
          <cell r="Q176">
            <v>0.14727213594601188</v>
          </cell>
        </row>
        <row r="177">
          <cell r="A177">
            <v>5243</v>
          </cell>
          <cell r="B177" t="str">
            <v>ANGOULEME SAINT CYBARD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</row>
        <row r="178">
          <cell r="A178">
            <v>5231</v>
          </cell>
          <cell r="B178" t="str">
            <v>BARBEZIEUX</v>
          </cell>
          <cell r="C178">
            <v>1067</v>
          </cell>
          <cell r="D178">
            <v>0</v>
          </cell>
          <cell r="E178">
            <v>0</v>
          </cell>
          <cell r="F178">
            <v>5.95</v>
          </cell>
          <cell r="G178">
            <v>5.5763823805060923E-3</v>
          </cell>
          <cell r="H178">
            <v>304</v>
          </cell>
          <cell r="I178">
            <v>43.428571428571431</v>
          </cell>
          <cell r="J178">
            <v>32</v>
          </cell>
          <cell r="K178">
            <v>0</v>
          </cell>
          <cell r="L178">
            <v>2</v>
          </cell>
          <cell r="M178">
            <v>3</v>
          </cell>
          <cell r="N178">
            <v>9.375E-2</v>
          </cell>
          <cell r="O178">
            <v>7</v>
          </cell>
          <cell r="P178">
            <v>1</v>
          </cell>
          <cell r="Q178">
            <v>4.9663191190253045E-2</v>
          </cell>
        </row>
        <row r="179">
          <cell r="A179">
            <v>5234</v>
          </cell>
          <cell r="B179" t="str">
            <v>RUFFEC</v>
          </cell>
          <cell r="C179">
            <v>1454</v>
          </cell>
          <cell r="D179">
            <v>5</v>
          </cell>
          <cell r="E179">
            <v>122.5</v>
          </cell>
          <cell r="F179">
            <v>207.10999999999999</v>
          </cell>
          <cell r="G179">
            <v>0.14244154057771663</v>
          </cell>
          <cell r="H179">
            <v>215</v>
          </cell>
          <cell r="I179">
            <v>30.714285714285715</v>
          </cell>
          <cell r="J179">
            <v>45</v>
          </cell>
          <cell r="K179">
            <v>0</v>
          </cell>
          <cell r="L179">
            <v>7</v>
          </cell>
          <cell r="M179">
            <v>9</v>
          </cell>
          <cell r="N179">
            <v>0.2</v>
          </cell>
          <cell r="O179">
            <v>5</v>
          </cell>
          <cell r="P179">
            <v>0.7142857142857143</v>
          </cell>
          <cell r="Q179">
            <v>0.17122077028885832</v>
          </cell>
        </row>
        <row r="180">
          <cell r="A180">
            <v>5236</v>
          </cell>
          <cell r="B180" t="str">
            <v>ANGOULEME VICTOR HUGO</v>
          </cell>
          <cell r="C180">
            <v>2571</v>
          </cell>
          <cell r="D180">
            <v>0</v>
          </cell>
          <cell r="E180">
            <v>20</v>
          </cell>
          <cell r="F180">
            <v>185.45</v>
          </cell>
          <cell r="G180">
            <v>7.2131466355503687E-2</v>
          </cell>
          <cell r="H180">
            <v>561</v>
          </cell>
          <cell r="I180">
            <v>80.142857142857139</v>
          </cell>
          <cell r="J180">
            <v>67</v>
          </cell>
          <cell r="K180">
            <v>0</v>
          </cell>
          <cell r="L180">
            <v>1</v>
          </cell>
          <cell r="M180">
            <v>12</v>
          </cell>
          <cell r="N180">
            <v>0.17910447761194029</v>
          </cell>
          <cell r="O180">
            <v>8</v>
          </cell>
          <cell r="P180">
            <v>1.1428571428571428</v>
          </cell>
          <cell r="Q180">
            <v>0.12561797198372199</v>
          </cell>
        </row>
        <row r="181">
          <cell r="A181">
            <v>58138</v>
          </cell>
          <cell r="B181" t="str">
            <v>Multisite COGNAC</v>
          </cell>
          <cell r="C181">
            <v>5927</v>
          </cell>
          <cell r="D181">
            <v>58</v>
          </cell>
          <cell r="E181">
            <v>75.45</v>
          </cell>
          <cell r="F181">
            <v>960.03</v>
          </cell>
          <cell r="G181">
            <v>0.16197570440357684</v>
          </cell>
          <cell r="H181">
            <v>759</v>
          </cell>
          <cell r="I181">
            <v>108.42857142857143</v>
          </cell>
          <cell r="J181">
            <v>165</v>
          </cell>
          <cell r="K181">
            <v>0</v>
          </cell>
          <cell r="L181">
            <v>6</v>
          </cell>
          <cell r="M181">
            <v>25</v>
          </cell>
          <cell r="N181">
            <v>0.15151515151515152</v>
          </cell>
          <cell r="O181">
            <v>23</v>
          </cell>
          <cell r="P181">
            <v>3.2857142857142856</v>
          </cell>
          <cell r="Q181">
            <v>0.15674542795936419</v>
          </cell>
        </row>
        <row r="182">
          <cell r="A182">
            <v>5232</v>
          </cell>
          <cell r="B182" t="str">
            <v>JARNAC</v>
          </cell>
          <cell r="C182">
            <v>1495</v>
          </cell>
          <cell r="D182">
            <v>0</v>
          </cell>
          <cell r="E182">
            <v>0</v>
          </cell>
          <cell r="F182">
            <v>140.22999999999999</v>
          </cell>
          <cell r="G182">
            <v>9.3799331103678926E-2</v>
          </cell>
          <cell r="H182">
            <v>294</v>
          </cell>
          <cell r="I182">
            <v>42</v>
          </cell>
          <cell r="J182">
            <v>32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10</v>
          </cell>
          <cell r="P182">
            <v>1.4285714285714286</v>
          </cell>
          <cell r="Q182">
            <v>4.6899665551839463E-2</v>
          </cell>
        </row>
        <row r="183">
          <cell r="A183">
            <v>5240</v>
          </cell>
          <cell r="B183" t="str">
            <v>ROUILLAC</v>
          </cell>
          <cell r="C183">
            <v>758</v>
          </cell>
          <cell r="D183">
            <v>50</v>
          </cell>
          <cell r="E183">
            <v>50.5</v>
          </cell>
          <cell r="F183">
            <v>82.49</v>
          </cell>
          <cell r="G183">
            <v>0.10882585751978892</v>
          </cell>
          <cell r="H183">
            <v>138</v>
          </cell>
          <cell r="I183">
            <v>19.714285714285715</v>
          </cell>
          <cell r="J183">
            <v>29</v>
          </cell>
          <cell r="K183">
            <v>0</v>
          </cell>
          <cell r="L183">
            <v>2</v>
          </cell>
          <cell r="M183">
            <v>9</v>
          </cell>
          <cell r="N183">
            <v>0.31034482758620691</v>
          </cell>
          <cell r="O183">
            <v>0</v>
          </cell>
          <cell r="P183">
            <v>0</v>
          </cell>
          <cell r="Q183">
            <v>0.20958534255299791</v>
          </cell>
        </row>
        <row r="184">
          <cell r="A184">
            <v>8138</v>
          </cell>
          <cell r="B184" t="str">
            <v>COGNAC</v>
          </cell>
          <cell r="C184">
            <v>3674</v>
          </cell>
          <cell r="D184">
            <v>8</v>
          </cell>
          <cell r="E184">
            <v>24.95</v>
          </cell>
          <cell r="F184">
            <v>737.31</v>
          </cell>
          <cell r="G184">
            <v>0.20068317909635272</v>
          </cell>
          <cell r="H184">
            <v>329</v>
          </cell>
          <cell r="I184">
            <v>47</v>
          </cell>
          <cell r="J184">
            <v>104</v>
          </cell>
          <cell r="K184">
            <v>0</v>
          </cell>
          <cell r="L184">
            <v>4</v>
          </cell>
          <cell r="M184">
            <v>16</v>
          </cell>
          <cell r="N184">
            <v>0.15384615384615385</v>
          </cell>
          <cell r="O184">
            <v>15</v>
          </cell>
          <cell r="P184">
            <v>2.1428571428571428</v>
          </cell>
          <cell r="Q184">
            <v>0.17726466647125327</v>
          </cell>
        </row>
        <row r="185">
          <cell r="A185">
            <v>43747</v>
          </cell>
          <cell r="B185" t="str">
            <v>DGA DORDOGNE</v>
          </cell>
          <cell r="C185">
            <v>12780</v>
          </cell>
          <cell r="D185">
            <v>12.29</v>
          </cell>
          <cell r="E185">
            <v>211.71</v>
          </cell>
          <cell r="F185">
            <v>1450.49</v>
          </cell>
          <cell r="G185">
            <v>0.11349687010954616</v>
          </cell>
          <cell r="H185">
            <v>2256</v>
          </cell>
          <cell r="I185">
            <v>322.28571428571428</v>
          </cell>
          <cell r="J185">
            <v>303</v>
          </cell>
          <cell r="K185">
            <v>5</v>
          </cell>
          <cell r="L185">
            <v>10</v>
          </cell>
          <cell r="M185">
            <v>52</v>
          </cell>
          <cell r="N185">
            <v>0.17161716171617161</v>
          </cell>
          <cell r="O185">
            <v>36</v>
          </cell>
          <cell r="P185">
            <v>5.1428571428571432</v>
          </cell>
          <cell r="Q185">
            <v>0.14255701591285888</v>
          </cell>
        </row>
        <row r="186">
          <cell r="A186">
            <v>5233</v>
          </cell>
          <cell r="B186" t="str">
            <v>PERIGUEUX</v>
          </cell>
          <cell r="C186">
            <v>5950</v>
          </cell>
          <cell r="D186">
            <v>0.14000000000000001</v>
          </cell>
          <cell r="E186">
            <v>134.12</v>
          </cell>
          <cell r="F186">
            <v>667.45</v>
          </cell>
          <cell r="G186">
            <v>0.11217647058823531</v>
          </cell>
          <cell r="H186">
            <v>1059</v>
          </cell>
          <cell r="I186">
            <v>151.28571428571428</v>
          </cell>
          <cell r="J186">
            <v>117</v>
          </cell>
          <cell r="K186">
            <v>0</v>
          </cell>
          <cell r="L186">
            <v>1</v>
          </cell>
          <cell r="M186">
            <v>15</v>
          </cell>
          <cell r="N186">
            <v>0.12820512820512819</v>
          </cell>
          <cell r="O186">
            <v>19</v>
          </cell>
          <cell r="P186">
            <v>2.7142857142857144</v>
          </cell>
          <cell r="Q186">
            <v>0.12019079939668176</v>
          </cell>
        </row>
        <row r="187">
          <cell r="A187">
            <v>55235</v>
          </cell>
          <cell r="B187" t="str">
            <v>Multisite BERGERAC</v>
          </cell>
          <cell r="C187">
            <v>4386</v>
          </cell>
          <cell r="D187">
            <v>10.08</v>
          </cell>
          <cell r="E187">
            <v>75.52</v>
          </cell>
          <cell r="F187">
            <v>618.07000000000005</v>
          </cell>
          <cell r="G187">
            <v>0.14091883264933883</v>
          </cell>
          <cell r="H187">
            <v>654</v>
          </cell>
          <cell r="I187">
            <v>93.428571428571431</v>
          </cell>
          <cell r="J187">
            <v>119</v>
          </cell>
          <cell r="K187">
            <v>3</v>
          </cell>
          <cell r="L187">
            <v>7</v>
          </cell>
          <cell r="M187">
            <v>23</v>
          </cell>
          <cell r="N187">
            <v>0.19327731092436976</v>
          </cell>
          <cell r="O187">
            <v>12</v>
          </cell>
          <cell r="P187">
            <v>1.7142857142857142</v>
          </cell>
          <cell r="Q187">
            <v>0.16709807178685429</v>
          </cell>
        </row>
        <row r="188">
          <cell r="A188">
            <v>1849</v>
          </cell>
          <cell r="B188" t="str">
            <v>STE FOY LA GRANDE</v>
          </cell>
          <cell r="C188">
            <v>1149</v>
          </cell>
          <cell r="D188">
            <v>0.08</v>
          </cell>
          <cell r="E188">
            <v>15.3</v>
          </cell>
          <cell r="F188">
            <v>90.710000000000008</v>
          </cell>
          <cell r="G188">
            <v>7.8946910356832031E-2</v>
          </cell>
          <cell r="H188">
            <v>243</v>
          </cell>
          <cell r="I188">
            <v>34.714285714285715</v>
          </cell>
          <cell r="J188">
            <v>32</v>
          </cell>
          <cell r="K188">
            <v>2</v>
          </cell>
          <cell r="L188">
            <v>4</v>
          </cell>
          <cell r="M188">
            <v>10</v>
          </cell>
          <cell r="N188">
            <v>0.3125</v>
          </cell>
          <cell r="O188">
            <v>0</v>
          </cell>
          <cell r="P188">
            <v>0</v>
          </cell>
          <cell r="Q188">
            <v>0.19572345517841602</v>
          </cell>
        </row>
        <row r="189">
          <cell r="A189">
            <v>5235</v>
          </cell>
          <cell r="B189" t="str">
            <v>BERGERAC</v>
          </cell>
          <cell r="C189">
            <v>2466</v>
          </cell>
          <cell r="D189">
            <v>10</v>
          </cell>
          <cell r="E189">
            <v>60.17</v>
          </cell>
          <cell r="F189">
            <v>484.13</v>
          </cell>
          <cell r="G189">
            <v>0.19632197891321979</v>
          </cell>
          <cell r="H189">
            <v>232</v>
          </cell>
          <cell r="I189">
            <v>33.142857142857146</v>
          </cell>
          <cell r="J189">
            <v>66</v>
          </cell>
          <cell r="K189">
            <v>1</v>
          </cell>
          <cell r="L189">
            <v>3</v>
          </cell>
          <cell r="M189">
            <v>13</v>
          </cell>
          <cell r="N189">
            <v>0.19696969696969696</v>
          </cell>
          <cell r="O189">
            <v>7</v>
          </cell>
          <cell r="P189">
            <v>1</v>
          </cell>
          <cell r="Q189">
            <v>0.19664583794145837</v>
          </cell>
        </row>
        <row r="190">
          <cell r="A190">
            <v>5239</v>
          </cell>
          <cell r="B190" t="str">
            <v>MUSSIDAN</v>
          </cell>
          <cell r="C190">
            <v>771</v>
          </cell>
          <cell r="D190">
            <v>0</v>
          </cell>
          <cell r="E190">
            <v>0.05</v>
          </cell>
          <cell r="F190">
            <v>43.23</v>
          </cell>
          <cell r="G190">
            <v>5.6070038910505833E-2</v>
          </cell>
          <cell r="H190">
            <v>181</v>
          </cell>
          <cell r="I190">
            <v>25.857142857142858</v>
          </cell>
          <cell r="J190">
            <v>21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7</v>
          </cell>
          <cell r="P190">
            <v>1</v>
          </cell>
          <cell r="Q190">
            <v>2.8035019455252917E-2</v>
          </cell>
        </row>
        <row r="191">
          <cell r="A191">
            <v>5238</v>
          </cell>
          <cell r="B191" t="str">
            <v>SARLAT</v>
          </cell>
          <cell r="C191">
            <v>1186</v>
          </cell>
          <cell r="D191">
            <v>2.02</v>
          </cell>
          <cell r="E191">
            <v>2.02</v>
          </cell>
          <cell r="F191">
            <v>50.82</v>
          </cell>
          <cell r="G191">
            <v>4.2849915682967962E-2</v>
          </cell>
          <cell r="H191">
            <v>294</v>
          </cell>
          <cell r="I191">
            <v>42</v>
          </cell>
          <cell r="J191">
            <v>34</v>
          </cell>
          <cell r="K191">
            <v>1</v>
          </cell>
          <cell r="L191">
            <v>1</v>
          </cell>
          <cell r="M191">
            <v>11</v>
          </cell>
          <cell r="N191">
            <v>0.3235294117647059</v>
          </cell>
          <cell r="O191">
            <v>0</v>
          </cell>
          <cell r="P191">
            <v>0</v>
          </cell>
          <cell r="Q191">
            <v>0.18318966372383694</v>
          </cell>
        </row>
        <row r="192">
          <cell r="A192">
            <v>5241</v>
          </cell>
          <cell r="B192" t="str">
            <v>NONTRON</v>
          </cell>
          <cell r="C192">
            <v>1199</v>
          </cell>
          <cell r="D192">
            <v>0.05</v>
          </cell>
          <cell r="E192">
            <v>0.05</v>
          </cell>
          <cell r="F192">
            <v>114.15</v>
          </cell>
          <cell r="G192">
            <v>9.5204336947456225E-2</v>
          </cell>
          <cell r="H192">
            <v>234</v>
          </cell>
          <cell r="I192">
            <v>33.428571428571431</v>
          </cell>
          <cell r="J192">
            <v>33</v>
          </cell>
          <cell r="K192">
            <v>1</v>
          </cell>
          <cell r="L192">
            <v>1</v>
          </cell>
          <cell r="M192">
            <v>3</v>
          </cell>
          <cell r="N192">
            <v>9.0909090909090912E-2</v>
          </cell>
          <cell r="O192">
            <v>7</v>
          </cell>
          <cell r="P192">
            <v>1</v>
          </cell>
          <cell r="Q192">
            <v>9.3056713928273568E-2</v>
          </cell>
        </row>
        <row r="193">
          <cell r="A193">
            <v>43864</v>
          </cell>
          <cell r="B193" t="str">
            <v>DGA HT VIENNE CREUSE</v>
          </cell>
          <cell r="C193">
            <v>19491</v>
          </cell>
          <cell r="D193">
            <v>108.02</v>
          </cell>
          <cell r="E193">
            <v>493</v>
          </cell>
          <cell r="F193">
            <v>2501.87</v>
          </cell>
          <cell r="G193">
            <v>0.12836026884202964</v>
          </cell>
          <cell r="H193">
            <v>3151</v>
          </cell>
          <cell r="I193">
            <v>450.14285714285717</v>
          </cell>
          <cell r="J193">
            <v>458</v>
          </cell>
          <cell r="K193">
            <v>1</v>
          </cell>
          <cell r="L193">
            <v>8</v>
          </cell>
          <cell r="M193">
            <v>99</v>
          </cell>
          <cell r="N193">
            <v>0.21615720524017468</v>
          </cell>
          <cell r="O193">
            <v>34</v>
          </cell>
          <cell r="P193">
            <v>4.8571428571428568</v>
          </cell>
          <cell r="Q193">
            <v>0.17225873704110217</v>
          </cell>
        </row>
        <row r="194">
          <cell r="A194">
            <v>6700</v>
          </cell>
          <cell r="B194" t="str">
            <v>LIMOGES</v>
          </cell>
          <cell r="C194">
            <v>6458</v>
          </cell>
          <cell r="D194">
            <v>107</v>
          </cell>
          <cell r="E194">
            <v>253.92</v>
          </cell>
          <cell r="F194">
            <v>780.68000000000006</v>
          </cell>
          <cell r="G194">
            <v>0.12088572313409725</v>
          </cell>
          <cell r="H194">
            <v>1093</v>
          </cell>
          <cell r="I194">
            <v>156.14285714285714</v>
          </cell>
          <cell r="J194">
            <v>156</v>
          </cell>
          <cell r="K194">
            <v>0</v>
          </cell>
          <cell r="L194">
            <v>4</v>
          </cell>
          <cell r="M194">
            <v>35</v>
          </cell>
          <cell r="N194">
            <v>0.22435897435897437</v>
          </cell>
          <cell r="O194">
            <v>11</v>
          </cell>
          <cell r="P194">
            <v>1.5714285714285714</v>
          </cell>
          <cell r="Q194">
            <v>0.17262234874653581</v>
          </cell>
        </row>
        <row r="195">
          <cell r="A195">
            <v>6731</v>
          </cell>
          <cell r="B195" t="str">
            <v>AUBUSSON</v>
          </cell>
          <cell r="C195">
            <v>1293</v>
          </cell>
          <cell r="D195">
            <v>0.02</v>
          </cell>
          <cell r="E195">
            <v>0.02</v>
          </cell>
          <cell r="F195">
            <v>69.650000000000006</v>
          </cell>
          <cell r="G195">
            <v>5.3866976024748651E-2</v>
          </cell>
          <cell r="H195">
            <v>306</v>
          </cell>
          <cell r="I195">
            <v>43.714285714285715</v>
          </cell>
          <cell r="J195">
            <v>29</v>
          </cell>
          <cell r="K195">
            <v>1</v>
          </cell>
          <cell r="L195">
            <v>1</v>
          </cell>
          <cell r="M195">
            <v>8</v>
          </cell>
          <cell r="N195">
            <v>0.27586206896551724</v>
          </cell>
          <cell r="O195">
            <v>1</v>
          </cell>
          <cell r="P195">
            <v>0.14285714285714285</v>
          </cell>
          <cell r="Q195">
            <v>0.16486452249513295</v>
          </cell>
        </row>
        <row r="196">
          <cell r="A196">
            <v>56733</v>
          </cell>
          <cell r="B196" t="str">
            <v>Multisite GUERET</v>
          </cell>
          <cell r="C196">
            <v>3325</v>
          </cell>
          <cell r="D196">
            <v>1</v>
          </cell>
          <cell r="E196">
            <v>227.46</v>
          </cell>
          <cell r="F196">
            <v>743.17000000000007</v>
          </cell>
          <cell r="G196">
            <v>0.22350977443609024</v>
          </cell>
          <cell r="H196">
            <v>222</v>
          </cell>
          <cell r="I196">
            <v>31.714285714285715</v>
          </cell>
          <cell r="J196">
            <v>72</v>
          </cell>
          <cell r="K196">
            <v>0</v>
          </cell>
          <cell r="L196">
            <v>0</v>
          </cell>
          <cell r="M196">
            <v>26</v>
          </cell>
          <cell r="N196">
            <v>0.3611111111111111</v>
          </cell>
          <cell r="O196">
            <v>0</v>
          </cell>
          <cell r="P196">
            <v>0</v>
          </cell>
          <cell r="Q196">
            <v>0.29231044277360069</v>
          </cell>
        </row>
        <row r="197">
          <cell r="A197">
            <v>6733</v>
          </cell>
          <cell r="B197" t="str">
            <v>GUERET</v>
          </cell>
          <cell r="C197">
            <v>2206</v>
          </cell>
          <cell r="D197">
            <v>1</v>
          </cell>
          <cell r="E197">
            <v>227.46</v>
          </cell>
          <cell r="F197">
            <v>594.92999999999995</v>
          </cell>
          <cell r="G197">
            <v>0.26968721668177698</v>
          </cell>
          <cell r="H197">
            <v>45</v>
          </cell>
          <cell r="I197">
            <v>6.4285714285714288</v>
          </cell>
          <cell r="J197">
            <v>47</v>
          </cell>
          <cell r="K197">
            <v>0</v>
          </cell>
          <cell r="L197">
            <v>0</v>
          </cell>
          <cell r="M197">
            <v>14</v>
          </cell>
          <cell r="N197">
            <v>0.2978723404255319</v>
          </cell>
          <cell r="O197">
            <v>0</v>
          </cell>
          <cell r="P197">
            <v>0</v>
          </cell>
          <cell r="Q197">
            <v>0.28377977855365444</v>
          </cell>
        </row>
        <row r="198">
          <cell r="A198">
            <v>6739</v>
          </cell>
          <cell r="B198" t="str">
            <v>LA SOUTERRAINE</v>
          </cell>
          <cell r="C198">
            <v>1119</v>
          </cell>
          <cell r="D198">
            <v>0</v>
          </cell>
          <cell r="E198">
            <v>0</v>
          </cell>
          <cell r="F198">
            <v>148.25</v>
          </cell>
          <cell r="G198">
            <v>0.13248436103663985</v>
          </cell>
          <cell r="H198">
            <v>177</v>
          </cell>
          <cell r="I198">
            <v>25.285714285714285</v>
          </cell>
          <cell r="J198">
            <v>25</v>
          </cell>
          <cell r="K198">
            <v>0</v>
          </cell>
          <cell r="L198">
            <v>0</v>
          </cell>
          <cell r="M198">
            <v>12</v>
          </cell>
          <cell r="N198">
            <v>0.44</v>
          </cell>
          <cell r="O198">
            <v>0</v>
          </cell>
          <cell r="P198">
            <v>0</v>
          </cell>
          <cell r="Q198">
            <v>0.28624218051831996</v>
          </cell>
        </row>
        <row r="199">
          <cell r="A199">
            <v>56734</v>
          </cell>
          <cell r="B199" t="str">
            <v>Multisite ST JUNIEN</v>
          </cell>
          <cell r="C199">
            <v>3112</v>
          </cell>
          <cell r="D199">
            <v>0</v>
          </cell>
          <cell r="E199">
            <v>-10</v>
          </cell>
          <cell r="F199">
            <v>347.6</v>
          </cell>
          <cell r="G199">
            <v>0.11169665809768638</v>
          </cell>
          <cell r="H199">
            <v>555</v>
          </cell>
          <cell r="I199">
            <v>79.285714285714292</v>
          </cell>
          <cell r="J199">
            <v>79</v>
          </cell>
          <cell r="K199">
            <v>0</v>
          </cell>
          <cell r="L199">
            <v>0</v>
          </cell>
          <cell r="M199">
            <v>6</v>
          </cell>
          <cell r="N199">
            <v>7.5949367088607597E-2</v>
          </cell>
          <cell r="O199">
            <v>17</v>
          </cell>
          <cell r="P199">
            <v>2.4285714285714284</v>
          </cell>
          <cell r="Q199">
            <v>9.3823012593146987E-2</v>
          </cell>
        </row>
        <row r="200">
          <cell r="A200">
            <v>6734</v>
          </cell>
          <cell r="B200" t="str">
            <v>SAINT JUNIEN</v>
          </cell>
          <cell r="C200">
            <v>1565</v>
          </cell>
          <cell r="D200">
            <v>0</v>
          </cell>
          <cell r="E200">
            <v>-10</v>
          </cell>
          <cell r="F200">
            <v>103.26</v>
          </cell>
          <cell r="G200">
            <v>6.5980830670926527E-2</v>
          </cell>
          <cell r="H200">
            <v>351</v>
          </cell>
          <cell r="I200">
            <v>50.142857142857146</v>
          </cell>
          <cell r="J200">
            <v>38</v>
          </cell>
          <cell r="K200">
            <v>0</v>
          </cell>
          <cell r="L200">
            <v>0</v>
          </cell>
          <cell r="M200">
            <v>5</v>
          </cell>
          <cell r="N200">
            <v>0.13157894736842105</v>
          </cell>
          <cell r="O200">
            <v>7</v>
          </cell>
          <cell r="P200">
            <v>1</v>
          </cell>
          <cell r="Q200">
            <v>9.8779889019673786E-2</v>
          </cell>
        </row>
        <row r="201">
          <cell r="A201">
            <v>6737</v>
          </cell>
          <cell r="B201" t="str">
            <v>CONFOLENS</v>
          </cell>
          <cell r="C201">
            <v>933</v>
          </cell>
          <cell r="D201">
            <v>0</v>
          </cell>
          <cell r="E201">
            <v>0</v>
          </cell>
          <cell r="F201">
            <v>218.15</v>
          </cell>
          <cell r="G201">
            <v>0.23381564844587352</v>
          </cell>
          <cell r="H201">
            <v>53</v>
          </cell>
          <cell r="I201">
            <v>7.5714285714285712</v>
          </cell>
          <cell r="J201">
            <v>22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7</v>
          </cell>
          <cell r="P201">
            <v>1</v>
          </cell>
          <cell r="Q201">
            <v>0.11690782422293676</v>
          </cell>
        </row>
        <row r="202">
          <cell r="A202">
            <v>6740</v>
          </cell>
          <cell r="B202" t="str">
            <v>BELLAC</v>
          </cell>
          <cell r="C202">
            <v>614</v>
          </cell>
          <cell r="D202">
            <v>0</v>
          </cell>
          <cell r="E202">
            <v>0</v>
          </cell>
          <cell r="F202">
            <v>26.19</v>
          </cell>
          <cell r="G202">
            <v>4.2654723127035832E-2</v>
          </cell>
          <cell r="H202">
            <v>152</v>
          </cell>
          <cell r="I202">
            <v>21.714285714285715</v>
          </cell>
          <cell r="J202">
            <v>19</v>
          </cell>
          <cell r="K202">
            <v>0</v>
          </cell>
          <cell r="L202">
            <v>0</v>
          </cell>
          <cell r="M202">
            <v>1</v>
          </cell>
          <cell r="N202">
            <v>5.2631578947368418E-2</v>
          </cell>
          <cell r="O202">
            <v>5</v>
          </cell>
          <cell r="P202">
            <v>0.7142857142857143</v>
          </cell>
          <cell r="Q202">
            <v>4.7643151037202125E-2</v>
          </cell>
        </row>
        <row r="203">
          <cell r="A203">
            <v>56738</v>
          </cell>
          <cell r="B203" t="str">
            <v>Multisite LIMOGES PL CARMES</v>
          </cell>
          <cell r="C203">
            <v>5214</v>
          </cell>
          <cell r="D203">
            <v>0</v>
          </cell>
          <cell r="E203">
            <v>21.59</v>
          </cell>
          <cell r="F203">
            <v>560.76</v>
          </cell>
          <cell r="G203">
            <v>0.10754890678941312</v>
          </cell>
          <cell r="H203">
            <v>952</v>
          </cell>
          <cell r="I203">
            <v>136</v>
          </cell>
          <cell r="J203">
            <v>122</v>
          </cell>
          <cell r="K203">
            <v>0</v>
          </cell>
          <cell r="L203">
            <v>3</v>
          </cell>
          <cell r="M203">
            <v>24</v>
          </cell>
          <cell r="N203">
            <v>0.19672131147540983</v>
          </cell>
          <cell r="O203">
            <v>12</v>
          </cell>
          <cell r="P203">
            <v>1.7142857142857142</v>
          </cell>
          <cell r="Q203">
            <v>0.15213510913241146</v>
          </cell>
        </row>
        <row r="204">
          <cell r="A204">
            <v>6738</v>
          </cell>
          <cell r="B204" t="str">
            <v>LIMOGES LES CARMES</v>
          </cell>
          <cell r="C204">
            <v>2501</v>
          </cell>
          <cell r="D204">
            <v>0</v>
          </cell>
          <cell r="E204">
            <v>13.64</v>
          </cell>
          <cell r="F204">
            <v>295.52999999999997</v>
          </cell>
          <cell r="G204">
            <v>0.11816473410635744</v>
          </cell>
          <cell r="H204">
            <v>430</v>
          </cell>
          <cell r="I204">
            <v>61.428571428571431</v>
          </cell>
          <cell r="J204">
            <v>56</v>
          </cell>
          <cell r="K204">
            <v>0</v>
          </cell>
          <cell r="L204">
            <v>1</v>
          </cell>
          <cell r="M204">
            <v>16</v>
          </cell>
          <cell r="N204">
            <v>0.2857142857142857</v>
          </cell>
          <cell r="O204">
            <v>1</v>
          </cell>
          <cell r="P204">
            <v>0.14285714285714285</v>
          </cell>
          <cell r="Q204">
            <v>0.20193950991032156</v>
          </cell>
        </row>
        <row r="205">
          <cell r="A205">
            <v>6743</v>
          </cell>
          <cell r="B205" t="str">
            <v>ST YRIEIX LA PERCHE</v>
          </cell>
          <cell r="C205">
            <v>944</v>
          </cell>
          <cell r="D205">
            <v>0</v>
          </cell>
          <cell r="E205">
            <v>7.95</v>
          </cell>
          <cell r="F205">
            <v>178.82999999999998</v>
          </cell>
          <cell r="G205">
            <v>0.18943855932203388</v>
          </cell>
          <cell r="H205">
            <v>95</v>
          </cell>
          <cell r="I205">
            <v>13.571428571428571</v>
          </cell>
          <cell r="J205">
            <v>24</v>
          </cell>
          <cell r="K205">
            <v>0</v>
          </cell>
          <cell r="L205">
            <v>1</v>
          </cell>
          <cell r="M205">
            <v>5</v>
          </cell>
          <cell r="N205">
            <v>0.20833333333333334</v>
          </cell>
          <cell r="O205">
            <v>2</v>
          </cell>
          <cell r="P205">
            <v>0.2857142857142857</v>
          </cell>
          <cell r="Q205">
            <v>0.19888594632768361</v>
          </cell>
        </row>
        <row r="206">
          <cell r="A206">
            <v>6748</v>
          </cell>
          <cell r="B206" t="str">
            <v>LIMOGES PONT NEUF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</row>
        <row r="207">
          <cell r="A207">
            <v>6750</v>
          </cell>
          <cell r="B207" t="str">
            <v>LIMOGES CARNOT</v>
          </cell>
          <cell r="C207">
            <v>1769</v>
          </cell>
          <cell r="D207">
            <v>0</v>
          </cell>
          <cell r="E207">
            <v>0</v>
          </cell>
          <cell r="F207">
            <v>86.41</v>
          </cell>
          <cell r="G207">
            <v>4.884680610514415E-2</v>
          </cell>
          <cell r="H207">
            <v>427</v>
          </cell>
          <cell r="I207">
            <v>61</v>
          </cell>
          <cell r="J207">
            <v>42</v>
          </cell>
          <cell r="K207">
            <v>0</v>
          </cell>
          <cell r="L207">
            <v>1</v>
          </cell>
          <cell r="M207">
            <v>3</v>
          </cell>
          <cell r="N207">
            <v>7.1428571428571425E-2</v>
          </cell>
          <cell r="O207">
            <v>10</v>
          </cell>
          <cell r="P207">
            <v>1.4285714285714286</v>
          </cell>
          <cell r="Q207">
            <v>6.0137688766857787E-2</v>
          </cell>
        </row>
        <row r="208">
          <cell r="A208">
            <v>43866</v>
          </cell>
          <cell r="B208" t="str">
            <v>DGA CORREZE</v>
          </cell>
          <cell r="C208">
            <v>12021</v>
          </cell>
          <cell r="D208">
            <v>76.42</v>
          </cell>
          <cell r="E208">
            <v>195.23999999999998</v>
          </cell>
          <cell r="F208">
            <v>1767.61</v>
          </cell>
          <cell r="G208">
            <v>0.14704350719574077</v>
          </cell>
          <cell r="H208">
            <v>1719</v>
          </cell>
          <cell r="I208">
            <v>245.57142857142858</v>
          </cell>
          <cell r="J208">
            <v>278</v>
          </cell>
          <cell r="K208">
            <v>3</v>
          </cell>
          <cell r="L208">
            <v>12</v>
          </cell>
          <cell r="M208">
            <v>57</v>
          </cell>
          <cell r="N208">
            <v>0.20503597122302158</v>
          </cell>
          <cell r="O208">
            <v>24</v>
          </cell>
          <cell r="P208">
            <v>3.4285714285714284</v>
          </cell>
          <cell r="Q208">
            <v>0.17603973920938118</v>
          </cell>
        </row>
        <row r="209">
          <cell r="A209">
            <v>6732</v>
          </cell>
          <cell r="B209" t="str">
            <v>BRIVE</v>
          </cell>
          <cell r="C209">
            <v>5031</v>
          </cell>
          <cell r="D209">
            <v>50</v>
          </cell>
          <cell r="E209">
            <v>124.66</v>
          </cell>
          <cell r="F209">
            <v>712.79000000000008</v>
          </cell>
          <cell r="G209">
            <v>0.14167958656330751</v>
          </cell>
          <cell r="H209">
            <v>747</v>
          </cell>
          <cell r="I209">
            <v>106.71428571428571</v>
          </cell>
          <cell r="J209">
            <v>95</v>
          </cell>
          <cell r="K209">
            <v>0</v>
          </cell>
          <cell r="L209">
            <v>4</v>
          </cell>
          <cell r="M209">
            <v>18</v>
          </cell>
          <cell r="N209">
            <v>0.18947368421052632</v>
          </cell>
          <cell r="O209">
            <v>10</v>
          </cell>
          <cell r="P209">
            <v>1.4285714285714286</v>
          </cell>
          <cell r="Q209">
            <v>0.16557663538691691</v>
          </cell>
        </row>
        <row r="210">
          <cell r="A210">
            <v>6735</v>
          </cell>
          <cell r="B210" t="str">
            <v>TULLE</v>
          </cell>
          <cell r="C210">
            <v>2295</v>
          </cell>
          <cell r="D210">
            <v>23.42</v>
          </cell>
          <cell r="E210">
            <v>23.42</v>
          </cell>
          <cell r="F210">
            <v>383.87</v>
          </cell>
          <cell r="G210">
            <v>0.1672636165577342</v>
          </cell>
          <cell r="H210">
            <v>282</v>
          </cell>
          <cell r="I210">
            <v>40.285714285714285</v>
          </cell>
          <cell r="J210">
            <v>54</v>
          </cell>
          <cell r="K210">
            <v>3</v>
          </cell>
          <cell r="L210">
            <v>6</v>
          </cell>
          <cell r="M210">
            <v>10</v>
          </cell>
          <cell r="N210">
            <v>0.18518518518518517</v>
          </cell>
          <cell r="O210">
            <v>6</v>
          </cell>
          <cell r="P210">
            <v>0.8571428571428571</v>
          </cell>
          <cell r="Q210">
            <v>0.17622440087145969</v>
          </cell>
        </row>
        <row r="211">
          <cell r="A211">
            <v>6736</v>
          </cell>
          <cell r="B211" t="str">
            <v>USSEL</v>
          </cell>
          <cell r="C211">
            <v>1120</v>
          </cell>
          <cell r="D211">
            <v>0</v>
          </cell>
          <cell r="E211">
            <v>3.02</v>
          </cell>
          <cell r="F211">
            <v>40.120000000000005</v>
          </cell>
          <cell r="G211">
            <v>3.5821428571428574E-2</v>
          </cell>
          <cell r="H211">
            <v>285</v>
          </cell>
          <cell r="I211">
            <v>40.714285714285715</v>
          </cell>
          <cell r="J211">
            <v>32</v>
          </cell>
          <cell r="K211">
            <v>0</v>
          </cell>
          <cell r="L211">
            <v>0</v>
          </cell>
          <cell r="M211">
            <v>2</v>
          </cell>
          <cell r="N211">
            <v>6.25E-2</v>
          </cell>
          <cell r="O211">
            <v>8</v>
          </cell>
          <cell r="P211">
            <v>1.1428571428571428</v>
          </cell>
          <cell r="Q211">
            <v>4.9160714285714287E-2</v>
          </cell>
        </row>
        <row r="212">
          <cell r="A212">
            <v>56741</v>
          </cell>
          <cell r="B212" t="str">
            <v>Multisite OBJAT</v>
          </cell>
          <cell r="C212">
            <v>2960</v>
          </cell>
          <cell r="D212">
            <v>3</v>
          </cell>
          <cell r="E212">
            <v>44.1</v>
          </cell>
          <cell r="F212">
            <v>512.85</v>
          </cell>
          <cell r="G212">
            <v>0.17326013513513513</v>
          </cell>
          <cell r="H212">
            <v>346</v>
          </cell>
          <cell r="I212">
            <v>49.428571428571431</v>
          </cell>
          <cell r="J212">
            <v>82</v>
          </cell>
          <cell r="K212">
            <v>0</v>
          </cell>
          <cell r="L212">
            <v>1</v>
          </cell>
          <cell r="M212">
            <v>24</v>
          </cell>
          <cell r="N212">
            <v>0.29268292682926828</v>
          </cell>
          <cell r="O212">
            <v>0</v>
          </cell>
          <cell r="P212">
            <v>0</v>
          </cell>
          <cell r="Q212">
            <v>0.23297153098220169</v>
          </cell>
        </row>
        <row r="213">
          <cell r="A213">
            <v>6741</v>
          </cell>
          <cell r="B213" t="str">
            <v>OBJAT</v>
          </cell>
          <cell r="C213">
            <v>970</v>
          </cell>
          <cell r="D213">
            <v>3</v>
          </cell>
          <cell r="E213">
            <v>3</v>
          </cell>
          <cell r="F213">
            <v>240.58</v>
          </cell>
          <cell r="G213">
            <v>0.24802061855670104</v>
          </cell>
          <cell r="H213">
            <v>41</v>
          </cell>
          <cell r="I213">
            <v>5.8571428571428568</v>
          </cell>
          <cell r="J213">
            <v>22</v>
          </cell>
          <cell r="K213">
            <v>0</v>
          </cell>
          <cell r="L213">
            <v>0</v>
          </cell>
          <cell r="M213">
            <v>14</v>
          </cell>
          <cell r="N213">
            <v>0.44</v>
          </cell>
          <cell r="O213">
            <v>0</v>
          </cell>
          <cell r="P213">
            <v>0</v>
          </cell>
          <cell r="Q213">
            <v>0.34401030927835052</v>
          </cell>
        </row>
        <row r="214">
          <cell r="A214">
            <v>6745</v>
          </cell>
          <cell r="B214" t="str">
            <v>TERRASSON</v>
          </cell>
          <cell r="C214">
            <v>843</v>
          </cell>
          <cell r="D214">
            <v>0</v>
          </cell>
          <cell r="E214">
            <v>41.1</v>
          </cell>
          <cell r="F214">
            <v>240.58999999999997</v>
          </cell>
          <cell r="G214">
            <v>0.28539739027283506</v>
          </cell>
          <cell r="H214">
            <v>4</v>
          </cell>
          <cell r="I214">
            <v>0.5714285714285714</v>
          </cell>
          <cell r="J214">
            <v>27</v>
          </cell>
          <cell r="K214">
            <v>0</v>
          </cell>
          <cell r="L214">
            <v>0</v>
          </cell>
          <cell r="M214">
            <v>9</v>
          </cell>
          <cell r="N214">
            <v>0.33333333333333331</v>
          </cell>
          <cell r="O214">
            <v>0</v>
          </cell>
          <cell r="P214">
            <v>0</v>
          </cell>
          <cell r="Q214">
            <v>0.30936536180308416</v>
          </cell>
        </row>
        <row r="215">
          <cell r="A215">
            <v>6751</v>
          </cell>
          <cell r="B215" t="str">
            <v>MALEMORT</v>
          </cell>
          <cell r="C215">
            <v>1147</v>
          </cell>
          <cell r="D215">
            <v>0</v>
          </cell>
          <cell r="E215">
            <v>0</v>
          </cell>
          <cell r="F215">
            <v>31.67</v>
          </cell>
          <cell r="G215">
            <v>2.7611159546643418E-2</v>
          </cell>
          <cell r="H215">
            <v>301</v>
          </cell>
          <cell r="I215">
            <v>43</v>
          </cell>
          <cell r="J215">
            <v>33</v>
          </cell>
          <cell r="K215">
            <v>0</v>
          </cell>
          <cell r="L215">
            <v>1</v>
          </cell>
          <cell r="M215">
            <v>1</v>
          </cell>
          <cell r="N215">
            <v>3.0303030303030304E-2</v>
          </cell>
          <cell r="O215">
            <v>9</v>
          </cell>
          <cell r="P215">
            <v>1.2857142857142858</v>
          </cell>
          <cell r="Q215">
            <v>2.8957094924836863E-2</v>
          </cell>
        </row>
        <row r="216">
          <cell r="A216">
            <v>6742</v>
          </cell>
          <cell r="B216" t="str">
            <v>EGLETONS</v>
          </cell>
          <cell r="C216">
            <v>625</v>
          </cell>
          <cell r="D216">
            <v>0</v>
          </cell>
          <cell r="E216">
            <v>0.05</v>
          </cell>
          <cell r="F216">
            <v>117.99</v>
          </cell>
          <cell r="G216">
            <v>0.18878399999999998</v>
          </cell>
          <cell r="H216">
            <v>64</v>
          </cell>
          <cell r="I216">
            <v>9.1428571428571423</v>
          </cell>
          <cell r="J216">
            <v>18</v>
          </cell>
          <cell r="K216">
            <v>0</v>
          </cell>
          <cell r="L216">
            <v>1</v>
          </cell>
          <cell r="M216">
            <v>3</v>
          </cell>
          <cell r="N216">
            <v>0.16666666666666666</v>
          </cell>
          <cell r="O216">
            <v>3</v>
          </cell>
          <cell r="P216">
            <v>0.42857142857142855</v>
          </cell>
          <cell r="Q216">
            <v>0.17772533333333332</v>
          </cell>
        </row>
      </sheetData>
      <sheetData sheetId="6" refreshError="1">
        <row r="1">
          <cell r="A1">
            <v>0.12720000000000001</v>
          </cell>
          <cell r="B1">
            <v>7</v>
          </cell>
          <cell r="C1">
            <v>10</v>
          </cell>
          <cell r="D1">
            <v>34</v>
          </cell>
          <cell r="E1">
            <v>35</v>
          </cell>
          <cell r="F1">
            <v>36</v>
          </cell>
          <cell r="J1">
            <v>11</v>
          </cell>
          <cell r="K1">
            <v>38</v>
          </cell>
          <cell r="L1">
            <v>39</v>
          </cell>
          <cell r="M1">
            <v>40</v>
          </cell>
          <cell r="Q1">
            <v>12</v>
          </cell>
          <cell r="R1">
            <v>42</v>
          </cell>
          <cell r="S1">
            <v>43</v>
          </cell>
          <cell r="T1">
            <v>44</v>
          </cell>
        </row>
        <row r="4">
          <cell r="B4" t="str">
            <v>Du lundi 2 janvier 2018 au vendredi 30 mars 2018
Objectif 29% (plafond à 44% pour chaque critère)</v>
          </cell>
          <cell r="C4" t="str">
            <v>Animations DDR Etape 1</v>
          </cell>
          <cell r="J4" t="str">
            <v>Animations DDR Etape 1</v>
          </cell>
          <cell r="Q4" t="str">
            <v>Animations DDR Etape 1</v>
          </cell>
        </row>
        <row r="5">
          <cell r="B5" t="str">
            <v>Point de Passage (Q) Etape 1 = 12,72%</v>
          </cell>
          <cell r="C5" t="str">
            <v>Banque des Pros</v>
          </cell>
          <cell r="J5" t="str">
            <v>Banque des Pros</v>
          </cell>
          <cell r="Q5" t="str">
            <v>Banque des Pros</v>
          </cell>
        </row>
        <row r="6">
          <cell r="B6" t="str">
            <v>Résultats au 08/02/18</v>
          </cell>
          <cell r="C6" t="str">
            <v>CC Relation PRO</v>
          </cell>
          <cell r="J6" t="str">
            <v>Crédits PRO (Nb)</v>
          </cell>
          <cell r="Q6" t="str">
            <v>Assurances PRO (Auto, Santé, RDD)</v>
          </cell>
        </row>
        <row r="7">
          <cell r="A7" t="str">
            <v>Unité</v>
          </cell>
          <cell r="B7" t="str">
            <v>Libellé</v>
          </cell>
          <cell r="C7" t="str">
            <v>OBJ
Annuel</v>
          </cell>
          <cell r="D7" t="str">
            <v>Prod
Veille</v>
          </cell>
          <cell r="E7" t="str">
            <v>Prod
Sem
en cours</v>
          </cell>
          <cell r="F7" t="str">
            <v>Prod
Etape 1</v>
          </cell>
          <cell r="G7" t="str">
            <v>Taux
Etape 1</v>
          </cell>
          <cell r="H7" t="str">
            <v>RàF
Etape 1</v>
          </cell>
          <cell r="I7" t="str">
            <v>Rythme
Hebdo
Requis</v>
          </cell>
          <cell r="J7" t="str">
            <v>OBJ
Annuel</v>
          </cell>
          <cell r="K7" t="str">
            <v>Prod
Veille</v>
          </cell>
          <cell r="L7" t="str">
            <v>Prod
Sem
en cours</v>
          </cell>
          <cell r="M7" t="str">
            <v>Prod
Etape 1</v>
          </cell>
          <cell r="N7" t="str">
            <v>Taux
Etape 1</v>
          </cell>
          <cell r="O7" t="str">
            <v>RàF
Etape 1</v>
          </cell>
          <cell r="P7" t="str">
            <v>Rythme
Hebdo
Requis</v>
          </cell>
          <cell r="Q7" t="str">
            <v>OBJ
Annuel</v>
          </cell>
          <cell r="R7" t="str">
            <v>Prod
Veille</v>
          </cell>
          <cell r="S7" t="str">
            <v>Prod
Sem
en cours</v>
          </cell>
          <cell r="T7" t="str">
            <v>Prod
Etape 1</v>
          </cell>
          <cell r="U7" t="str">
            <v>Taux
Etape 1</v>
          </cell>
          <cell r="V7" t="str">
            <v>RàF
Etape 1</v>
          </cell>
          <cell r="W7" t="str">
            <v>Rythme
Hebdo
Requis</v>
          </cell>
          <cell r="X7" t="str">
            <v>Taux
Moyen
Fil Rouge 5
Etape 1</v>
          </cell>
        </row>
        <row r="8">
          <cell r="A8">
            <v>69014</v>
          </cell>
          <cell r="B8" t="str">
            <v>Banque de Proximité</v>
          </cell>
          <cell r="C8">
            <v>34816</v>
          </cell>
          <cell r="D8">
            <v>169</v>
          </cell>
          <cell r="E8">
            <v>539</v>
          </cell>
          <cell r="F8">
            <v>4555</v>
          </cell>
          <cell r="G8">
            <v>0.13083065257352941</v>
          </cell>
          <cell r="H8">
            <v>5542</v>
          </cell>
          <cell r="I8">
            <v>791.71428571428567</v>
          </cell>
          <cell r="J8">
            <v>49559</v>
          </cell>
          <cell r="K8">
            <v>219</v>
          </cell>
          <cell r="L8">
            <v>825</v>
          </cell>
          <cell r="M8">
            <v>7467</v>
          </cell>
          <cell r="N8">
            <v>0.15066889969531266</v>
          </cell>
          <cell r="O8">
            <v>6906</v>
          </cell>
          <cell r="P8">
            <v>986.57142857142856</v>
          </cell>
          <cell r="Q8">
            <v>12737</v>
          </cell>
          <cell r="R8">
            <v>66</v>
          </cell>
          <cell r="S8">
            <v>231</v>
          </cell>
          <cell r="T8">
            <v>1497</v>
          </cell>
          <cell r="U8">
            <v>0.11753160084792337</v>
          </cell>
          <cell r="V8">
            <v>2197</v>
          </cell>
          <cell r="W8">
            <v>313.85714285714283</v>
          </cell>
          <cell r="X8">
            <v>0.13301038437225512</v>
          </cell>
        </row>
        <row r="9">
          <cell r="A9">
            <v>43003</v>
          </cell>
          <cell r="B9" t="str">
            <v>RSO DdR du Sud Ouest</v>
          </cell>
          <cell r="C9">
            <v>2543</v>
          </cell>
          <cell r="D9">
            <v>13</v>
          </cell>
          <cell r="E9">
            <v>39</v>
          </cell>
          <cell r="F9">
            <v>320</v>
          </cell>
          <cell r="G9">
            <v>0.12583562721195438</v>
          </cell>
          <cell r="H9">
            <v>418</v>
          </cell>
          <cell r="I9">
            <v>59.714285714285715</v>
          </cell>
          <cell r="J9">
            <v>4395</v>
          </cell>
          <cell r="K9">
            <v>18</v>
          </cell>
          <cell r="L9">
            <v>74</v>
          </cell>
          <cell r="M9">
            <v>665</v>
          </cell>
          <cell r="N9">
            <v>0.15130830489192265</v>
          </cell>
          <cell r="O9">
            <v>610</v>
          </cell>
          <cell r="P9">
            <v>87.142857142857139</v>
          </cell>
          <cell r="Q9">
            <v>739</v>
          </cell>
          <cell r="R9">
            <v>7</v>
          </cell>
          <cell r="S9">
            <v>17</v>
          </cell>
          <cell r="T9">
            <v>124</v>
          </cell>
          <cell r="U9">
            <v>0.16779431664411368</v>
          </cell>
          <cell r="V9">
            <v>91</v>
          </cell>
          <cell r="W9">
            <v>13</v>
          </cell>
          <cell r="X9">
            <v>0.14831274958266358</v>
          </cell>
        </row>
        <row r="10">
          <cell r="A10">
            <v>43700</v>
          </cell>
          <cell r="B10" t="str">
            <v>RSO DR Gironde</v>
          </cell>
          <cell r="C10">
            <v>1063</v>
          </cell>
          <cell r="D10">
            <v>4</v>
          </cell>
          <cell r="E10">
            <v>15</v>
          </cell>
          <cell r="F10">
            <v>124</v>
          </cell>
          <cell r="G10">
            <v>0.11665098777046096</v>
          </cell>
          <cell r="H10">
            <v>185</v>
          </cell>
          <cell r="I10">
            <v>26.428571428571427</v>
          </cell>
          <cell r="J10">
            <v>1897</v>
          </cell>
          <cell r="K10">
            <v>8</v>
          </cell>
          <cell r="L10">
            <v>26</v>
          </cell>
          <cell r="M10">
            <v>285</v>
          </cell>
          <cell r="N10">
            <v>0.15023721665788087</v>
          </cell>
          <cell r="O10">
            <v>266</v>
          </cell>
          <cell r="P10">
            <v>38</v>
          </cell>
          <cell r="Q10">
            <v>285</v>
          </cell>
          <cell r="R10">
            <v>0</v>
          </cell>
          <cell r="S10">
            <v>5</v>
          </cell>
          <cell r="T10">
            <v>39</v>
          </cell>
          <cell r="U10">
            <v>0.1368421052631579</v>
          </cell>
          <cell r="V10">
            <v>44</v>
          </cell>
          <cell r="W10">
            <v>6.2857142857142856</v>
          </cell>
          <cell r="X10">
            <v>0.13457676989716658</v>
          </cell>
        </row>
        <row r="11">
          <cell r="A11">
            <v>43780</v>
          </cell>
          <cell r="B11" t="str">
            <v>RSO DR Sud Aquitaine</v>
          </cell>
          <cell r="C11">
            <v>669</v>
          </cell>
          <cell r="D11">
            <v>5</v>
          </cell>
          <cell r="E11">
            <v>15</v>
          </cell>
          <cell r="F11">
            <v>104</v>
          </cell>
          <cell r="G11">
            <v>0.15545590433482809</v>
          </cell>
          <cell r="H11">
            <v>91</v>
          </cell>
          <cell r="I11">
            <v>13</v>
          </cell>
          <cell r="J11">
            <v>1058</v>
          </cell>
          <cell r="K11">
            <v>6</v>
          </cell>
          <cell r="L11">
            <v>24</v>
          </cell>
          <cell r="M11">
            <v>160</v>
          </cell>
          <cell r="N11">
            <v>0.15122873345935728</v>
          </cell>
          <cell r="O11">
            <v>147</v>
          </cell>
          <cell r="P11">
            <v>21</v>
          </cell>
          <cell r="Q11">
            <v>227</v>
          </cell>
          <cell r="R11">
            <v>4</v>
          </cell>
          <cell r="S11">
            <v>8</v>
          </cell>
          <cell r="T11">
            <v>30</v>
          </cell>
          <cell r="U11">
            <v>0.13215859030837004</v>
          </cell>
          <cell r="V11">
            <v>36</v>
          </cell>
          <cell r="W11">
            <v>5.1428571428571432</v>
          </cell>
          <cell r="X11">
            <v>0.14628107603418514</v>
          </cell>
        </row>
        <row r="12">
          <cell r="A12">
            <v>43801</v>
          </cell>
          <cell r="B12" t="str">
            <v>RSO DR Poitou Charentes</v>
          </cell>
          <cell r="C12">
            <v>500</v>
          </cell>
          <cell r="D12">
            <v>3</v>
          </cell>
          <cell r="E12">
            <v>7</v>
          </cell>
          <cell r="F12">
            <v>65</v>
          </cell>
          <cell r="G12">
            <v>0.13</v>
          </cell>
          <cell r="H12">
            <v>80</v>
          </cell>
          <cell r="I12">
            <v>11.428571428571429</v>
          </cell>
          <cell r="J12">
            <v>888</v>
          </cell>
          <cell r="K12">
            <v>1</v>
          </cell>
          <cell r="L12">
            <v>9</v>
          </cell>
          <cell r="M12">
            <v>120</v>
          </cell>
          <cell r="N12">
            <v>0.13513513513513514</v>
          </cell>
          <cell r="O12">
            <v>138</v>
          </cell>
          <cell r="P12">
            <v>19.714285714285715</v>
          </cell>
          <cell r="Q12">
            <v>172</v>
          </cell>
          <cell r="R12">
            <v>1</v>
          </cell>
          <cell r="S12">
            <v>2</v>
          </cell>
          <cell r="T12">
            <v>37</v>
          </cell>
          <cell r="U12">
            <v>0.21511627906976744</v>
          </cell>
          <cell r="V12">
            <v>13</v>
          </cell>
          <cell r="W12">
            <v>1.8571428571428572</v>
          </cell>
          <cell r="X12">
            <v>0.16008380473496753</v>
          </cell>
        </row>
        <row r="13">
          <cell r="A13">
            <v>43861</v>
          </cell>
          <cell r="B13" t="str">
            <v>RSO DR Limousin Dordogne</v>
          </cell>
          <cell r="C13">
            <v>313</v>
          </cell>
          <cell r="D13">
            <v>1</v>
          </cell>
          <cell r="E13">
            <v>2</v>
          </cell>
          <cell r="F13">
            <v>27</v>
          </cell>
          <cell r="G13">
            <v>8.6261980830670923E-2</v>
          </cell>
          <cell r="H13">
            <v>64</v>
          </cell>
          <cell r="I13">
            <v>9.1428571428571423</v>
          </cell>
          <cell r="J13">
            <v>553</v>
          </cell>
          <cell r="K13">
            <v>3</v>
          </cell>
          <cell r="L13">
            <v>15</v>
          </cell>
          <cell r="M13">
            <v>100</v>
          </cell>
          <cell r="N13">
            <v>0.18083182640144665</v>
          </cell>
          <cell r="O13">
            <v>61</v>
          </cell>
          <cell r="P13">
            <v>8.7142857142857135</v>
          </cell>
          <cell r="Q13">
            <v>103</v>
          </cell>
          <cell r="R13">
            <v>2</v>
          </cell>
          <cell r="S13">
            <v>2</v>
          </cell>
          <cell r="T13">
            <v>18</v>
          </cell>
          <cell r="U13">
            <v>0.17475728155339806</v>
          </cell>
          <cell r="V13">
            <v>12</v>
          </cell>
          <cell r="W13">
            <v>1.7142857142857142</v>
          </cell>
          <cell r="X13">
            <v>0.14728369626183854</v>
          </cell>
        </row>
        <row r="14">
          <cell r="A14">
            <v>43703</v>
          </cell>
          <cell r="B14" t="str">
            <v>DGA BORDEAUX CENTRE</v>
          </cell>
          <cell r="C14">
            <v>333</v>
          </cell>
          <cell r="D14">
            <v>1</v>
          </cell>
          <cell r="E14">
            <v>7</v>
          </cell>
          <cell r="F14">
            <v>46</v>
          </cell>
          <cell r="G14">
            <v>0.13813813813813813</v>
          </cell>
          <cell r="H14">
            <v>51</v>
          </cell>
          <cell r="I14">
            <v>7.2857142857142856</v>
          </cell>
          <cell r="J14">
            <v>591</v>
          </cell>
          <cell r="K14">
            <v>3</v>
          </cell>
          <cell r="L14">
            <v>7</v>
          </cell>
          <cell r="M14">
            <v>85</v>
          </cell>
          <cell r="N14">
            <v>0.14382402707275804</v>
          </cell>
          <cell r="O14">
            <v>87</v>
          </cell>
          <cell r="P14">
            <v>12.428571428571429</v>
          </cell>
          <cell r="Q14">
            <v>78</v>
          </cell>
          <cell r="R14">
            <v>0</v>
          </cell>
          <cell r="S14">
            <v>2</v>
          </cell>
          <cell r="T14">
            <v>10</v>
          </cell>
          <cell r="U14">
            <v>0.12820512820512819</v>
          </cell>
          <cell r="V14">
            <v>13</v>
          </cell>
          <cell r="W14">
            <v>1.8571428571428572</v>
          </cell>
          <cell r="X14">
            <v>0.1367224311386748</v>
          </cell>
        </row>
        <row r="15">
          <cell r="A15">
            <v>51800</v>
          </cell>
          <cell r="B15" t="str">
            <v>Multisite BORDEAUX</v>
          </cell>
          <cell r="C15">
            <v>214</v>
          </cell>
          <cell r="D15">
            <v>1</v>
          </cell>
          <cell r="E15">
            <v>3</v>
          </cell>
          <cell r="F15">
            <v>25</v>
          </cell>
          <cell r="G15">
            <v>0.11682242990654206</v>
          </cell>
          <cell r="H15">
            <v>38</v>
          </cell>
          <cell r="I15">
            <v>5.4285714285714288</v>
          </cell>
          <cell r="J15">
            <v>228</v>
          </cell>
          <cell r="K15">
            <v>1</v>
          </cell>
          <cell r="L15">
            <v>4</v>
          </cell>
          <cell r="M15">
            <v>63</v>
          </cell>
          <cell r="N15">
            <v>0.27631578947368424</v>
          </cell>
          <cell r="O15">
            <v>4</v>
          </cell>
          <cell r="P15">
            <v>0.5714285714285714</v>
          </cell>
          <cell r="Q15">
            <v>58</v>
          </cell>
          <cell r="R15">
            <v>0</v>
          </cell>
          <cell r="S15">
            <v>1</v>
          </cell>
          <cell r="T15">
            <v>8</v>
          </cell>
          <cell r="U15">
            <v>0.13793103448275862</v>
          </cell>
          <cell r="V15">
            <v>9</v>
          </cell>
          <cell r="W15">
            <v>1.2857142857142858</v>
          </cell>
          <cell r="X15">
            <v>0.17702308462099495</v>
          </cell>
        </row>
        <row r="16">
          <cell r="A16">
            <v>1800</v>
          </cell>
          <cell r="B16" t="str">
            <v>BORDEAUX</v>
          </cell>
          <cell r="C16">
            <v>170</v>
          </cell>
          <cell r="D16">
            <v>1</v>
          </cell>
          <cell r="E16">
            <v>2</v>
          </cell>
          <cell r="F16">
            <v>19</v>
          </cell>
          <cell r="G16">
            <v>0.11176470588235295</v>
          </cell>
          <cell r="H16">
            <v>31</v>
          </cell>
          <cell r="I16">
            <v>4.4285714285714288</v>
          </cell>
          <cell r="J16">
            <v>178</v>
          </cell>
          <cell r="K16">
            <v>0</v>
          </cell>
          <cell r="L16">
            <v>3</v>
          </cell>
          <cell r="M16">
            <v>54</v>
          </cell>
          <cell r="N16">
            <v>0.30337078651685395</v>
          </cell>
          <cell r="O16">
            <v>0</v>
          </cell>
          <cell r="P16">
            <v>0</v>
          </cell>
          <cell r="Q16">
            <v>44</v>
          </cell>
          <cell r="R16">
            <v>0</v>
          </cell>
          <cell r="S16">
            <v>1</v>
          </cell>
          <cell r="T16">
            <v>8</v>
          </cell>
          <cell r="U16">
            <v>0.18181818181818182</v>
          </cell>
          <cell r="V16">
            <v>5</v>
          </cell>
          <cell r="W16">
            <v>0.7142857142857143</v>
          </cell>
          <cell r="X16">
            <v>0.19898455807246287</v>
          </cell>
        </row>
        <row r="17">
          <cell r="A17">
            <v>1866</v>
          </cell>
          <cell r="B17" t="str">
            <v>BORDEAUX - PALAIS</v>
          </cell>
          <cell r="C17">
            <v>44</v>
          </cell>
          <cell r="D17">
            <v>0</v>
          </cell>
          <cell r="E17">
            <v>1</v>
          </cell>
          <cell r="F17">
            <v>6</v>
          </cell>
          <cell r="G17">
            <v>0.13636363636363635</v>
          </cell>
          <cell r="H17">
            <v>7</v>
          </cell>
          <cell r="I17">
            <v>1</v>
          </cell>
          <cell r="J17">
            <v>50</v>
          </cell>
          <cell r="K17">
            <v>1</v>
          </cell>
          <cell r="L17">
            <v>1</v>
          </cell>
          <cell r="M17">
            <v>9</v>
          </cell>
          <cell r="N17">
            <v>0.18</v>
          </cell>
          <cell r="O17">
            <v>6</v>
          </cell>
          <cell r="P17">
            <v>0.8571428571428571</v>
          </cell>
          <cell r="Q17">
            <v>14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5</v>
          </cell>
          <cell r="W17">
            <v>0.7142857142857143</v>
          </cell>
          <cell r="X17">
            <v>0.10545454545454545</v>
          </cell>
        </row>
        <row r="18">
          <cell r="A18">
            <v>1868</v>
          </cell>
          <cell r="B18" t="str">
            <v>BORDEAUX TOURNY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A19">
            <v>1802</v>
          </cell>
          <cell r="B19" t="str">
            <v>BORDEAUX MARITIME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A20">
            <v>51832</v>
          </cell>
          <cell r="B20" t="str">
            <v>Multisite BORDEAUX CHARTRONS</v>
          </cell>
          <cell r="C20">
            <v>43</v>
          </cell>
          <cell r="D20">
            <v>0</v>
          </cell>
          <cell r="E20">
            <v>2</v>
          </cell>
          <cell r="F20">
            <v>7</v>
          </cell>
          <cell r="G20">
            <v>0.16279069767441862</v>
          </cell>
          <cell r="H20">
            <v>6</v>
          </cell>
          <cell r="I20">
            <v>0.8571428571428571</v>
          </cell>
          <cell r="J20">
            <v>44</v>
          </cell>
          <cell r="K20">
            <v>1</v>
          </cell>
          <cell r="L20">
            <v>1</v>
          </cell>
          <cell r="M20">
            <v>5</v>
          </cell>
          <cell r="N20">
            <v>0.11363636363636363</v>
          </cell>
          <cell r="O20">
            <v>8</v>
          </cell>
          <cell r="P20">
            <v>1.1428571428571428</v>
          </cell>
          <cell r="Q20">
            <v>13</v>
          </cell>
          <cell r="R20">
            <v>0</v>
          </cell>
          <cell r="S20">
            <v>0</v>
          </cell>
          <cell r="T20">
            <v>1</v>
          </cell>
          <cell r="U20">
            <v>7.6923076923076927E-2</v>
          </cell>
          <cell r="V20">
            <v>3</v>
          </cell>
          <cell r="W20">
            <v>0.42857142857142855</v>
          </cell>
          <cell r="X20">
            <v>0.1177833794112864</v>
          </cell>
        </row>
        <row r="21">
          <cell r="A21">
            <v>1830</v>
          </cell>
          <cell r="B21" t="str">
            <v>LE BOUSCAT RAVEZIES</v>
          </cell>
          <cell r="C21">
            <v>6</v>
          </cell>
          <cell r="D21">
            <v>0</v>
          </cell>
          <cell r="E21">
            <v>0</v>
          </cell>
          <cell r="F21">
            <v>1</v>
          </cell>
          <cell r="G21">
            <v>0.16666666666666666</v>
          </cell>
          <cell r="H21">
            <v>1</v>
          </cell>
          <cell r="I21">
            <v>0.14285714285714285</v>
          </cell>
          <cell r="J21">
            <v>6</v>
          </cell>
          <cell r="K21">
            <v>0</v>
          </cell>
          <cell r="L21">
            <v>0</v>
          </cell>
          <cell r="M21">
            <v>1</v>
          </cell>
          <cell r="N21">
            <v>0.16666666666666666</v>
          </cell>
          <cell r="O21">
            <v>1</v>
          </cell>
          <cell r="P21">
            <v>0.14285714285714285</v>
          </cell>
          <cell r="Q21">
            <v>3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1</v>
          </cell>
          <cell r="W21">
            <v>0.14285714285714285</v>
          </cell>
          <cell r="X21">
            <v>0.1111111111111111</v>
          </cell>
        </row>
        <row r="22">
          <cell r="A22">
            <v>1832</v>
          </cell>
          <cell r="B22" t="str">
            <v>BORDEAUX CHARTRONS</v>
          </cell>
          <cell r="C22">
            <v>22</v>
          </cell>
          <cell r="D22">
            <v>0</v>
          </cell>
          <cell r="E22">
            <v>1</v>
          </cell>
          <cell r="F22">
            <v>4</v>
          </cell>
          <cell r="G22">
            <v>0.18181818181818182</v>
          </cell>
          <cell r="H22">
            <v>3</v>
          </cell>
          <cell r="I22">
            <v>0.42857142857142855</v>
          </cell>
          <cell r="J22">
            <v>25</v>
          </cell>
          <cell r="K22">
            <v>1</v>
          </cell>
          <cell r="L22">
            <v>1</v>
          </cell>
          <cell r="M22">
            <v>4</v>
          </cell>
          <cell r="N22">
            <v>0.16</v>
          </cell>
          <cell r="O22">
            <v>4</v>
          </cell>
          <cell r="P22">
            <v>0.5714285714285714</v>
          </cell>
          <cell r="Q22">
            <v>6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2</v>
          </cell>
          <cell r="W22">
            <v>0.2857142857142857</v>
          </cell>
          <cell r="X22">
            <v>0.11393939393939394</v>
          </cell>
        </row>
        <row r="23">
          <cell r="A23">
            <v>1844</v>
          </cell>
          <cell r="B23" t="str">
            <v>BORDEAUX CITE GRAND PARC</v>
          </cell>
          <cell r="C23">
            <v>15</v>
          </cell>
          <cell r="D23">
            <v>0</v>
          </cell>
          <cell r="E23">
            <v>1</v>
          </cell>
          <cell r="F23">
            <v>2</v>
          </cell>
          <cell r="G23">
            <v>0.13333333333333333</v>
          </cell>
          <cell r="H23">
            <v>3</v>
          </cell>
          <cell r="I23">
            <v>0.42857142857142855</v>
          </cell>
          <cell r="J23">
            <v>13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4</v>
          </cell>
          <cell r="P23">
            <v>0.5714285714285714</v>
          </cell>
          <cell r="Q23">
            <v>4</v>
          </cell>
          <cell r="R23">
            <v>0</v>
          </cell>
          <cell r="S23">
            <v>0</v>
          </cell>
          <cell r="T23">
            <v>1</v>
          </cell>
          <cell r="U23">
            <v>0.25</v>
          </cell>
          <cell r="V23">
            <v>1</v>
          </cell>
          <cell r="W23">
            <v>0.14285714285714285</v>
          </cell>
          <cell r="X23">
            <v>0.12777777777777777</v>
          </cell>
        </row>
        <row r="24">
          <cell r="A24">
            <v>1833</v>
          </cell>
          <cell r="B24" t="str">
            <v>BORDEAUX VICTOR HUGO</v>
          </cell>
          <cell r="C24">
            <v>20</v>
          </cell>
          <cell r="D24">
            <v>0</v>
          </cell>
          <cell r="E24">
            <v>0</v>
          </cell>
          <cell r="F24">
            <v>4</v>
          </cell>
          <cell r="G24">
            <v>0.2</v>
          </cell>
          <cell r="H24">
            <v>2</v>
          </cell>
          <cell r="I24">
            <v>0.2857142857142857</v>
          </cell>
          <cell r="J24">
            <v>23</v>
          </cell>
          <cell r="K24">
            <v>0</v>
          </cell>
          <cell r="L24">
            <v>0</v>
          </cell>
          <cell r="M24">
            <v>1</v>
          </cell>
          <cell r="N24">
            <v>4.3478260869565216E-2</v>
          </cell>
          <cell r="O24">
            <v>6</v>
          </cell>
          <cell r="P24">
            <v>0.8571428571428571</v>
          </cell>
          <cell r="Q24">
            <v>6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2</v>
          </cell>
          <cell r="W24">
            <v>0.2857142857142857</v>
          </cell>
          <cell r="X24">
            <v>8.115942028985508E-2</v>
          </cell>
        </row>
        <row r="25">
          <cell r="A25">
            <v>1841</v>
          </cell>
          <cell r="B25" t="str">
            <v>LE BOUSCAT BARRIERE DU MEDOC</v>
          </cell>
          <cell r="C25">
            <v>28</v>
          </cell>
          <cell r="D25">
            <v>0</v>
          </cell>
          <cell r="E25">
            <v>0</v>
          </cell>
          <cell r="F25">
            <v>2</v>
          </cell>
          <cell r="G25">
            <v>7.1428571428571425E-2</v>
          </cell>
          <cell r="H25">
            <v>7</v>
          </cell>
          <cell r="I25">
            <v>1</v>
          </cell>
          <cell r="J25">
            <v>30</v>
          </cell>
          <cell r="K25">
            <v>1</v>
          </cell>
          <cell r="L25">
            <v>1</v>
          </cell>
          <cell r="M25">
            <v>11</v>
          </cell>
          <cell r="N25">
            <v>0.36666666666666664</v>
          </cell>
          <cell r="O25">
            <v>0</v>
          </cell>
          <cell r="P25">
            <v>0</v>
          </cell>
          <cell r="Q25">
            <v>7</v>
          </cell>
          <cell r="R25">
            <v>0</v>
          </cell>
          <cell r="S25">
            <v>1</v>
          </cell>
          <cell r="T25">
            <v>1</v>
          </cell>
          <cell r="U25">
            <v>0.14285714285714285</v>
          </cell>
          <cell r="V25">
            <v>2</v>
          </cell>
          <cell r="W25">
            <v>0.2857142857142857</v>
          </cell>
          <cell r="X25">
            <v>0.19365079365079363</v>
          </cell>
        </row>
        <row r="26">
          <cell r="A26">
            <v>51847</v>
          </cell>
          <cell r="B26" t="str">
            <v>Multisite BORDEAUX VICTOIRE</v>
          </cell>
          <cell r="C26">
            <v>28</v>
          </cell>
          <cell r="D26">
            <v>0</v>
          </cell>
          <cell r="E26">
            <v>2</v>
          </cell>
          <cell r="F26">
            <v>8</v>
          </cell>
          <cell r="G26">
            <v>0.2857142857142857</v>
          </cell>
          <cell r="H26">
            <v>1</v>
          </cell>
          <cell r="I26">
            <v>0.14285714285714285</v>
          </cell>
          <cell r="J26">
            <v>31</v>
          </cell>
          <cell r="K26">
            <v>0</v>
          </cell>
          <cell r="L26">
            <v>1</v>
          </cell>
          <cell r="M26">
            <v>5</v>
          </cell>
          <cell r="N26">
            <v>0.16129032258064516</v>
          </cell>
          <cell r="O26">
            <v>4</v>
          </cell>
          <cell r="P26">
            <v>0.5714285714285714</v>
          </cell>
          <cell r="Q26">
            <v>9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3</v>
          </cell>
          <cell r="W26">
            <v>0.42857142857142855</v>
          </cell>
          <cell r="X26">
            <v>0.14900153609831027</v>
          </cell>
        </row>
        <row r="27">
          <cell r="A27">
            <v>1847</v>
          </cell>
          <cell r="B27" t="str">
            <v>BORDEAUX VICTOIRE</v>
          </cell>
          <cell r="C27">
            <v>22</v>
          </cell>
          <cell r="D27">
            <v>0</v>
          </cell>
          <cell r="E27">
            <v>2</v>
          </cell>
          <cell r="F27">
            <v>7</v>
          </cell>
          <cell r="G27">
            <v>0.31818181818181818</v>
          </cell>
          <cell r="H27">
            <v>0</v>
          </cell>
          <cell r="I27">
            <v>0</v>
          </cell>
          <cell r="J27">
            <v>24</v>
          </cell>
          <cell r="K27">
            <v>0</v>
          </cell>
          <cell r="L27">
            <v>1</v>
          </cell>
          <cell r="M27">
            <v>5</v>
          </cell>
          <cell r="N27">
            <v>0.20833333333333334</v>
          </cell>
          <cell r="O27">
            <v>2</v>
          </cell>
          <cell r="P27">
            <v>0.2857142857142857</v>
          </cell>
          <cell r="Q27">
            <v>6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2</v>
          </cell>
          <cell r="W27">
            <v>0.2857142857142857</v>
          </cell>
          <cell r="X27">
            <v>0.1755050505050505</v>
          </cell>
        </row>
        <row r="28">
          <cell r="A28">
            <v>1854</v>
          </cell>
          <cell r="B28" t="str">
            <v>BORDEAUX SAINT-JEAN</v>
          </cell>
          <cell r="C28">
            <v>6</v>
          </cell>
          <cell r="D28">
            <v>0</v>
          </cell>
          <cell r="E28">
            <v>0</v>
          </cell>
          <cell r="F28">
            <v>1</v>
          </cell>
          <cell r="G28">
            <v>0.16666666666666666</v>
          </cell>
          <cell r="H28">
            <v>1</v>
          </cell>
          <cell r="I28">
            <v>0.14285714285714285</v>
          </cell>
          <cell r="J28">
            <v>7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3</v>
          </cell>
          <cell r="P28">
            <v>0.42857142857142855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1</v>
          </cell>
          <cell r="W28">
            <v>0.14285714285714285</v>
          </cell>
          <cell r="X28">
            <v>5.5555555555555552E-2</v>
          </cell>
        </row>
        <row r="29">
          <cell r="A29">
            <v>43711</v>
          </cell>
          <cell r="B29" t="str">
            <v>DGA MERIGNAC - MEDOC</v>
          </cell>
          <cell r="C29">
            <v>252</v>
          </cell>
          <cell r="D29">
            <v>0</v>
          </cell>
          <cell r="E29">
            <v>3</v>
          </cell>
          <cell r="F29">
            <v>23</v>
          </cell>
          <cell r="G29">
            <v>9.1269841269841265E-2</v>
          </cell>
          <cell r="H29">
            <v>51</v>
          </cell>
          <cell r="I29">
            <v>7.2857142857142856</v>
          </cell>
          <cell r="J29">
            <v>455</v>
          </cell>
          <cell r="K29">
            <v>3</v>
          </cell>
          <cell r="L29">
            <v>8</v>
          </cell>
          <cell r="M29">
            <v>80</v>
          </cell>
          <cell r="N29">
            <v>0.17582417582417584</v>
          </cell>
          <cell r="O29">
            <v>52</v>
          </cell>
          <cell r="P29">
            <v>7.4285714285714288</v>
          </cell>
          <cell r="Q29">
            <v>72</v>
          </cell>
          <cell r="R29">
            <v>0</v>
          </cell>
          <cell r="S29">
            <v>0</v>
          </cell>
          <cell r="T29">
            <v>4</v>
          </cell>
          <cell r="U29">
            <v>5.5555555555555552E-2</v>
          </cell>
          <cell r="V29">
            <v>17</v>
          </cell>
          <cell r="W29">
            <v>2.4285714285714284</v>
          </cell>
          <cell r="X29">
            <v>0.10754985754985753</v>
          </cell>
        </row>
        <row r="30">
          <cell r="A30">
            <v>1837</v>
          </cell>
          <cell r="B30" t="str">
            <v>PAUILLAC</v>
          </cell>
          <cell r="C30">
            <v>19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6</v>
          </cell>
          <cell r="I30">
            <v>0.8571428571428571</v>
          </cell>
          <cell r="J30">
            <v>20</v>
          </cell>
          <cell r="K30">
            <v>0</v>
          </cell>
          <cell r="L30">
            <v>0</v>
          </cell>
          <cell r="M30">
            <v>6</v>
          </cell>
          <cell r="N30">
            <v>0.3</v>
          </cell>
          <cell r="O30">
            <v>0</v>
          </cell>
          <cell r="P30">
            <v>0</v>
          </cell>
          <cell r="Q30">
            <v>6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2</v>
          </cell>
          <cell r="W30">
            <v>0.2857142857142857</v>
          </cell>
          <cell r="X30">
            <v>9.9999999999999992E-2</v>
          </cell>
        </row>
        <row r="31">
          <cell r="A31">
            <v>1840</v>
          </cell>
          <cell r="B31" t="str">
            <v>MERIGNAC</v>
          </cell>
          <cell r="C31">
            <v>58</v>
          </cell>
          <cell r="D31">
            <v>0</v>
          </cell>
          <cell r="E31">
            <v>1</v>
          </cell>
          <cell r="F31">
            <v>5</v>
          </cell>
          <cell r="G31">
            <v>8.6206896551724144E-2</v>
          </cell>
          <cell r="H31">
            <v>12</v>
          </cell>
          <cell r="I31">
            <v>1.7142857142857142</v>
          </cell>
          <cell r="J31">
            <v>73</v>
          </cell>
          <cell r="K31">
            <v>3</v>
          </cell>
          <cell r="L31">
            <v>6</v>
          </cell>
          <cell r="M31">
            <v>20</v>
          </cell>
          <cell r="N31">
            <v>0.27397260273972601</v>
          </cell>
          <cell r="O31">
            <v>2</v>
          </cell>
          <cell r="P31">
            <v>0.2857142857142857</v>
          </cell>
          <cell r="Q31">
            <v>19</v>
          </cell>
          <cell r="R31">
            <v>0</v>
          </cell>
          <cell r="S31">
            <v>0</v>
          </cell>
          <cell r="T31">
            <v>2</v>
          </cell>
          <cell r="U31">
            <v>0.10526315789473684</v>
          </cell>
          <cell r="V31">
            <v>4</v>
          </cell>
          <cell r="W31">
            <v>0.5714285714285714</v>
          </cell>
          <cell r="X31">
            <v>0.15514755239539565</v>
          </cell>
        </row>
        <row r="32">
          <cell r="A32">
            <v>1843</v>
          </cell>
          <cell r="B32" t="str">
            <v>SAINT MEDARD EN JALLES</v>
          </cell>
          <cell r="C32">
            <v>43</v>
          </cell>
          <cell r="D32">
            <v>0</v>
          </cell>
          <cell r="E32">
            <v>0</v>
          </cell>
          <cell r="F32">
            <v>3</v>
          </cell>
          <cell r="G32">
            <v>6.9767441860465115E-2</v>
          </cell>
          <cell r="H32">
            <v>10</v>
          </cell>
          <cell r="I32">
            <v>1.4285714285714286</v>
          </cell>
          <cell r="J32">
            <v>39</v>
          </cell>
          <cell r="K32">
            <v>0</v>
          </cell>
          <cell r="L32">
            <v>0</v>
          </cell>
          <cell r="M32">
            <v>10</v>
          </cell>
          <cell r="N32">
            <v>0.25641025641025639</v>
          </cell>
          <cell r="O32">
            <v>2</v>
          </cell>
          <cell r="P32">
            <v>0.2857142857142857</v>
          </cell>
          <cell r="Q32">
            <v>15</v>
          </cell>
          <cell r="R32">
            <v>0</v>
          </cell>
          <cell r="S32">
            <v>0</v>
          </cell>
          <cell r="T32">
            <v>1</v>
          </cell>
          <cell r="U32">
            <v>6.6666666666666666E-2</v>
          </cell>
          <cell r="V32">
            <v>4</v>
          </cell>
          <cell r="W32">
            <v>0.5714285714285714</v>
          </cell>
          <cell r="X32">
            <v>0.13094812164579606</v>
          </cell>
        </row>
        <row r="33">
          <cell r="A33">
            <v>1850</v>
          </cell>
          <cell r="B33" t="str">
            <v>LESPARRE MEDOC</v>
          </cell>
          <cell r="C33">
            <v>27</v>
          </cell>
          <cell r="D33">
            <v>0</v>
          </cell>
          <cell r="E33">
            <v>1</v>
          </cell>
          <cell r="F33">
            <v>2</v>
          </cell>
          <cell r="G33">
            <v>7.407407407407407E-2</v>
          </cell>
          <cell r="H33">
            <v>6</v>
          </cell>
          <cell r="I33">
            <v>0.8571428571428571</v>
          </cell>
          <cell r="J33">
            <v>31</v>
          </cell>
          <cell r="K33">
            <v>0</v>
          </cell>
          <cell r="L33">
            <v>2</v>
          </cell>
          <cell r="M33">
            <v>13</v>
          </cell>
          <cell r="N33">
            <v>0.41935483870967744</v>
          </cell>
          <cell r="O33">
            <v>0</v>
          </cell>
          <cell r="P33">
            <v>0</v>
          </cell>
          <cell r="Q33">
            <v>7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3</v>
          </cell>
          <cell r="W33">
            <v>0.42857142857142855</v>
          </cell>
          <cell r="X33">
            <v>0.16447630426125051</v>
          </cell>
        </row>
        <row r="34">
          <cell r="A34">
            <v>51851</v>
          </cell>
          <cell r="B34" t="str">
            <v>Multisite CAUDERAN</v>
          </cell>
          <cell r="C34">
            <v>65</v>
          </cell>
          <cell r="D34">
            <v>0</v>
          </cell>
          <cell r="E34">
            <v>0</v>
          </cell>
          <cell r="F34">
            <v>7</v>
          </cell>
          <cell r="G34">
            <v>0.1076923076923077</v>
          </cell>
          <cell r="H34">
            <v>12</v>
          </cell>
          <cell r="I34">
            <v>1.7142857142857142</v>
          </cell>
          <cell r="J34">
            <v>59</v>
          </cell>
          <cell r="K34">
            <v>0</v>
          </cell>
          <cell r="L34">
            <v>0</v>
          </cell>
          <cell r="M34">
            <v>18</v>
          </cell>
          <cell r="N34">
            <v>0.30508474576271188</v>
          </cell>
          <cell r="O34">
            <v>0</v>
          </cell>
          <cell r="P34">
            <v>0</v>
          </cell>
          <cell r="Q34">
            <v>17</v>
          </cell>
          <cell r="R34">
            <v>0</v>
          </cell>
          <cell r="S34">
            <v>0</v>
          </cell>
          <cell r="T34">
            <v>1</v>
          </cell>
          <cell r="U34">
            <v>5.8823529411764705E-2</v>
          </cell>
          <cell r="V34">
            <v>4</v>
          </cell>
          <cell r="W34">
            <v>0.5714285714285714</v>
          </cell>
          <cell r="X34">
            <v>0.15720019428892809</v>
          </cell>
        </row>
        <row r="35">
          <cell r="A35">
            <v>1851</v>
          </cell>
          <cell r="B35" t="str">
            <v>BORDEAUX CAUDERAN</v>
          </cell>
          <cell r="C35">
            <v>43</v>
          </cell>
          <cell r="D35">
            <v>0</v>
          </cell>
          <cell r="E35">
            <v>0</v>
          </cell>
          <cell r="F35">
            <v>4</v>
          </cell>
          <cell r="G35">
            <v>9.3023255813953487E-2</v>
          </cell>
          <cell r="H35">
            <v>9</v>
          </cell>
          <cell r="I35">
            <v>1.2857142857142858</v>
          </cell>
          <cell r="J35">
            <v>41</v>
          </cell>
          <cell r="K35">
            <v>0</v>
          </cell>
          <cell r="L35">
            <v>0</v>
          </cell>
          <cell r="M35">
            <v>7</v>
          </cell>
          <cell r="N35">
            <v>0.17073170731707318</v>
          </cell>
          <cell r="O35">
            <v>5</v>
          </cell>
          <cell r="P35">
            <v>0.7142857142857143</v>
          </cell>
          <cell r="Q35">
            <v>14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5</v>
          </cell>
          <cell r="W35">
            <v>0.7142857142857143</v>
          </cell>
          <cell r="X35">
            <v>8.7918321043675543E-2</v>
          </cell>
        </row>
        <row r="36">
          <cell r="A36">
            <v>1864</v>
          </cell>
          <cell r="B36" t="str">
            <v>MERIGNAC MONDESIR</v>
          </cell>
          <cell r="C36">
            <v>22</v>
          </cell>
          <cell r="D36">
            <v>0</v>
          </cell>
          <cell r="E36">
            <v>0</v>
          </cell>
          <cell r="F36">
            <v>3</v>
          </cell>
          <cell r="G36">
            <v>0.13636363636363635</v>
          </cell>
          <cell r="H36">
            <v>4</v>
          </cell>
          <cell r="I36">
            <v>0.5714285714285714</v>
          </cell>
          <cell r="J36">
            <v>18</v>
          </cell>
          <cell r="K36">
            <v>0</v>
          </cell>
          <cell r="L36">
            <v>0</v>
          </cell>
          <cell r="M36">
            <v>11</v>
          </cell>
          <cell r="N36">
            <v>0.44</v>
          </cell>
          <cell r="O36">
            <v>0</v>
          </cell>
          <cell r="P36">
            <v>0</v>
          </cell>
          <cell r="Q36">
            <v>3</v>
          </cell>
          <cell r="R36">
            <v>0</v>
          </cell>
          <cell r="S36">
            <v>0</v>
          </cell>
          <cell r="T36">
            <v>1</v>
          </cell>
          <cell r="U36">
            <v>0.33333333333333331</v>
          </cell>
          <cell r="V36">
            <v>0</v>
          </cell>
          <cell r="W36">
            <v>0</v>
          </cell>
          <cell r="X36">
            <v>0.30323232323232324</v>
          </cell>
        </row>
        <row r="37">
          <cell r="A37">
            <v>1838</v>
          </cell>
          <cell r="B37" t="str">
            <v>BORDEAUX BAR JUDAIQUE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A38">
            <v>51859</v>
          </cell>
          <cell r="B38" t="str">
            <v>Multisite BRUGES</v>
          </cell>
          <cell r="C38">
            <v>40</v>
          </cell>
          <cell r="D38">
            <v>0</v>
          </cell>
          <cell r="E38">
            <v>1</v>
          </cell>
          <cell r="F38">
            <v>6</v>
          </cell>
          <cell r="G38">
            <v>0.15</v>
          </cell>
          <cell r="H38">
            <v>6</v>
          </cell>
          <cell r="I38">
            <v>0.8571428571428571</v>
          </cell>
          <cell r="J38">
            <v>42</v>
          </cell>
          <cell r="K38">
            <v>0</v>
          </cell>
          <cell r="L38">
            <v>0</v>
          </cell>
          <cell r="M38">
            <v>13</v>
          </cell>
          <cell r="N38">
            <v>0.30952380952380953</v>
          </cell>
          <cell r="O38">
            <v>0</v>
          </cell>
          <cell r="P38">
            <v>0</v>
          </cell>
          <cell r="Q38">
            <v>10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3</v>
          </cell>
          <cell r="W38">
            <v>0.42857142857142855</v>
          </cell>
          <cell r="X38">
            <v>0.15317460317460319</v>
          </cell>
        </row>
        <row r="39">
          <cell r="A39">
            <v>1858</v>
          </cell>
          <cell r="B39" t="str">
            <v>EYSINES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A40">
            <v>1859</v>
          </cell>
          <cell r="B40" t="str">
            <v>BRUGES</v>
          </cell>
          <cell r="C40">
            <v>20</v>
          </cell>
          <cell r="D40">
            <v>0</v>
          </cell>
          <cell r="E40">
            <v>0</v>
          </cell>
          <cell r="F40">
            <v>5</v>
          </cell>
          <cell r="G40">
            <v>0.25</v>
          </cell>
          <cell r="H40">
            <v>1</v>
          </cell>
          <cell r="I40">
            <v>0.14285714285714285</v>
          </cell>
          <cell r="J40">
            <v>28</v>
          </cell>
          <cell r="K40">
            <v>0</v>
          </cell>
          <cell r="L40">
            <v>0</v>
          </cell>
          <cell r="M40">
            <v>10</v>
          </cell>
          <cell r="N40">
            <v>0.35714285714285715</v>
          </cell>
          <cell r="O40">
            <v>0</v>
          </cell>
          <cell r="P40">
            <v>0</v>
          </cell>
          <cell r="Q40">
            <v>7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3</v>
          </cell>
          <cell r="W40">
            <v>0.42857142857142855</v>
          </cell>
          <cell r="X40">
            <v>0.20238095238095241</v>
          </cell>
        </row>
        <row r="41">
          <cell r="A41">
            <v>1860</v>
          </cell>
          <cell r="B41" t="str">
            <v>BLANQUEFORT</v>
          </cell>
          <cell r="C41">
            <v>20</v>
          </cell>
          <cell r="D41">
            <v>0</v>
          </cell>
          <cell r="E41">
            <v>1</v>
          </cell>
          <cell r="F41">
            <v>1</v>
          </cell>
          <cell r="G41">
            <v>0.05</v>
          </cell>
          <cell r="H41">
            <v>5</v>
          </cell>
          <cell r="I41">
            <v>0.7142857142857143</v>
          </cell>
          <cell r="J41">
            <v>14</v>
          </cell>
          <cell r="K41">
            <v>0</v>
          </cell>
          <cell r="L41">
            <v>0</v>
          </cell>
          <cell r="M41">
            <v>3</v>
          </cell>
          <cell r="N41">
            <v>0.21428571428571427</v>
          </cell>
          <cell r="O41">
            <v>2</v>
          </cell>
          <cell r="P41">
            <v>0.2857142857142857</v>
          </cell>
          <cell r="Q41">
            <v>3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1</v>
          </cell>
          <cell r="W41">
            <v>0.14285714285714285</v>
          </cell>
          <cell r="X41">
            <v>8.8095238095238101E-2</v>
          </cell>
        </row>
        <row r="42">
          <cell r="A42">
            <v>43717</v>
          </cell>
          <cell r="B42" t="str">
            <v>DGA SUD GIRONDE</v>
          </cell>
          <cell r="C42">
            <v>155</v>
          </cell>
          <cell r="D42">
            <v>2</v>
          </cell>
          <cell r="E42">
            <v>3</v>
          </cell>
          <cell r="F42">
            <v>19</v>
          </cell>
          <cell r="G42">
            <v>0.12258064516129032</v>
          </cell>
          <cell r="H42">
            <v>26</v>
          </cell>
          <cell r="I42">
            <v>3.7142857142857144</v>
          </cell>
          <cell r="J42">
            <v>258</v>
          </cell>
          <cell r="K42">
            <v>0</v>
          </cell>
          <cell r="L42">
            <v>0</v>
          </cell>
          <cell r="M42">
            <v>27</v>
          </cell>
          <cell r="N42">
            <v>0.10465116279069768</v>
          </cell>
          <cell r="O42">
            <v>48</v>
          </cell>
          <cell r="P42">
            <v>6.8571428571428568</v>
          </cell>
          <cell r="Q42">
            <v>44</v>
          </cell>
          <cell r="R42">
            <v>0</v>
          </cell>
          <cell r="S42">
            <v>1</v>
          </cell>
          <cell r="T42">
            <v>8</v>
          </cell>
          <cell r="U42">
            <v>0.18181818181818182</v>
          </cell>
          <cell r="V42">
            <v>5</v>
          </cell>
          <cell r="W42">
            <v>0.7142857142857143</v>
          </cell>
          <cell r="X42">
            <v>0.13634999659005662</v>
          </cell>
        </row>
        <row r="43">
          <cell r="A43">
            <v>1842</v>
          </cell>
          <cell r="B43" t="str">
            <v>BORDEAUX BARRIERE DE PESSAC</v>
          </cell>
          <cell r="C43">
            <v>30</v>
          </cell>
          <cell r="D43">
            <v>0</v>
          </cell>
          <cell r="E43">
            <v>0</v>
          </cell>
          <cell r="F43">
            <v>4</v>
          </cell>
          <cell r="G43">
            <v>0.13333333333333333</v>
          </cell>
          <cell r="H43">
            <v>5</v>
          </cell>
          <cell r="I43">
            <v>0.7142857142857143</v>
          </cell>
          <cell r="J43">
            <v>25</v>
          </cell>
          <cell r="K43">
            <v>0</v>
          </cell>
          <cell r="L43">
            <v>0</v>
          </cell>
          <cell r="M43">
            <v>5</v>
          </cell>
          <cell r="N43">
            <v>0.2</v>
          </cell>
          <cell r="O43">
            <v>3</v>
          </cell>
          <cell r="P43">
            <v>0.42857142857142855</v>
          </cell>
          <cell r="Q43">
            <v>7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3</v>
          </cell>
          <cell r="W43">
            <v>0.42857142857142855</v>
          </cell>
          <cell r="X43">
            <v>0.11111111111111112</v>
          </cell>
        </row>
        <row r="44">
          <cell r="A44">
            <v>51845</v>
          </cell>
          <cell r="B44" t="str">
            <v>Multisite PESSAC</v>
          </cell>
          <cell r="C44">
            <v>40</v>
          </cell>
          <cell r="D44">
            <v>1</v>
          </cell>
          <cell r="E44">
            <v>1</v>
          </cell>
          <cell r="F44">
            <v>5</v>
          </cell>
          <cell r="G44">
            <v>0.125</v>
          </cell>
          <cell r="H44">
            <v>7</v>
          </cell>
          <cell r="I44">
            <v>1</v>
          </cell>
          <cell r="J44">
            <v>34</v>
          </cell>
          <cell r="K44">
            <v>0</v>
          </cell>
          <cell r="L44">
            <v>0</v>
          </cell>
          <cell r="M44">
            <v>8</v>
          </cell>
          <cell r="N44">
            <v>0.23529411764705882</v>
          </cell>
          <cell r="O44">
            <v>2</v>
          </cell>
          <cell r="P44">
            <v>0.2857142857142857</v>
          </cell>
          <cell r="Q44">
            <v>10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3</v>
          </cell>
          <cell r="W44">
            <v>0.42857142857142855</v>
          </cell>
          <cell r="X44">
            <v>0.12009803921568628</v>
          </cell>
        </row>
        <row r="45">
          <cell r="A45">
            <v>1845</v>
          </cell>
          <cell r="B45" t="str">
            <v>PESSAC</v>
          </cell>
          <cell r="C45">
            <v>30</v>
          </cell>
          <cell r="D45">
            <v>1</v>
          </cell>
          <cell r="E45">
            <v>1</v>
          </cell>
          <cell r="F45">
            <v>4</v>
          </cell>
          <cell r="G45">
            <v>0.13333333333333333</v>
          </cell>
          <cell r="H45">
            <v>5</v>
          </cell>
          <cell r="I45">
            <v>0.7142857142857143</v>
          </cell>
          <cell r="J45">
            <v>25</v>
          </cell>
          <cell r="K45">
            <v>0</v>
          </cell>
          <cell r="L45">
            <v>0</v>
          </cell>
          <cell r="M45">
            <v>8</v>
          </cell>
          <cell r="N45">
            <v>0.32</v>
          </cell>
          <cell r="O45">
            <v>0</v>
          </cell>
          <cell r="P45">
            <v>0</v>
          </cell>
          <cell r="Q45">
            <v>8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3</v>
          </cell>
          <cell r="W45">
            <v>0.42857142857142855</v>
          </cell>
          <cell r="X45">
            <v>0.15111111111111111</v>
          </cell>
        </row>
        <row r="46">
          <cell r="A46">
            <v>1865</v>
          </cell>
          <cell r="B46" t="str">
            <v>PESSAC ALOUETTE</v>
          </cell>
          <cell r="C46">
            <v>10</v>
          </cell>
          <cell r="D46">
            <v>0</v>
          </cell>
          <cell r="E46">
            <v>0</v>
          </cell>
          <cell r="F46">
            <v>1</v>
          </cell>
          <cell r="G46">
            <v>0.1</v>
          </cell>
          <cell r="H46">
            <v>2</v>
          </cell>
          <cell r="I46">
            <v>0.2857142857142857</v>
          </cell>
          <cell r="J46">
            <v>9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3</v>
          </cell>
          <cell r="P46">
            <v>0.42857142857142855</v>
          </cell>
          <cell r="Q46">
            <v>2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</v>
          </cell>
          <cell r="W46">
            <v>0.14285714285714285</v>
          </cell>
          <cell r="X46">
            <v>3.3333333333333333E-2</v>
          </cell>
        </row>
        <row r="47">
          <cell r="A47">
            <v>1846</v>
          </cell>
          <cell r="B47" t="str">
            <v>BORDEAUX BARRIER DE TOULOUSE</v>
          </cell>
          <cell r="C47">
            <v>19</v>
          </cell>
          <cell r="D47">
            <v>0</v>
          </cell>
          <cell r="E47">
            <v>0</v>
          </cell>
          <cell r="F47">
            <v>3</v>
          </cell>
          <cell r="G47">
            <v>0.15789473684210525</v>
          </cell>
          <cell r="H47">
            <v>3</v>
          </cell>
          <cell r="I47">
            <v>0.42857142857142855</v>
          </cell>
          <cell r="J47">
            <v>15</v>
          </cell>
          <cell r="K47">
            <v>0</v>
          </cell>
          <cell r="L47">
            <v>0</v>
          </cell>
          <cell r="M47">
            <v>3</v>
          </cell>
          <cell r="N47">
            <v>0.2</v>
          </cell>
          <cell r="O47">
            <v>2</v>
          </cell>
          <cell r="P47">
            <v>0.2857142857142857</v>
          </cell>
          <cell r="Q47">
            <v>6</v>
          </cell>
          <cell r="R47">
            <v>0</v>
          </cell>
          <cell r="S47">
            <v>1</v>
          </cell>
          <cell r="T47">
            <v>3</v>
          </cell>
          <cell r="U47">
            <v>0.44</v>
          </cell>
          <cell r="V47">
            <v>0</v>
          </cell>
          <cell r="W47">
            <v>0</v>
          </cell>
          <cell r="X47">
            <v>0.26596491228070174</v>
          </cell>
        </row>
        <row r="48">
          <cell r="A48">
            <v>51855</v>
          </cell>
          <cell r="B48" t="str">
            <v>Multisite TALENCE</v>
          </cell>
          <cell r="C48">
            <v>44</v>
          </cell>
          <cell r="D48">
            <v>1</v>
          </cell>
          <cell r="E48">
            <v>2</v>
          </cell>
          <cell r="F48">
            <v>7</v>
          </cell>
          <cell r="G48">
            <v>0.15909090909090909</v>
          </cell>
          <cell r="H48">
            <v>6</v>
          </cell>
          <cell r="I48">
            <v>0.8571428571428571</v>
          </cell>
          <cell r="J48">
            <v>45</v>
          </cell>
          <cell r="K48">
            <v>0</v>
          </cell>
          <cell r="L48">
            <v>0</v>
          </cell>
          <cell r="M48">
            <v>5</v>
          </cell>
          <cell r="N48">
            <v>0.1111111111111111</v>
          </cell>
          <cell r="O48">
            <v>9</v>
          </cell>
          <cell r="P48">
            <v>1.2857142857142858</v>
          </cell>
          <cell r="Q48">
            <v>14</v>
          </cell>
          <cell r="R48">
            <v>0</v>
          </cell>
          <cell r="S48">
            <v>0</v>
          </cell>
          <cell r="T48">
            <v>3</v>
          </cell>
          <cell r="U48">
            <v>0.21428571428571427</v>
          </cell>
          <cell r="V48">
            <v>2</v>
          </cell>
          <cell r="W48">
            <v>0.2857142857142857</v>
          </cell>
          <cell r="X48">
            <v>0.1614959114959115</v>
          </cell>
        </row>
        <row r="49">
          <cell r="A49">
            <v>1855</v>
          </cell>
          <cell r="B49" t="str">
            <v>TALENCE</v>
          </cell>
          <cell r="C49">
            <v>34</v>
          </cell>
          <cell r="D49">
            <v>0</v>
          </cell>
          <cell r="E49">
            <v>0</v>
          </cell>
          <cell r="F49">
            <v>3</v>
          </cell>
          <cell r="G49">
            <v>8.8235294117647065E-2</v>
          </cell>
          <cell r="H49">
            <v>7</v>
          </cell>
          <cell r="I49">
            <v>1</v>
          </cell>
          <cell r="J49">
            <v>35</v>
          </cell>
          <cell r="K49">
            <v>0</v>
          </cell>
          <cell r="L49">
            <v>0</v>
          </cell>
          <cell r="M49">
            <v>3</v>
          </cell>
          <cell r="N49">
            <v>8.5714285714285715E-2</v>
          </cell>
          <cell r="O49">
            <v>8</v>
          </cell>
          <cell r="P49">
            <v>1.1428571428571428</v>
          </cell>
          <cell r="Q49">
            <v>12</v>
          </cell>
          <cell r="R49">
            <v>0</v>
          </cell>
          <cell r="S49">
            <v>0</v>
          </cell>
          <cell r="T49">
            <v>1</v>
          </cell>
          <cell r="U49">
            <v>8.3333333333333329E-2</v>
          </cell>
          <cell r="V49">
            <v>3</v>
          </cell>
          <cell r="W49">
            <v>0.42857142857142855</v>
          </cell>
          <cell r="X49">
            <v>8.5760971055088689E-2</v>
          </cell>
        </row>
        <row r="50">
          <cell r="A50">
            <v>1857</v>
          </cell>
          <cell r="B50" t="str">
            <v>VILLENAVE D'ORNON</v>
          </cell>
          <cell r="C50">
            <v>10</v>
          </cell>
          <cell r="D50">
            <v>1</v>
          </cell>
          <cell r="E50">
            <v>2</v>
          </cell>
          <cell r="F50">
            <v>4</v>
          </cell>
          <cell r="G50">
            <v>0.4</v>
          </cell>
          <cell r="H50">
            <v>0</v>
          </cell>
          <cell r="I50">
            <v>0</v>
          </cell>
          <cell r="J50">
            <v>10</v>
          </cell>
          <cell r="K50">
            <v>0</v>
          </cell>
          <cell r="L50">
            <v>0</v>
          </cell>
          <cell r="M50">
            <v>2</v>
          </cell>
          <cell r="N50">
            <v>0.2</v>
          </cell>
          <cell r="O50">
            <v>1</v>
          </cell>
          <cell r="P50">
            <v>0.14285714285714285</v>
          </cell>
          <cell r="Q50">
            <v>2</v>
          </cell>
          <cell r="R50">
            <v>0</v>
          </cell>
          <cell r="S50">
            <v>0</v>
          </cell>
          <cell r="T50">
            <v>2</v>
          </cell>
          <cell r="U50">
            <v>0.44</v>
          </cell>
          <cell r="V50">
            <v>0</v>
          </cell>
          <cell r="W50">
            <v>0</v>
          </cell>
          <cell r="X50">
            <v>0.34666666666666668</v>
          </cell>
        </row>
        <row r="51">
          <cell r="A51">
            <v>1856</v>
          </cell>
          <cell r="B51" t="str">
            <v>GRADIGNAN</v>
          </cell>
          <cell r="C51">
            <v>22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7</v>
          </cell>
          <cell r="I51">
            <v>1</v>
          </cell>
          <cell r="J51">
            <v>20</v>
          </cell>
          <cell r="K51">
            <v>0</v>
          </cell>
          <cell r="L51">
            <v>0</v>
          </cell>
          <cell r="M51">
            <v>6</v>
          </cell>
          <cell r="N51">
            <v>0.3</v>
          </cell>
          <cell r="O51">
            <v>0</v>
          </cell>
          <cell r="P51">
            <v>0</v>
          </cell>
          <cell r="Q51">
            <v>7</v>
          </cell>
          <cell r="R51">
            <v>0</v>
          </cell>
          <cell r="S51">
            <v>0</v>
          </cell>
          <cell r="T51">
            <v>2</v>
          </cell>
          <cell r="U51">
            <v>0.2857142857142857</v>
          </cell>
          <cell r="V51">
            <v>1</v>
          </cell>
          <cell r="W51">
            <v>0.14285714285714285</v>
          </cell>
          <cell r="X51">
            <v>0.19523809523809521</v>
          </cell>
        </row>
        <row r="52">
          <cell r="A52">
            <v>43739</v>
          </cell>
          <cell r="B52" t="str">
            <v>DGA BASSIN D'ARCACHON</v>
          </cell>
          <cell r="C52">
            <v>140</v>
          </cell>
          <cell r="D52">
            <v>1</v>
          </cell>
          <cell r="E52">
            <v>2</v>
          </cell>
          <cell r="F52">
            <v>14</v>
          </cell>
          <cell r="G52">
            <v>0.1</v>
          </cell>
          <cell r="H52">
            <v>27</v>
          </cell>
          <cell r="I52">
            <v>3.8571428571428572</v>
          </cell>
          <cell r="J52">
            <v>255</v>
          </cell>
          <cell r="K52">
            <v>1</v>
          </cell>
          <cell r="L52">
            <v>4</v>
          </cell>
          <cell r="M52">
            <v>25</v>
          </cell>
          <cell r="N52">
            <v>9.8039215686274508E-2</v>
          </cell>
          <cell r="O52">
            <v>49</v>
          </cell>
          <cell r="P52">
            <v>7</v>
          </cell>
          <cell r="Q52">
            <v>40</v>
          </cell>
          <cell r="R52">
            <v>0</v>
          </cell>
          <cell r="S52">
            <v>0</v>
          </cell>
          <cell r="T52">
            <v>7</v>
          </cell>
          <cell r="U52">
            <v>0.17499999999999999</v>
          </cell>
          <cell r="V52">
            <v>5</v>
          </cell>
          <cell r="W52">
            <v>0.7142857142857143</v>
          </cell>
          <cell r="X52">
            <v>0.12434640522875817</v>
          </cell>
        </row>
        <row r="53">
          <cell r="A53">
            <v>1831</v>
          </cell>
          <cell r="B53" t="str">
            <v>ARCACHON</v>
          </cell>
          <cell r="C53">
            <v>29</v>
          </cell>
          <cell r="D53">
            <v>0</v>
          </cell>
          <cell r="E53">
            <v>0</v>
          </cell>
          <cell r="F53">
            <v>3</v>
          </cell>
          <cell r="G53">
            <v>0.10344827586206896</v>
          </cell>
          <cell r="H53">
            <v>6</v>
          </cell>
          <cell r="I53">
            <v>0.8571428571428571</v>
          </cell>
          <cell r="J53">
            <v>33</v>
          </cell>
          <cell r="K53">
            <v>1</v>
          </cell>
          <cell r="L53">
            <v>1</v>
          </cell>
          <cell r="M53">
            <v>4</v>
          </cell>
          <cell r="N53">
            <v>0.12121212121212122</v>
          </cell>
          <cell r="O53">
            <v>6</v>
          </cell>
          <cell r="P53">
            <v>0.8571428571428571</v>
          </cell>
          <cell r="Q53">
            <v>11</v>
          </cell>
          <cell r="R53">
            <v>0</v>
          </cell>
          <cell r="S53">
            <v>0</v>
          </cell>
          <cell r="T53">
            <v>2</v>
          </cell>
          <cell r="U53">
            <v>0.18181818181818182</v>
          </cell>
          <cell r="V53">
            <v>2</v>
          </cell>
          <cell r="W53">
            <v>0.2857142857142857</v>
          </cell>
          <cell r="X53">
            <v>0.13549285963079066</v>
          </cell>
        </row>
        <row r="54">
          <cell r="A54">
            <v>51848</v>
          </cell>
          <cell r="B54" t="str">
            <v>Multisite LA TESTE DE BUCH</v>
          </cell>
          <cell r="C54">
            <v>69</v>
          </cell>
          <cell r="D54">
            <v>1</v>
          </cell>
          <cell r="E54">
            <v>1</v>
          </cell>
          <cell r="F54">
            <v>5</v>
          </cell>
          <cell r="G54">
            <v>7.2463768115942032E-2</v>
          </cell>
          <cell r="H54">
            <v>16</v>
          </cell>
          <cell r="I54">
            <v>2.2857142857142856</v>
          </cell>
          <cell r="J54">
            <v>65</v>
          </cell>
          <cell r="K54">
            <v>0</v>
          </cell>
          <cell r="L54">
            <v>3</v>
          </cell>
          <cell r="M54">
            <v>14</v>
          </cell>
          <cell r="N54">
            <v>0.2153846153846154</v>
          </cell>
          <cell r="O54">
            <v>5</v>
          </cell>
          <cell r="P54">
            <v>0.7142857142857143</v>
          </cell>
          <cell r="Q54">
            <v>22</v>
          </cell>
          <cell r="R54">
            <v>0</v>
          </cell>
          <cell r="S54">
            <v>0</v>
          </cell>
          <cell r="T54">
            <v>2</v>
          </cell>
          <cell r="U54">
            <v>9.0909090909090912E-2</v>
          </cell>
          <cell r="V54">
            <v>5</v>
          </cell>
          <cell r="W54">
            <v>0.7142857142857143</v>
          </cell>
          <cell r="X54">
            <v>0.12625249146988279</v>
          </cell>
        </row>
        <row r="55">
          <cell r="A55">
            <v>1848</v>
          </cell>
          <cell r="B55" t="str">
            <v>LA TESTE DE BUCH</v>
          </cell>
          <cell r="C55">
            <v>48</v>
          </cell>
          <cell r="D55">
            <v>0</v>
          </cell>
          <cell r="E55">
            <v>0</v>
          </cell>
          <cell r="F55">
            <v>2</v>
          </cell>
          <cell r="G55">
            <v>4.1666666666666664E-2</v>
          </cell>
          <cell r="H55">
            <v>12</v>
          </cell>
          <cell r="I55">
            <v>1.7142857142857142</v>
          </cell>
          <cell r="J55">
            <v>47</v>
          </cell>
          <cell r="K55">
            <v>0</v>
          </cell>
          <cell r="L55">
            <v>2</v>
          </cell>
          <cell r="M55">
            <v>10</v>
          </cell>
          <cell r="N55">
            <v>0.21276595744680851</v>
          </cell>
          <cell r="O55">
            <v>4</v>
          </cell>
          <cell r="P55">
            <v>0.5714285714285714</v>
          </cell>
          <cell r="Q55">
            <v>16</v>
          </cell>
          <cell r="R55">
            <v>0</v>
          </cell>
          <cell r="S55">
            <v>0</v>
          </cell>
          <cell r="T55">
            <v>1</v>
          </cell>
          <cell r="U55">
            <v>6.25E-2</v>
          </cell>
          <cell r="V55">
            <v>4</v>
          </cell>
          <cell r="W55">
            <v>0.5714285714285714</v>
          </cell>
          <cell r="X55">
            <v>0.10564420803782505</v>
          </cell>
        </row>
        <row r="56">
          <cell r="A56">
            <v>1870</v>
          </cell>
          <cell r="B56" t="str">
            <v>GUJAN MESTRAS</v>
          </cell>
          <cell r="C56">
            <v>21</v>
          </cell>
          <cell r="D56">
            <v>1</v>
          </cell>
          <cell r="E56">
            <v>1</v>
          </cell>
          <cell r="F56">
            <v>3</v>
          </cell>
          <cell r="G56">
            <v>0.14285714285714285</v>
          </cell>
          <cell r="H56">
            <v>4</v>
          </cell>
          <cell r="I56">
            <v>0.5714285714285714</v>
          </cell>
          <cell r="J56">
            <v>18</v>
          </cell>
          <cell r="K56">
            <v>0</v>
          </cell>
          <cell r="L56">
            <v>1</v>
          </cell>
          <cell r="M56">
            <v>4</v>
          </cell>
          <cell r="N56">
            <v>0.22222222222222221</v>
          </cell>
          <cell r="O56">
            <v>2</v>
          </cell>
          <cell r="P56">
            <v>0.2857142857142857</v>
          </cell>
          <cell r="Q56">
            <v>6</v>
          </cell>
          <cell r="R56">
            <v>0</v>
          </cell>
          <cell r="S56">
            <v>0</v>
          </cell>
          <cell r="T56">
            <v>1</v>
          </cell>
          <cell r="U56">
            <v>0.16666666666666666</v>
          </cell>
          <cell r="V56">
            <v>1</v>
          </cell>
          <cell r="W56">
            <v>0.14285714285714285</v>
          </cell>
          <cell r="X56">
            <v>0.17724867724867724</v>
          </cell>
        </row>
        <row r="57">
          <cell r="A57">
            <v>51852</v>
          </cell>
          <cell r="B57" t="str">
            <v>Multisite ANDERNOS LES BAINS</v>
          </cell>
          <cell r="C57">
            <v>50</v>
          </cell>
          <cell r="D57">
            <v>0</v>
          </cell>
          <cell r="E57">
            <v>1</v>
          </cell>
          <cell r="F57">
            <v>6</v>
          </cell>
          <cell r="G57">
            <v>0.12</v>
          </cell>
          <cell r="H57">
            <v>9</v>
          </cell>
          <cell r="I57">
            <v>1.2857142857142858</v>
          </cell>
          <cell r="J57">
            <v>52</v>
          </cell>
          <cell r="K57">
            <v>0</v>
          </cell>
          <cell r="L57">
            <v>0</v>
          </cell>
          <cell r="M57">
            <v>7</v>
          </cell>
          <cell r="N57">
            <v>0.13461538461538461</v>
          </cell>
          <cell r="O57">
            <v>9</v>
          </cell>
          <cell r="P57">
            <v>1.2857142857142858</v>
          </cell>
          <cell r="Q57">
            <v>18</v>
          </cell>
          <cell r="R57">
            <v>0</v>
          </cell>
          <cell r="S57">
            <v>0</v>
          </cell>
          <cell r="T57">
            <v>3</v>
          </cell>
          <cell r="U57">
            <v>0.16666666666666666</v>
          </cell>
          <cell r="V57">
            <v>3</v>
          </cell>
          <cell r="W57">
            <v>0.42857142857142855</v>
          </cell>
          <cell r="X57">
            <v>0.14042735042735041</v>
          </cell>
        </row>
        <row r="58">
          <cell r="A58">
            <v>1852</v>
          </cell>
          <cell r="B58" t="str">
            <v>ANDERNOS LES BAINS</v>
          </cell>
          <cell r="C58">
            <v>37</v>
          </cell>
          <cell r="D58">
            <v>0</v>
          </cell>
          <cell r="E58">
            <v>1</v>
          </cell>
          <cell r="F58">
            <v>4</v>
          </cell>
          <cell r="G58">
            <v>0.10810810810810811</v>
          </cell>
          <cell r="H58">
            <v>7</v>
          </cell>
          <cell r="I58">
            <v>1</v>
          </cell>
          <cell r="J58">
            <v>38</v>
          </cell>
          <cell r="K58">
            <v>0</v>
          </cell>
          <cell r="L58">
            <v>0</v>
          </cell>
          <cell r="M58">
            <v>7</v>
          </cell>
          <cell r="N58">
            <v>0.18421052631578946</v>
          </cell>
          <cell r="O58">
            <v>5</v>
          </cell>
          <cell r="P58">
            <v>0.7142857142857143</v>
          </cell>
          <cell r="Q58">
            <v>13</v>
          </cell>
          <cell r="R58">
            <v>0</v>
          </cell>
          <cell r="S58">
            <v>0</v>
          </cell>
          <cell r="T58">
            <v>3</v>
          </cell>
          <cell r="U58">
            <v>0.23076923076923078</v>
          </cell>
          <cell r="V58">
            <v>1</v>
          </cell>
          <cell r="W58">
            <v>0.14285714285714285</v>
          </cell>
          <cell r="X58">
            <v>0.17436262173104278</v>
          </cell>
        </row>
        <row r="59">
          <cell r="A59">
            <v>1873</v>
          </cell>
          <cell r="B59" t="str">
            <v>BIGANOS</v>
          </cell>
          <cell r="C59">
            <v>13</v>
          </cell>
          <cell r="D59">
            <v>0</v>
          </cell>
          <cell r="E59">
            <v>0</v>
          </cell>
          <cell r="F59">
            <v>2</v>
          </cell>
          <cell r="G59">
            <v>0.15384615384615385</v>
          </cell>
          <cell r="H59">
            <v>2</v>
          </cell>
          <cell r="I59">
            <v>0.2857142857142857</v>
          </cell>
          <cell r="J59">
            <v>14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5</v>
          </cell>
          <cell r="P59">
            <v>0.7142857142857143</v>
          </cell>
          <cell r="Q59">
            <v>5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2</v>
          </cell>
          <cell r="W59">
            <v>0.2857142857142857</v>
          </cell>
          <cell r="X59">
            <v>5.1282051282051287E-2</v>
          </cell>
        </row>
        <row r="60">
          <cell r="A60">
            <v>43741</v>
          </cell>
          <cell r="B60" t="str">
            <v>DGA BORDEAUX RIVE DROITE</v>
          </cell>
          <cell r="C60">
            <v>183</v>
          </cell>
          <cell r="D60">
            <v>0</v>
          </cell>
          <cell r="E60">
            <v>0</v>
          </cell>
          <cell r="F60">
            <v>22</v>
          </cell>
          <cell r="G60">
            <v>0.12021857923497267</v>
          </cell>
          <cell r="H60">
            <v>32</v>
          </cell>
          <cell r="I60">
            <v>4.5714285714285712</v>
          </cell>
          <cell r="J60">
            <v>346</v>
          </cell>
          <cell r="K60">
            <v>1</v>
          </cell>
          <cell r="L60">
            <v>7</v>
          </cell>
          <cell r="M60">
            <v>68</v>
          </cell>
          <cell r="N60">
            <v>0.19653179190751446</v>
          </cell>
          <cell r="O60">
            <v>33</v>
          </cell>
          <cell r="P60">
            <v>4.7142857142857144</v>
          </cell>
          <cell r="Q60">
            <v>51</v>
          </cell>
          <cell r="R60">
            <v>0</v>
          </cell>
          <cell r="S60">
            <v>2</v>
          </cell>
          <cell r="T60">
            <v>10</v>
          </cell>
          <cell r="U60">
            <v>0.19607843137254902</v>
          </cell>
          <cell r="V60">
            <v>5</v>
          </cell>
          <cell r="W60">
            <v>0.7142857142857143</v>
          </cell>
          <cell r="X60">
            <v>0.17094293417167872</v>
          </cell>
        </row>
        <row r="61">
          <cell r="A61">
            <v>1834</v>
          </cell>
          <cell r="B61" t="str">
            <v>LANGON</v>
          </cell>
          <cell r="C61">
            <v>28</v>
          </cell>
          <cell r="D61">
            <v>0</v>
          </cell>
          <cell r="E61">
            <v>0</v>
          </cell>
          <cell r="F61">
            <v>5</v>
          </cell>
          <cell r="G61">
            <v>0.17857142857142858</v>
          </cell>
          <cell r="H61">
            <v>4</v>
          </cell>
          <cell r="I61">
            <v>0.5714285714285714</v>
          </cell>
          <cell r="J61">
            <v>35</v>
          </cell>
          <cell r="K61">
            <v>0</v>
          </cell>
          <cell r="L61">
            <v>0</v>
          </cell>
          <cell r="M61">
            <v>7</v>
          </cell>
          <cell r="N61">
            <v>0.2</v>
          </cell>
          <cell r="O61">
            <v>4</v>
          </cell>
          <cell r="P61">
            <v>0.5714285714285714</v>
          </cell>
          <cell r="Q61">
            <v>12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4</v>
          </cell>
          <cell r="W61">
            <v>0.5714285714285714</v>
          </cell>
          <cell r="X61">
            <v>0.12619047619047619</v>
          </cell>
        </row>
        <row r="62">
          <cell r="A62">
            <v>51835</v>
          </cell>
          <cell r="B62" t="str">
            <v>Multisite LIBOURNE</v>
          </cell>
          <cell r="C62">
            <v>76</v>
          </cell>
          <cell r="D62">
            <v>0</v>
          </cell>
          <cell r="E62">
            <v>0</v>
          </cell>
          <cell r="F62">
            <v>5</v>
          </cell>
          <cell r="G62">
            <v>6.5789473684210523E-2</v>
          </cell>
          <cell r="H62">
            <v>18</v>
          </cell>
          <cell r="I62">
            <v>2.5714285714285716</v>
          </cell>
          <cell r="J62">
            <v>94</v>
          </cell>
          <cell r="K62">
            <v>1</v>
          </cell>
          <cell r="L62">
            <v>3</v>
          </cell>
          <cell r="M62">
            <v>30</v>
          </cell>
          <cell r="N62">
            <v>0.31914893617021278</v>
          </cell>
          <cell r="O62">
            <v>0</v>
          </cell>
          <cell r="P62">
            <v>0</v>
          </cell>
          <cell r="Q62">
            <v>25</v>
          </cell>
          <cell r="R62">
            <v>0</v>
          </cell>
          <cell r="S62">
            <v>0</v>
          </cell>
          <cell r="T62">
            <v>2</v>
          </cell>
          <cell r="U62">
            <v>0.08</v>
          </cell>
          <cell r="V62">
            <v>6</v>
          </cell>
          <cell r="W62">
            <v>0.8571428571428571</v>
          </cell>
          <cell r="X62">
            <v>0.15497946995147444</v>
          </cell>
        </row>
        <row r="63">
          <cell r="A63">
            <v>1825</v>
          </cell>
          <cell r="B63" t="str">
            <v>SAINT ANDRE DE CUBZAC</v>
          </cell>
          <cell r="C63">
            <v>10</v>
          </cell>
          <cell r="D63">
            <v>0</v>
          </cell>
          <cell r="E63">
            <v>0</v>
          </cell>
          <cell r="F63">
            <v>2</v>
          </cell>
          <cell r="G63">
            <v>0.2</v>
          </cell>
          <cell r="H63">
            <v>1</v>
          </cell>
          <cell r="I63">
            <v>0.14285714285714285</v>
          </cell>
          <cell r="J63">
            <v>9</v>
          </cell>
          <cell r="K63">
            <v>0</v>
          </cell>
          <cell r="L63">
            <v>0</v>
          </cell>
          <cell r="M63">
            <v>9</v>
          </cell>
          <cell r="N63">
            <v>0.44</v>
          </cell>
          <cell r="O63">
            <v>0</v>
          </cell>
          <cell r="P63">
            <v>0</v>
          </cell>
          <cell r="Q63">
            <v>2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1</v>
          </cell>
          <cell r="W63">
            <v>0.14285714285714285</v>
          </cell>
          <cell r="X63">
            <v>0.21333333333333335</v>
          </cell>
        </row>
        <row r="64">
          <cell r="A64">
            <v>1835</v>
          </cell>
          <cell r="B64" t="str">
            <v>LIBOURNE</v>
          </cell>
          <cell r="C64">
            <v>43</v>
          </cell>
          <cell r="D64">
            <v>0</v>
          </cell>
          <cell r="E64">
            <v>0</v>
          </cell>
          <cell r="F64">
            <v>2</v>
          </cell>
          <cell r="G64">
            <v>4.6511627906976744E-2</v>
          </cell>
          <cell r="H64">
            <v>11</v>
          </cell>
          <cell r="I64">
            <v>1.5714285714285714</v>
          </cell>
          <cell r="J64">
            <v>43</v>
          </cell>
          <cell r="K64">
            <v>1</v>
          </cell>
          <cell r="L64">
            <v>2</v>
          </cell>
          <cell r="M64">
            <v>8</v>
          </cell>
          <cell r="N64">
            <v>0.18604651162790697</v>
          </cell>
          <cell r="O64">
            <v>5</v>
          </cell>
          <cell r="P64">
            <v>0.7142857142857143</v>
          </cell>
          <cell r="Q64">
            <v>12</v>
          </cell>
          <cell r="R64">
            <v>0</v>
          </cell>
          <cell r="S64">
            <v>0</v>
          </cell>
          <cell r="T64">
            <v>2</v>
          </cell>
          <cell r="U64">
            <v>0.16666666666666666</v>
          </cell>
          <cell r="V64">
            <v>2</v>
          </cell>
          <cell r="W64">
            <v>0.2857142857142857</v>
          </cell>
          <cell r="X64">
            <v>0.13307493540051679</v>
          </cell>
        </row>
        <row r="65">
          <cell r="A65">
            <v>1878</v>
          </cell>
          <cell r="B65" t="str">
            <v>SAINT EMILION</v>
          </cell>
          <cell r="C65">
            <v>23</v>
          </cell>
          <cell r="D65">
            <v>0</v>
          </cell>
          <cell r="E65">
            <v>0</v>
          </cell>
          <cell r="F65">
            <v>1</v>
          </cell>
          <cell r="G65">
            <v>4.3478260869565216E-2</v>
          </cell>
          <cell r="H65">
            <v>6</v>
          </cell>
          <cell r="I65">
            <v>0.8571428571428571</v>
          </cell>
          <cell r="J65">
            <v>42</v>
          </cell>
          <cell r="K65">
            <v>0</v>
          </cell>
          <cell r="L65">
            <v>1</v>
          </cell>
          <cell r="M65">
            <v>13</v>
          </cell>
          <cell r="N65">
            <v>0.30952380952380953</v>
          </cell>
          <cell r="O65">
            <v>0</v>
          </cell>
          <cell r="P65">
            <v>0</v>
          </cell>
          <cell r="Q65">
            <v>11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4</v>
          </cell>
          <cell r="W65">
            <v>0.5714285714285714</v>
          </cell>
          <cell r="X65">
            <v>0.11766735679779157</v>
          </cell>
        </row>
        <row r="66">
          <cell r="A66">
            <v>1836</v>
          </cell>
          <cell r="B66" t="str">
            <v>BORDEAUX LA BASTIDE</v>
          </cell>
          <cell r="C66">
            <v>44</v>
          </cell>
          <cell r="D66">
            <v>0</v>
          </cell>
          <cell r="E66">
            <v>0</v>
          </cell>
          <cell r="F66">
            <v>6</v>
          </cell>
          <cell r="G66">
            <v>0.13636363636363635</v>
          </cell>
          <cell r="H66">
            <v>7</v>
          </cell>
          <cell r="I66">
            <v>1</v>
          </cell>
          <cell r="J66">
            <v>40</v>
          </cell>
          <cell r="K66">
            <v>0</v>
          </cell>
          <cell r="L66">
            <v>4</v>
          </cell>
          <cell r="M66">
            <v>21</v>
          </cell>
          <cell r="N66">
            <v>0.44</v>
          </cell>
          <cell r="O66">
            <v>0</v>
          </cell>
          <cell r="P66">
            <v>0</v>
          </cell>
          <cell r="Q66">
            <v>10</v>
          </cell>
          <cell r="R66">
            <v>0</v>
          </cell>
          <cell r="S66">
            <v>0</v>
          </cell>
          <cell r="T66">
            <v>4</v>
          </cell>
          <cell r="U66">
            <v>0.4</v>
          </cell>
          <cell r="V66">
            <v>0</v>
          </cell>
          <cell r="W66">
            <v>0</v>
          </cell>
          <cell r="X66">
            <v>0.3254545454545455</v>
          </cell>
        </row>
        <row r="67">
          <cell r="A67">
            <v>51853</v>
          </cell>
          <cell r="B67" t="str">
            <v>Multisite CENON</v>
          </cell>
          <cell r="C67">
            <v>35</v>
          </cell>
          <cell r="D67">
            <v>0</v>
          </cell>
          <cell r="E67">
            <v>0</v>
          </cell>
          <cell r="F67">
            <v>6</v>
          </cell>
          <cell r="G67">
            <v>0.17142857142857143</v>
          </cell>
          <cell r="H67">
            <v>5</v>
          </cell>
          <cell r="I67">
            <v>0.7142857142857143</v>
          </cell>
          <cell r="J67">
            <v>36</v>
          </cell>
          <cell r="K67">
            <v>0</v>
          </cell>
          <cell r="L67">
            <v>0</v>
          </cell>
          <cell r="M67">
            <v>10</v>
          </cell>
          <cell r="N67">
            <v>0.27777777777777779</v>
          </cell>
          <cell r="O67">
            <v>1</v>
          </cell>
          <cell r="P67">
            <v>0.14285714285714285</v>
          </cell>
          <cell r="Q67">
            <v>10</v>
          </cell>
          <cell r="R67">
            <v>0</v>
          </cell>
          <cell r="S67">
            <v>2</v>
          </cell>
          <cell r="T67">
            <v>4</v>
          </cell>
          <cell r="U67">
            <v>0.4</v>
          </cell>
          <cell r="V67">
            <v>0</v>
          </cell>
          <cell r="W67">
            <v>0</v>
          </cell>
          <cell r="X67">
            <v>0.28306878306878308</v>
          </cell>
        </row>
        <row r="68">
          <cell r="A68">
            <v>1824</v>
          </cell>
          <cell r="B68" t="str">
            <v>AMBARES ET LAGRAVE</v>
          </cell>
          <cell r="C68">
            <v>10</v>
          </cell>
          <cell r="D68">
            <v>0</v>
          </cell>
          <cell r="E68">
            <v>0</v>
          </cell>
          <cell r="F68">
            <v>3</v>
          </cell>
          <cell r="G68">
            <v>0.3</v>
          </cell>
          <cell r="H68">
            <v>0</v>
          </cell>
          <cell r="I68">
            <v>0</v>
          </cell>
          <cell r="J68">
            <v>8</v>
          </cell>
          <cell r="K68">
            <v>0</v>
          </cell>
          <cell r="L68">
            <v>0</v>
          </cell>
          <cell r="M68">
            <v>2</v>
          </cell>
          <cell r="N68">
            <v>0.25</v>
          </cell>
          <cell r="O68">
            <v>1</v>
          </cell>
          <cell r="P68">
            <v>0.14285714285714285</v>
          </cell>
          <cell r="Q68">
            <v>2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1</v>
          </cell>
          <cell r="W68">
            <v>0.14285714285714285</v>
          </cell>
          <cell r="X68">
            <v>0.18333333333333335</v>
          </cell>
        </row>
        <row r="69">
          <cell r="A69">
            <v>1853</v>
          </cell>
          <cell r="B69" t="str">
            <v>CENON</v>
          </cell>
          <cell r="C69">
            <v>25</v>
          </cell>
          <cell r="D69">
            <v>0</v>
          </cell>
          <cell r="E69">
            <v>0</v>
          </cell>
          <cell r="F69">
            <v>3</v>
          </cell>
          <cell r="G69">
            <v>0.12</v>
          </cell>
          <cell r="H69">
            <v>5</v>
          </cell>
          <cell r="I69">
            <v>0.7142857142857143</v>
          </cell>
          <cell r="J69">
            <v>28</v>
          </cell>
          <cell r="K69">
            <v>0</v>
          </cell>
          <cell r="L69">
            <v>0</v>
          </cell>
          <cell r="M69">
            <v>8</v>
          </cell>
          <cell r="N69">
            <v>0.2857142857142857</v>
          </cell>
          <cell r="O69">
            <v>1</v>
          </cell>
          <cell r="P69">
            <v>0.14285714285714285</v>
          </cell>
          <cell r="Q69">
            <v>8</v>
          </cell>
          <cell r="R69">
            <v>0</v>
          </cell>
          <cell r="S69">
            <v>2</v>
          </cell>
          <cell r="T69">
            <v>4</v>
          </cell>
          <cell r="U69">
            <v>0.44</v>
          </cell>
          <cell r="V69">
            <v>0</v>
          </cell>
          <cell r="W69">
            <v>0</v>
          </cell>
          <cell r="X69">
            <v>0.28190476190476188</v>
          </cell>
        </row>
        <row r="70">
          <cell r="A70">
            <v>43733</v>
          </cell>
          <cell r="B70" t="str">
            <v>DGA LOT ET GARONNE</v>
          </cell>
          <cell r="C70">
            <v>80</v>
          </cell>
          <cell r="D70">
            <v>0</v>
          </cell>
          <cell r="E70">
            <v>0</v>
          </cell>
          <cell r="F70">
            <v>7</v>
          </cell>
          <cell r="G70">
            <v>8.7499999999999994E-2</v>
          </cell>
          <cell r="H70">
            <v>17</v>
          </cell>
          <cell r="I70">
            <v>2.4285714285714284</v>
          </cell>
          <cell r="J70">
            <v>137</v>
          </cell>
          <cell r="K70">
            <v>0</v>
          </cell>
          <cell r="L70">
            <v>6</v>
          </cell>
          <cell r="M70">
            <v>23</v>
          </cell>
          <cell r="N70">
            <v>0.16788321167883211</v>
          </cell>
          <cell r="O70">
            <v>17</v>
          </cell>
          <cell r="P70">
            <v>2.4285714285714284</v>
          </cell>
          <cell r="Q70">
            <v>27</v>
          </cell>
          <cell r="R70">
            <v>0</v>
          </cell>
          <cell r="S70">
            <v>0</v>
          </cell>
          <cell r="T70">
            <v>7</v>
          </cell>
          <cell r="U70">
            <v>0.25925925925925924</v>
          </cell>
          <cell r="V70">
            <v>1</v>
          </cell>
          <cell r="W70">
            <v>0.14285714285714285</v>
          </cell>
          <cell r="X70">
            <v>0.17154749031269712</v>
          </cell>
        </row>
        <row r="71">
          <cell r="A71">
            <v>51200</v>
          </cell>
          <cell r="B71" t="str">
            <v>Multisite AGEN</v>
          </cell>
          <cell r="C71">
            <v>43</v>
          </cell>
          <cell r="D71">
            <v>0</v>
          </cell>
          <cell r="E71">
            <v>0</v>
          </cell>
          <cell r="F71">
            <v>3</v>
          </cell>
          <cell r="G71">
            <v>6.9767441860465115E-2</v>
          </cell>
          <cell r="H71">
            <v>10</v>
          </cell>
          <cell r="I71">
            <v>1.4285714285714286</v>
          </cell>
          <cell r="J71">
            <v>55</v>
          </cell>
          <cell r="K71">
            <v>0</v>
          </cell>
          <cell r="L71">
            <v>5</v>
          </cell>
          <cell r="M71">
            <v>15</v>
          </cell>
          <cell r="N71">
            <v>0.27272727272727271</v>
          </cell>
          <cell r="O71">
            <v>1</v>
          </cell>
          <cell r="P71">
            <v>0.14285714285714285</v>
          </cell>
          <cell r="Q71">
            <v>15</v>
          </cell>
          <cell r="R71">
            <v>0</v>
          </cell>
          <cell r="S71">
            <v>0</v>
          </cell>
          <cell r="T71">
            <v>4</v>
          </cell>
          <cell r="U71">
            <v>0.26666666666666666</v>
          </cell>
          <cell r="V71">
            <v>1</v>
          </cell>
          <cell r="W71">
            <v>0.14285714285714285</v>
          </cell>
          <cell r="X71">
            <v>0.20305379375146818</v>
          </cell>
        </row>
        <row r="72">
          <cell r="A72">
            <v>1200</v>
          </cell>
          <cell r="B72" t="str">
            <v>AGEN</v>
          </cell>
          <cell r="C72">
            <v>22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7</v>
          </cell>
          <cell r="I72">
            <v>1</v>
          </cell>
          <cell r="J72">
            <v>27</v>
          </cell>
          <cell r="K72">
            <v>0</v>
          </cell>
          <cell r="L72">
            <v>1</v>
          </cell>
          <cell r="M72">
            <v>6</v>
          </cell>
          <cell r="N72">
            <v>0.22222222222222221</v>
          </cell>
          <cell r="O72">
            <v>2</v>
          </cell>
          <cell r="P72">
            <v>0.2857142857142857</v>
          </cell>
          <cell r="Q72">
            <v>6</v>
          </cell>
          <cell r="R72">
            <v>0</v>
          </cell>
          <cell r="S72">
            <v>0</v>
          </cell>
          <cell r="T72">
            <v>2</v>
          </cell>
          <cell r="U72">
            <v>0.33333333333333331</v>
          </cell>
          <cell r="V72">
            <v>0</v>
          </cell>
          <cell r="W72">
            <v>0</v>
          </cell>
          <cell r="X72">
            <v>0.1851851851851852</v>
          </cell>
        </row>
        <row r="73">
          <cell r="A73">
            <v>1236</v>
          </cell>
          <cell r="B73" t="str">
            <v>AGEN QUARTIER DE LA PORTE DU PIN</v>
          </cell>
          <cell r="C73">
            <v>7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3</v>
          </cell>
          <cell r="I73">
            <v>0.42857142857142855</v>
          </cell>
          <cell r="J73">
            <v>10</v>
          </cell>
          <cell r="K73">
            <v>0</v>
          </cell>
          <cell r="L73">
            <v>2</v>
          </cell>
          <cell r="M73">
            <v>3</v>
          </cell>
          <cell r="N73">
            <v>0.3</v>
          </cell>
          <cell r="O73">
            <v>0</v>
          </cell>
          <cell r="P73">
            <v>0</v>
          </cell>
          <cell r="Q73">
            <v>4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2</v>
          </cell>
          <cell r="W73">
            <v>0.2857142857142857</v>
          </cell>
          <cell r="X73">
            <v>9.9999999999999992E-2</v>
          </cell>
        </row>
        <row r="74">
          <cell r="A74">
            <v>1237</v>
          </cell>
          <cell r="B74" t="str">
            <v>NERAC</v>
          </cell>
          <cell r="C74">
            <v>7</v>
          </cell>
          <cell r="D74">
            <v>0</v>
          </cell>
          <cell r="E74">
            <v>0</v>
          </cell>
          <cell r="F74">
            <v>2</v>
          </cell>
          <cell r="G74">
            <v>0.2857142857142857</v>
          </cell>
          <cell r="H74">
            <v>1</v>
          </cell>
          <cell r="I74">
            <v>0.14285714285714285</v>
          </cell>
          <cell r="J74">
            <v>9</v>
          </cell>
          <cell r="K74">
            <v>0</v>
          </cell>
          <cell r="L74">
            <v>2</v>
          </cell>
          <cell r="M74">
            <v>4</v>
          </cell>
          <cell r="N74">
            <v>0.44</v>
          </cell>
          <cell r="O74">
            <v>0</v>
          </cell>
          <cell r="P74">
            <v>0</v>
          </cell>
          <cell r="Q74">
            <v>2</v>
          </cell>
          <cell r="R74">
            <v>0</v>
          </cell>
          <cell r="S74">
            <v>0</v>
          </cell>
          <cell r="T74">
            <v>1</v>
          </cell>
          <cell r="U74">
            <v>0.44</v>
          </cell>
          <cell r="V74">
            <v>0</v>
          </cell>
          <cell r="W74">
            <v>0</v>
          </cell>
          <cell r="X74">
            <v>0.38857142857142857</v>
          </cell>
        </row>
        <row r="75">
          <cell r="A75">
            <v>1240</v>
          </cell>
          <cell r="B75" t="str">
            <v>LE PASSAGE D'AGEN</v>
          </cell>
          <cell r="C75">
            <v>7</v>
          </cell>
          <cell r="D75">
            <v>0</v>
          </cell>
          <cell r="E75">
            <v>0</v>
          </cell>
          <cell r="F75">
            <v>1</v>
          </cell>
          <cell r="G75">
            <v>0.14285714285714285</v>
          </cell>
          <cell r="H75">
            <v>2</v>
          </cell>
          <cell r="I75">
            <v>0.2857142857142857</v>
          </cell>
          <cell r="J75">
            <v>9</v>
          </cell>
          <cell r="K75">
            <v>0</v>
          </cell>
          <cell r="L75">
            <v>0</v>
          </cell>
          <cell r="M75">
            <v>2</v>
          </cell>
          <cell r="N75">
            <v>0.22222222222222221</v>
          </cell>
          <cell r="O75">
            <v>1</v>
          </cell>
          <cell r="P75">
            <v>0.14285714285714285</v>
          </cell>
          <cell r="Q75">
            <v>3</v>
          </cell>
          <cell r="R75">
            <v>0</v>
          </cell>
          <cell r="S75">
            <v>0</v>
          </cell>
          <cell r="T75">
            <v>1</v>
          </cell>
          <cell r="U75">
            <v>0.33333333333333331</v>
          </cell>
          <cell r="V75">
            <v>0</v>
          </cell>
          <cell r="W75">
            <v>0</v>
          </cell>
          <cell r="X75">
            <v>0.23280423280423279</v>
          </cell>
        </row>
        <row r="76">
          <cell r="A76">
            <v>51232</v>
          </cell>
          <cell r="B76" t="str">
            <v>Multisite MARMANDE</v>
          </cell>
          <cell r="C76">
            <v>24</v>
          </cell>
          <cell r="D76">
            <v>0</v>
          </cell>
          <cell r="E76">
            <v>0</v>
          </cell>
          <cell r="F76">
            <v>3</v>
          </cell>
          <cell r="G76">
            <v>0.125</v>
          </cell>
          <cell r="H76">
            <v>4</v>
          </cell>
          <cell r="I76">
            <v>0.5714285714285714</v>
          </cell>
          <cell r="J76">
            <v>28</v>
          </cell>
          <cell r="K76">
            <v>0</v>
          </cell>
          <cell r="L76">
            <v>1</v>
          </cell>
          <cell r="M76">
            <v>5</v>
          </cell>
          <cell r="N76">
            <v>0.17857142857142858</v>
          </cell>
          <cell r="O76">
            <v>4</v>
          </cell>
          <cell r="P76">
            <v>0.5714285714285714</v>
          </cell>
          <cell r="Q76">
            <v>8</v>
          </cell>
          <cell r="R76">
            <v>0</v>
          </cell>
          <cell r="S76">
            <v>0</v>
          </cell>
          <cell r="T76">
            <v>3</v>
          </cell>
          <cell r="U76">
            <v>0.375</v>
          </cell>
          <cell r="V76">
            <v>0</v>
          </cell>
          <cell r="W76">
            <v>0</v>
          </cell>
          <cell r="X76">
            <v>0.22619047619047619</v>
          </cell>
        </row>
        <row r="77">
          <cell r="A77">
            <v>1232</v>
          </cell>
          <cell r="B77" t="str">
            <v>MARMANDE</v>
          </cell>
          <cell r="C77">
            <v>20</v>
          </cell>
          <cell r="D77">
            <v>0</v>
          </cell>
          <cell r="E77">
            <v>0</v>
          </cell>
          <cell r="F77">
            <v>3</v>
          </cell>
          <cell r="G77">
            <v>0.15</v>
          </cell>
          <cell r="H77">
            <v>3</v>
          </cell>
          <cell r="I77">
            <v>0.42857142857142855</v>
          </cell>
          <cell r="J77">
            <v>24</v>
          </cell>
          <cell r="K77">
            <v>0</v>
          </cell>
          <cell r="L77">
            <v>1</v>
          </cell>
          <cell r="M77">
            <v>5</v>
          </cell>
          <cell r="N77">
            <v>0.20833333333333334</v>
          </cell>
          <cell r="O77">
            <v>2</v>
          </cell>
          <cell r="P77">
            <v>0.2857142857142857</v>
          </cell>
          <cell r="Q77">
            <v>6</v>
          </cell>
          <cell r="R77">
            <v>0</v>
          </cell>
          <cell r="S77">
            <v>0</v>
          </cell>
          <cell r="T77">
            <v>2</v>
          </cell>
          <cell r="U77">
            <v>0.33333333333333331</v>
          </cell>
          <cell r="V77">
            <v>0</v>
          </cell>
          <cell r="W77">
            <v>0</v>
          </cell>
          <cell r="X77">
            <v>0.23055555555555554</v>
          </cell>
        </row>
        <row r="78">
          <cell r="A78">
            <v>1239</v>
          </cell>
          <cell r="B78" t="str">
            <v>TONNEINS</v>
          </cell>
          <cell r="C78">
            <v>4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2</v>
          </cell>
          <cell r="I78">
            <v>0.2857142857142857</v>
          </cell>
          <cell r="J78">
            <v>4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2</v>
          </cell>
          <cell r="P78">
            <v>0.2857142857142857</v>
          </cell>
          <cell r="Q78">
            <v>2</v>
          </cell>
          <cell r="R78">
            <v>0</v>
          </cell>
          <cell r="S78">
            <v>0</v>
          </cell>
          <cell r="T78">
            <v>1</v>
          </cell>
          <cell r="U78">
            <v>0.44</v>
          </cell>
          <cell r="V78">
            <v>0</v>
          </cell>
          <cell r="W78">
            <v>0</v>
          </cell>
          <cell r="X78">
            <v>0.14666666666666667</v>
          </cell>
        </row>
        <row r="79">
          <cell r="A79">
            <v>1235</v>
          </cell>
          <cell r="B79" t="str">
            <v>VILLENEUVE SUR LOT</v>
          </cell>
          <cell r="C79">
            <v>13</v>
          </cell>
          <cell r="D79">
            <v>0</v>
          </cell>
          <cell r="E79">
            <v>0</v>
          </cell>
          <cell r="F79">
            <v>1</v>
          </cell>
          <cell r="G79">
            <v>7.6923076923076927E-2</v>
          </cell>
          <cell r="H79">
            <v>3</v>
          </cell>
          <cell r="I79">
            <v>0.42857142857142855</v>
          </cell>
          <cell r="J79">
            <v>17</v>
          </cell>
          <cell r="K79">
            <v>0</v>
          </cell>
          <cell r="L79">
            <v>0</v>
          </cell>
          <cell r="M79">
            <v>3</v>
          </cell>
          <cell r="N79">
            <v>0.17647058823529413</v>
          </cell>
          <cell r="O79">
            <v>2</v>
          </cell>
          <cell r="P79">
            <v>0.2857142857142857</v>
          </cell>
          <cell r="Q79">
            <v>5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2</v>
          </cell>
          <cell r="W79">
            <v>0.2857142857142857</v>
          </cell>
          <cell r="X79">
            <v>8.4464555052790338E-2</v>
          </cell>
        </row>
        <row r="80">
          <cell r="A80">
            <v>43763</v>
          </cell>
          <cell r="B80" t="str">
            <v>DGA LANDES NORD</v>
          </cell>
          <cell r="C80">
            <v>89</v>
          </cell>
          <cell r="D80">
            <v>1</v>
          </cell>
          <cell r="E80">
            <v>3</v>
          </cell>
          <cell r="F80">
            <v>17</v>
          </cell>
          <cell r="G80">
            <v>0.19101123595505617</v>
          </cell>
          <cell r="H80">
            <v>9</v>
          </cell>
          <cell r="I80">
            <v>1.2857142857142858</v>
          </cell>
          <cell r="J80">
            <v>168</v>
          </cell>
          <cell r="K80">
            <v>1</v>
          </cell>
          <cell r="L80">
            <v>2</v>
          </cell>
          <cell r="M80">
            <v>22</v>
          </cell>
          <cell r="N80">
            <v>0.13095238095238096</v>
          </cell>
          <cell r="O80">
            <v>27</v>
          </cell>
          <cell r="P80">
            <v>3.8571428571428572</v>
          </cell>
          <cell r="Q80">
            <v>44</v>
          </cell>
          <cell r="R80">
            <v>2</v>
          </cell>
          <cell r="S80">
            <v>3</v>
          </cell>
          <cell r="T80">
            <v>8</v>
          </cell>
          <cell r="U80">
            <v>0.18181818181818182</v>
          </cell>
          <cell r="V80">
            <v>5</v>
          </cell>
          <cell r="W80">
            <v>0.7142857142857143</v>
          </cell>
          <cell r="X80">
            <v>0.16792726624187301</v>
          </cell>
        </row>
        <row r="81">
          <cell r="A81">
            <v>51734</v>
          </cell>
          <cell r="B81" t="str">
            <v>Multisite MONT DE MARSAN</v>
          </cell>
          <cell r="C81">
            <v>46</v>
          </cell>
          <cell r="D81">
            <v>0</v>
          </cell>
          <cell r="E81">
            <v>0</v>
          </cell>
          <cell r="F81">
            <v>7</v>
          </cell>
          <cell r="G81">
            <v>0.15217391304347827</v>
          </cell>
          <cell r="H81">
            <v>7</v>
          </cell>
          <cell r="I81">
            <v>1</v>
          </cell>
          <cell r="J81">
            <v>67</v>
          </cell>
          <cell r="K81">
            <v>0</v>
          </cell>
          <cell r="L81">
            <v>0</v>
          </cell>
          <cell r="M81">
            <v>10</v>
          </cell>
          <cell r="N81">
            <v>0.14925373134328357</v>
          </cell>
          <cell r="O81">
            <v>10</v>
          </cell>
          <cell r="P81">
            <v>1.4285714285714286</v>
          </cell>
          <cell r="Q81">
            <v>27</v>
          </cell>
          <cell r="R81">
            <v>2</v>
          </cell>
          <cell r="S81">
            <v>3</v>
          </cell>
          <cell r="T81">
            <v>6</v>
          </cell>
          <cell r="U81">
            <v>0.22222222222222221</v>
          </cell>
          <cell r="V81">
            <v>2</v>
          </cell>
          <cell r="W81">
            <v>0.2857142857142857</v>
          </cell>
          <cell r="X81">
            <v>0.17454995553632802</v>
          </cell>
        </row>
        <row r="82">
          <cell r="A82">
            <v>1734</v>
          </cell>
          <cell r="B82" t="str">
            <v>MONT DE MARSAN</v>
          </cell>
          <cell r="C82">
            <v>32</v>
          </cell>
          <cell r="D82">
            <v>0</v>
          </cell>
          <cell r="E82">
            <v>0</v>
          </cell>
          <cell r="F82">
            <v>6</v>
          </cell>
          <cell r="G82">
            <v>0.1875</v>
          </cell>
          <cell r="H82">
            <v>4</v>
          </cell>
          <cell r="I82">
            <v>0.5714285714285714</v>
          </cell>
          <cell r="J82">
            <v>46</v>
          </cell>
          <cell r="K82">
            <v>0</v>
          </cell>
          <cell r="L82">
            <v>0</v>
          </cell>
          <cell r="M82">
            <v>5</v>
          </cell>
          <cell r="N82">
            <v>0.10869565217391304</v>
          </cell>
          <cell r="O82">
            <v>9</v>
          </cell>
          <cell r="P82">
            <v>1.2857142857142858</v>
          </cell>
          <cell r="Q82">
            <v>19</v>
          </cell>
          <cell r="R82">
            <v>1</v>
          </cell>
          <cell r="S82">
            <v>1</v>
          </cell>
          <cell r="T82">
            <v>3</v>
          </cell>
          <cell r="U82">
            <v>0.15789473684210525</v>
          </cell>
          <cell r="V82">
            <v>3</v>
          </cell>
          <cell r="W82">
            <v>0.42857142857142855</v>
          </cell>
          <cell r="X82">
            <v>0.15136346300533943</v>
          </cell>
        </row>
        <row r="83">
          <cell r="A83">
            <v>1739</v>
          </cell>
          <cell r="B83" t="str">
            <v>HAGETMAU</v>
          </cell>
          <cell r="C83">
            <v>7</v>
          </cell>
          <cell r="D83">
            <v>0</v>
          </cell>
          <cell r="E83">
            <v>0</v>
          </cell>
          <cell r="F83">
            <v>1</v>
          </cell>
          <cell r="G83">
            <v>0.14285714285714285</v>
          </cell>
          <cell r="H83">
            <v>2</v>
          </cell>
          <cell r="I83">
            <v>0.2857142857142857</v>
          </cell>
          <cell r="J83">
            <v>10</v>
          </cell>
          <cell r="K83">
            <v>0</v>
          </cell>
          <cell r="L83">
            <v>0</v>
          </cell>
          <cell r="M83">
            <v>1</v>
          </cell>
          <cell r="N83">
            <v>0.1</v>
          </cell>
          <cell r="O83">
            <v>2</v>
          </cell>
          <cell r="P83">
            <v>0.2857142857142857</v>
          </cell>
          <cell r="Q83">
            <v>4</v>
          </cell>
          <cell r="R83">
            <v>0</v>
          </cell>
          <cell r="S83">
            <v>0</v>
          </cell>
          <cell r="T83">
            <v>1</v>
          </cell>
          <cell r="U83">
            <v>0.25</v>
          </cell>
          <cell r="V83">
            <v>1</v>
          </cell>
          <cell r="W83">
            <v>0.14285714285714285</v>
          </cell>
          <cell r="X83">
            <v>0.16428571428571428</v>
          </cell>
        </row>
        <row r="84">
          <cell r="A84">
            <v>1748</v>
          </cell>
          <cell r="B84" t="str">
            <v>AIRE SUR L'ADOUR</v>
          </cell>
          <cell r="C84">
            <v>7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3</v>
          </cell>
          <cell r="I84">
            <v>0.42857142857142855</v>
          </cell>
          <cell r="J84">
            <v>11</v>
          </cell>
          <cell r="K84">
            <v>0</v>
          </cell>
          <cell r="L84">
            <v>0</v>
          </cell>
          <cell r="M84">
            <v>4</v>
          </cell>
          <cell r="N84">
            <v>0.36363636363636365</v>
          </cell>
          <cell r="O84">
            <v>0</v>
          </cell>
          <cell r="P84">
            <v>0</v>
          </cell>
          <cell r="Q84">
            <v>4</v>
          </cell>
          <cell r="R84">
            <v>1</v>
          </cell>
          <cell r="S84">
            <v>2</v>
          </cell>
          <cell r="T84">
            <v>2</v>
          </cell>
          <cell r="U84">
            <v>0.44</v>
          </cell>
          <cell r="V84">
            <v>0</v>
          </cell>
          <cell r="W84">
            <v>0</v>
          </cell>
          <cell r="X84">
            <v>0.26787878787878788</v>
          </cell>
        </row>
        <row r="85">
          <cell r="A85">
            <v>51736</v>
          </cell>
          <cell r="B85" t="str">
            <v>Multisite MIMIZAN</v>
          </cell>
          <cell r="C85">
            <v>22</v>
          </cell>
          <cell r="D85">
            <v>1</v>
          </cell>
          <cell r="E85">
            <v>3</v>
          </cell>
          <cell r="F85">
            <v>8</v>
          </cell>
          <cell r="G85">
            <v>0.36363636363636365</v>
          </cell>
          <cell r="H85">
            <v>0</v>
          </cell>
          <cell r="I85">
            <v>0</v>
          </cell>
          <cell r="J85">
            <v>33</v>
          </cell>
          <cell r="K85">
            <v>0</v>
          </cell>
          <cell r="L85">
            <v>0</v>
          </cell>
          <cell r="M85">
            <v>7</v>
          </cell>
          <cell r="N85">
            <v>0.21212121212121213</v>
          </cell>
          <cell r="O85">
            <v>3</v>
          </cell>
          <cell r="P85">
            <v>0.42857142857142855</v>
          </cell>
          <cell r="Q85">
            <v>14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5</v>
          </cell>
          <cell r="W85">
            <v>0.7142857142857143</v>
          </cell>
          <cell r="X85">
            <v>0.19191919191919193</v>
          </cell>
        </row>
        <row r="86">
          <cell r="A86">
            <v>1736</v>
          </cell>
          <cell r="B86" t="str">
            <v>MIMIZAN</v>
          </cell>
          <cell r="C86">
            <v>20</v>
          </cell>
          <cell r="D86">
            <v>0</v>
          </cell>
          <cell r="E86">
            <v>2</v>
          </cell>
          <cell r="F86">
            <v>7</v>
          </cell>
          <cell r="G86">
            <v>0.35</v>
          </cell>
          <cell r="H86">
            <v>0</v>
          </cell>
          <cell r="I86">
            <v>0</v>
          </cell>
          <cell r="J86">
            <v>28</v>
          </cell>
          <cell r="K86">
            <v>0</v>
          </cell>
          <cell r="L86">
            <v>0</v>
          </cell>
          <cell r="M86">
            <v>7</v>
          </cell>
          <cell r="N86">
            <v>0.25</v>
          </cell>
          <cell r="O86">
            <v>2</v>
          </cell>
          <cell r="P86">
            <v>0.2857142857142857</v>
          </cell>
          <cell r="Q86">
            <v>11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4</v>
          </cell>
          <cell r="W86">
            <v>0.5714285714285714</v>
          </cell>
          <cell r="X86">
            <v>0.19999999999999998</v>
          </cell>
        </row>
        <row r="87">
          <cell r="A87">
            <v>1744</v>
          </cell>
          <cell r="B87" t="str">
            <v>MORCENX</v>
          </cell>
          <cell r="C87">
            <v>2</v>
          </cell>
          <cell r="D87">
            <v>1</v>
          </cell>
          <cell r="E87">
            <v>1</v>
          </cell>
          <cell r="F87">
            <v>1</v>
          </cell>
          <cell r="G87">
            <v>0.44</v>
          </cell>
          <cell r="H87">
            <v>0</v>
          </cell>
          <cell r="I87">
            <v>0</v>
          </cell>
          <cell r="J87">
            <v>5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2</v>
          </cell>
          <cell r="P87">
            <v>0.2857142857142857</v>
          </cell>
          <cell r="Q87">
            <v>3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1</v>
          </cell>
          <cell r="W87">
            <v>0.14285714285714285</v>
          </cell>
          <cell r="X87">
            <v>0.14666666666666667</v>
          </cell>
        </row>
        <row r="88">
          <cell r="A88">
            <v>1741</v>
          </cell>
          <cell r="B88" t="str">
            <v>BISCARROSSE</v>
          </cell>
          <cell r="C88">
            <v>22</v>
          </cell>
          <cell r="D88">
            <v>0</v>
          </cell>
          <cell r="E88">
            <v>0</v>
          </cell>
          <cell r="F88">
            <v>2</v>
          </cell>
          <cell r="G88">
            <v>9.0909090909090912E-2</v>
          </cell>
          <cell r="H88">
            <v>5</v>
          </cell>
          <cell r="I88">
            <v>0.7142857142857143</v>
          </cell>
          <cell r="J88">
            <v>33</v>
          </cell>
          <cell r="K88">
            <v>1</v>
          </cell>
          <cell r="L88">
            <v>2</v>
          </cell>
          <cell r="M88">
            <v>5</v>
          </cell>
          <cell r="N88">
            <v>0.15151515151515152</v>
          </cell>
          <cell r="O88">
            <v>5</v>
          </cell>
          <cell r="P88">
            <v>0.7142857142857143</v>
          </cell>
          <cell r="Q88">
            <v>10</v>
          </cell>
          <cell r="R88">
            <v>0</v>
          </cell>
          <cell r="S88">
            <v>0</v>
          </cell>
          <cell r="T88">
            <v>2</v>
          </cell>
          <cell r="U88">
            <v>0.2</v>
          </cell>
          <cell r="V88">
            <v>1</v>
          </cell>
          <cell r="W88">
            <v>0.14285714285714285</v>
          </cell>
          <cell r="X88">
            <v>0.14747474747474748</v>
          </cell>
        </row>
        <row r="89">
          <cell r="A89">
            <v>43765</v>
          </cell>
          <cell r="B89" t="str">
            <v>DGA PAU PYRENEES</v>
          </cell>
          <cell r="C89">
            <v>189</v>
          </cell>
          <cell r="D89">
            <v>0</v>
          </cell>
          <cell r="E89">
            <v>3</v>
          </cell>
          <cell r="F89">
            <v>32</v>
          </cell>
          <cell r="G89">
            <v>0.1693121693121693</v>
          </cell>
          <cell r="H89">
            <v>23</v>
          </cell>
          <cell r="I89">
            <v>3.2857142857142856</v>
          </cell>
          <cell r="J89">
            <v>278</v>
          </cell>
          <cell r="K89">
            <v>0</v>
          </cell>
          <cell r="L89">
            <v>3</v>
          </cell>
          <cell r="M89">
            <v>32</v>
          </cell>
          <cell r="N89">
            <v>0.11510791366906475</v>
          </cell>
          <cell r="O89">
            <v>49</v>
          </cell>
          <cell r="P89">
            <v>7</v>
          </cell>
          <cell r="Q89">
            <v>60</v>
          </cell>
          <cell r="R89">
            <v>1</v>
          </cell>
          <cell r="S89">
            <v>2</v>
          </cell>
          <cell r="T89">
            <v>7</v>
          </cell>
          <cell r="U89">
            <v>0.11666666666666667</v>
          </cell>
          <cell r="V89">
            <v>11</v>
          </cell>
          <cell r="W89">
            <v>1.5714285714285714</v>
          </cell>
          <cell r="X89">
            <v>0.13369558321596689</v>
          </cell>
        </row>
        <row r="90">
          <cell r="A90">
            <v>53500</v>
          </cell>
          <cell r="B90" t="str">
            <v>Multisite PAU</v>
          </cell>
          <cell r="C90">
            <v>52</v>
          </cell>
          <cell r="D90">
            <v>0</v>
          </cell>
          <cell r="E90">
            <v>0</v>
          </cell>
          <cell r="F90">
            <v>8</v>
          </cell>
          <cell r="G90">
            <v>0.15384615384615385</v>
          </cell>
          <cell r="H90">
            <v>8</v>
          </cell>
          <cell r="I90">
            <v>1.1428571428571428</v>
          </cell>
          <cell r="J90">
            <v>59</v>
          </cell>
          <cell r="K90">
            <v>0</v>
          </cell>
          <cell r="L90">
            <v>2</v>
          </cell>
          <cell r="M90">
            <v>9</v>
          </cell>
          <cell r="N90">
            <v>0.15254237288135594</v>
          </cell>
          <cell r="O90">
            <v>9</v>
          </cell>
          <cell r="P90">
            <v>1.2857142857142858</v>
          </cell>
          <cell r="Q90">
            <v>15</v>
          </cell>
          <cell r="R90">
            <v>1</v>
          </cell>
          <cell r="S90">
            <v>1</v>
          </cell>
          <cell r="T90">
            <v>1</v>
          </cell>
          <cell r="U90">
            <v>6.6666666666666666E-2</v>
          </cell>
          <cell r="V90">
            <v>4</v>
          </cell>
          <cell r="W90">
            <v>0.5714285714285714</v>
          </cell>
          <cell r="X90">
            <v>0.12435173113139215</v>
          </cell>
        </row>
        <row r="91">
          <cell r="A91">
            <v>3500</v>
          </cell>
          <cell r="B91" t="str">
            <v>PAU</v>
          </cell>
          <cell r="C91">
            <v>42</v>
          </cell>
          <cell r="D91">
            <v>0</v>
          </cell>
          <cell r="E91">
            <v>0</v>
          </cell>
          <cell r="F91">
            <v>7</v>
          </cell>
          <cell r="G91">
            <v>0.16666666666666666</v>
          </cell>
          <cell r="H91">
            <v>6</v>
          </cell>
          <cell r="I91">
            <v>0.8571428571428571</v>
          </cell>
          <cell r="J91">
            <v>57</v>
          </cell>
          <cell r="K91">
            <v>0</v>
          </cell>
          <cell r="L91">
            <v>1</v>
          </cell>
          <cell r="M91">
            <v>7</v>
          </cell>
          <cell r="N91">
            <v>0.12280701754385964</v>
          </cell>
          <cell r="O91">
            <v>10</v>
          </cell>
          <cell r="P91">
            <v>1.4285714285714286</v>
          </cell>
          <cell r="Q91">
            <v>12</v>
          </cell>
          <cell r="R91">
            <v>1</v>
          </cell>
          <cell r="S91">
            <v>1</v>
          </cell>
          <cell r="T91">
            <v>1</v>
          </cell>
          <cell r="U91">
            <v>8.3333333333333329E-2</v>
          </cell>
          <cell r="V91">
            <v>3</v>
          </cell>
          <cell r="W91">
            <v>0.42857142857142855</v>
          </cell>
          <cell r="X91">
            <v>0.12426900584795321</v>
          </cell>
        </row>
        <row r="92">
          <cell r="A92">
            <v>3536</v>
          </cell>
          <cell r="B92" t="str">
            <v>PAU CROIX DU PRINCE</v>
          </cell>
          <cell r="C92">
            <v>10</v>
          </cell>
          <cell r="D92">
            <v>0</v>
          </cell>
          <cell r="E92">
            <v>0</v>
          </cell>
          <cell r="F92">
            <v>1</v>
          </cell>
          <cell r="G92">
            <v>0.1</v>
          </cell>
          <cell r="H92">
            <v>2</v>
          </cell>
          <cell r="I92">
            <v>0.2857142857142857</v>
          </cell>
          <cell r="J92">
            <v>2</v>
          </cell>
          <cell r="K92">
            <v>0</v>
          </cell>
          <cell r="L92">
            <v>1</v>
          </cell>
          <cell r="M92">
            <v>2</v>
          </cell>
          <cell r="N92">
            <v>0.44</v>
          </cell>
          <cell r="O92">
            <v>0</v>
          </cell>
          <cell r="P92">
            <v>0</v>
          </cell>
          <cell r="Q92">
            <v>3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1</v>
          </cell>
          <cell r="W92">
            <v>0.14285714285714285</v>
          </cell>
          <cell r="X92">
            <v>0.18000000000000002</v>
          </cell>
        </row>
        <row r="93">
          <cell r="A93">
            <v>3532</v>
          </cell>
          <cell r="B93" t="str">
            <v>OLORON SAINTE MARIE</v>
          </cell>
          <cell r="C93">
            <v>15</v>
          </cell>
          <cell r="D93">
            <v>0</v>
          </cell>
          <cell r="E93">
            <v>0</v>
          </cell>
          <cell r="F93">
            <v>1</v>
          </cell>
          <cell r="G93">
            <v>6.6666666666666666E-2</v>
          </cell>
          <cell r="H93">
            <v>4</v>
          </cell>
          <cell r="I93">
            <v>0.5714285714285714</v>
          </cell>
          <cell r="J93">
            <v>13</v>
          </cell>
          <cell r="K93">
            <v>0</v>
          </cell>
          <cell r="L93">
            <v>0</v>
          </cell>
          <cell r="M93">
            <v>1</v>
          </cell>
          <cell r="N93">
            <v>7.6923076923076927E-2</v>
          </cell>
          <cell r="O93">
            <v>3</v>
          </cell>
          <cell r="P93">
            <v>0.42857142857142855</v>
          </cell>
          <cell r="Q93">
            <v>6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2</v>
          </cell>
          <cell r="W93">
            <v>0.2857142857142857</v>
          </cell>
          <cell r="X93">
            <v>4.786324786324786E-2</v>
          </cell>
        </row>
        <row r="94">
          <cell r="A94">
            <v>53533</v>
          </cell>
          <cell r="B94" t="str">
            <v>Multisite ORTHEZ</v>
          </cell>
          <cell r="C94">
            <v>30</v>
          </cell>
          <cell r="D94">
            <v>0</v>
          </cell>
          <cell r="E94">
            <v>1</v>
          </cell>
          <cell r="F94">
            <v>3</v>
          </cell>
          <cell r="G94">
            <v>0.1</v>
          </cell>
          <cell r="H94">
            <v>6</v>
          </cell>
          <cell r="I94">
            <v>0.8571428571428571</v>
          </cell>
          <cell r="J94">
            <v>33</v>
          </cell>
          <cell r="K94">
            <v>0</v>
          </cell>
          <cell r="L94">
            <v>0</v>
          </cell>
          <cell r="M94">
            <v>4</v>
          </cell>
          <cell r="N94">
            <v>0.12121212121212122</v>
          </cell>
          <cell r="O94">
            <v>6</v>
          </cell>
          <cell r="P94">
            <v>0.8571428571428571</v>
          </cell>
          <cell r="Q94">
            <v>12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4</v>
          </cell>
          <cell r="W94">
            <v>0.5714285714285714</v>
          </cell>
          <cell r="X94">
            <v>7.373737373737374E-2</v>
          </cell>
        </row>
        <row r="95">
          <cell r="A95">
            <v>3533</v>
          </cell>
          <cell r="B95" t="str">
            <v>ORTHEZ</v>
          </cell>
          <cell r="C95">
            <v>20</v>
          </cell>
          <cell r="D95">
            <v>0</v>
          </cell>
          <cell r="E95">
            <v>1</v>
          </cell>
          <cell r="F95">
            <v>1</v>
          </cell>
          <cell r="G95">
            <v>0.05</v>
          </cell>
          <cell r="H95">
            <v>5</v>
          </cell>
          <cell r="I95">
            <v>0.7142857142857143</v>
          </cell>
          <cell r="J95">
            <v>16</v>
          </cell>
          <cell r="K95">
            <v>0</v>
          </cell>
          <cell r="L95">
            <v>0</v>
          </cell>
          <cell r="M95">
            <v>2</v>
          </cell>
          <cell r="N95">
            <v>0.125</v>
          </cell>
          <cell r="O95">
            <v>3</v>
          </cell>
          <cell r="P95">
            <v>0.42857142857142855</v>
          </cell>
          <cell r="Q95">
            <v>7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3</v>
          </cell>
          <cell r="W95">
            <v>0.42857142857142855</v>
          </cell>
          <cell r="X95">
            <v>5.8333333333333327E-2</v>
          </cell>
        </row>
        <row r="96">
          <cell r="A96">
            <v>3534</v>
          </cell>
          <cell r="B96" t="str">
            <v>SALIES DE BEARN</v>
          </cell>
          <cell r="C96">
            <v>5</v>
          </cell>
          <cell r="D96">
            <v>0</v>
          </cell>
          <cell r="E96">
            <v>0</v>
          </cell>
          <cell r="F96">
            <v>1</v>
          </cell>
          <cell r="G96">
            <v>0.2</v>
          </cell>
          <cell r="H96">
            <v>1</v>
          </cell>
          <cell r="I96">
            <v>0.14285714285714285</v>
          </cell>
          <cell r="J96">
            <v>10</v>
          </cell>
          <cell r="K96">
            <v>0</v>
          </cell>
          <cell r="L96">
            <v>0</v>
          </cell>
          <cell r="M96">
            <v>2</v>
          </cell>
          <cell r="N96">
            <v>0.2</v>
          </cell>
          <cell r="O96">
            <v>1</v>
          </cell>
          <cell r="P96">
            <v>0.14285714285714285</v>
          </cell>
          <cell r="Q96">
            <v>4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2</v>
          </cell>
          <cell r="W96">
            <v>0.2857142857142857</v>
          </cell>
          <cell r="X96">
            <v>0.13333333333333333</v>
          </cell>
        </row>
        <row r="97">
          <cell r="A97">
            <v>3537</v>
          </cell>
          <cell r="B97" t="str">
            <v>MOURENX</v>
          </cell>
          <cell r="C97">
            <v>5</v>
          </cell>
          <cell r="D97">
            <v>0</v>
          </cell>
          <cell r="E97">
            <v>0</v>
          </cell>
          <cell r="F97">
            <v>1</v>
          </cell>
          <cell r="G97">
            <v>0.2</v>
          </cell>
          <cell r="H97">
            <v>1</v>
          </cell>
          <cell r="I97">
            <v>0.14285714285714285</v>
          </cell>
          <cell r="J97">
            <v>7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3</v>
          </cell>
          <cell r="P97">
            <v>0.42857142857142855</v>
          </cell>
          <cell r="Q97">
            <v>1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1</v>
          </cell>
          <cell r="W97">
            <v>0.14285714285714285</v>
          </cell>
          <cell r="X97">
            <v>6.6666666666666666E-2</v>
          </cell>
        </row>
        <row r="98">
          <cell r="A98">
            <v>3535</v>
          </cell>
          <cell r="B98" t="str">
            <v>PAU MERMOZ</v>
          </cell>
          <cell r="C98">
            <v>25</v>
          </cell>
          <cell r="D98">
            <v>0</v>
          </cell>
          <cell r="E98">
            <v>0</v>
          </cell>
          <cell r="F98">
            <v>5</v>
          </cell>
          <cell r="G98">
            <v>0.2</v>
          </cell>
          <cell r="H98">
            <v>3</v>
          </cell>
          <cell r="I98">
            <v>0.42857142857142855</v>
          </cell>
          <cell r="J98">
            <v>21</v>
          </cell>
          <cell r="K98">
            <v>0</v>
          </cell>
          <cell r="L98">
            <v>0</v>
          </cell>
          <cell r="M98">
            <v>1</v>
          </cell>
          <cell r="N98">
            <v>4.7619047619047616E-2</v>
          </cell>
          <cell r="O98">
            <v>6</v>
          </cell>
          <cell r="P98">
            <v>0.8571428571428571</v>
          </cell>
          <cell r="Q98">
            <v>6</v>
          </cell>
          <cell r="R98">
            <v>0</v>
          </cell>
          <cell r="S98">
            <v>0</v>
          </cell>
          <cell r="T98">
            <v>1</v>
          </cell>
          <cell r="U98">
            <v>0.16666666666666666</v>
          </cell>
          <cell r="V98">
            <v>1</v>
          </cell>
          <cell r="W98">
            <v>0.14285714285714285</v>
          </cell>
          <cell r="X98">
            <v>0.13809523809523808</v>
          </cell>
        </row>
        <row r="99">
          <cell r="A99">
            <v>53542</v>
          </cell>
          <cell r="B99" t="str">
            <v>Multisite LONS</v>
          </cell>
          <cell r="C99">
            <v>26</v>
          </cell>
          <cell r="D99">
            <v>0</v>
          </cell>
          <cell r="E99">
            <v>1</v>
          </cell>
          <cell r="F99">
            <v>8</v>
          </cell>
          <cell r="G99">
            <v>0.30769230769230771</v>
          </cell>
          <cell r="H99">
            <v>0</v>
          </cell>
          <cell r="I99">
            <v>0</v>
          </cell>
          <cell r="J99">
            <v>27</v>
          </cell>
          <cell r="K99">
            <v>0</v>
          </cell>
          <cell r="L99">
            <v>1</v>
          </cell>
          <cell r="M99">
            <v>9</v>
          </cell>
          <cell r="N99">
            <v>0.33333333333333331</v>
          </cell>
          <cell r="O99">
            <v>0</v>
          </cell>
          <cell r="P99">
            <v>0</v>
          </cell>
          <cell r="Q99">
            <v>12</v>
          </cell>
          <cell r="R99">
            <v>0</v>
          </cell>
          <cell r="S99">
            <v>1</v>
          </cell>
          <cell r="T99">
            <v>4</v>
          </cell>
          <cell r="U99">
            <v>0.33333333333333331</v>
          </cell>
          <cell r="V99">
            <v>0</v>
          </cell>
          <cell r="W99">
            <v>0</v>
          </cell>
          <cell r="X99">
            <v>0.32478632478632474</v>
          </cell>
        </row>
        <row r="100">
          <cell r="A100">
            <v>3539</v>
          </cell>
          <cell r="B100" t="str">
            <v>BILLERE</v>
          </cell>
          <cell r="C100">
            <v>9</v>
          </cell>
          <cell r="D100">
            <v>0</v>
          </cell>
          <cell r="E100">
            <v>1</v>
          </cell>
          <cell r="F100">
            <v>5</v>
          </cell>
          <cell r="G100">
            <v>0.44</v>
          </cell>
          <cell r="H100">
            <v>0</v>
          </cell>
          <cell r="I100">
            <v>0</v>
          </cell>
          <cell r="J100">
            <v>11</v>
          </cell>
          <cell r="K100">
            <v>0</v>
          </cell>
          <cell r="L100">
            <v>1</v>
          </cell>
          <cell r="M100">
            <v>1</v>
          </cell>
          <cell r="N100">
            <v>9.0909090909090912E-2</v>
          </cell>
          <cell r="O100">
            <v>3</v>
          </cell>
          <cell r="P100">
            <v>0.42857142857142855</v>
          </cell>
          <cell r="Q100">
            <v>4</v>
          </cell>
          <cell r="R100">
            <v>0</v>
          </cell>
          <cell r="S100">
            <v>1</v>
          </cell>
          <cell r="T100">
            <v>1</v>
          </cell>
          <cell r="U100">
            <v>0.25</v>
          </cell>
          <cell r="V100">
            <v>1</v>
          </cell>
          <cell r="W100">
            <v>0.14285714285714285</v>
          </cell>
          <cell r="X100">
            <v>0.26030303030303031</v>
          </cell>
        </row>
        <row r="101">
          <cell r="A101">
            <v>3542</v>
          </cell>
          <cell r="B101" t="str">
            <v>LONS COMEDIE</v>
          </cell>
          <cell r="C101">
            <v>17</v>
          </cell>
          <cell r="D101">
            <v>0</v>
          </cell>
          <cell r="E101">
            <v>0</v>
          </cell>
          <cell r="F101">
            <v>3</v>
          </cell>
          <cell r="G101">
            <v>0.17647058823529413</v>
          </cell>
          <cell r="H101">
            <v>2</v>
          </cell>
          <cell r="I101">
            <v>0.2857142857142857</v>
          </cell>
          <cell r="J101">
            <v>16</v>
          </cell>
          <cell r="K101">
            <v>0</v>
          </cell>
          <cell r="L101">
            <v>0</v>
          </cell>
          <cell r="M101">
            <v>8</v>
          </cell>
          <cell r="N101">
            <v>0.44</v>
          </cell>
          <cell r="O101">
            <v>0</v>
          </cell>
          <cell r="P101">
            <v>0</v>
          </cell>
          <cell r="Q101">
            <v>8</v>
          </cell>
          <cell r="R101">
            <v>0</v>
          </cell>
          <cell r="S101">
            <v>0</v>
          </cell>
          <cell r="T101">
            <v>3</v>
          </cell>
          <cell r="U101">
            <v>0.375</v>
          </cell>
          <cell r="V101">
            <v>0</v>
          </cell>
          <cell r="W101">
            <v>0</v>
          </cell>
          <cell r="X101">
            <v>0.33049019607843139</v>
          </cell>
        </row>
        <row r="102">
          <cell r="A102">
            <v>3543</v>
          </cell>
          <cell r="B102" t="str">
            <v>LESCAR L'EUROPE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</row>
        <row r="103">
          <cell r="A103">
            <v>53538</v>
          </cell>
          <cell r="B103" t="str">
            <v>Multisite PAU THIERS</v>
          </cell>
          <cell r="C103">
            <v>41</v>
          </cell>
          <cell r="D103">
            <v>0</v>
          </cell>
          <cell r="E103">
            <v>1</v>
          </cell>
          <cell r="F103">
            <v>7</v>
          </cell>
          <cell r="G103">
            <v>0.17073170731707318</v>
          </cell>
          <cell r="H103">
            <v>5</v>
          </cell>
          <cell r="I103">
            <v>0.7142857142857143</v>
          </cell>
          <cell r="J103">
            <v>50</v>
          </cell>
          <cell r="K103">
            <v>0</v>
          </cell>
          <cell r="L103">
            <v>0</v>
          </cell>
          <cell r="M103">
            <v>8</v>
          </cell>
          <cell r="N103">
            <v>0.16</v>
          </cell>
          <cell r="O103">
            <v>7</v>
          </cell>
          <cell r="P103">
            <v>1</v>
          </cell>
          <cell r="Q103">
            <v>15</v>
          </cell>
          <cell r="R103">
            <v>0</v>
          </cell>
          <cell r="S103">
            <v>0</v>
          </cell>
          <cell r="T103">
            <v>1</v>
          </cell>
          <cell r="U103">
            <v>6.6666666666666666E-2</v>
          </cell>
          <cell r="V103">
            <v>4</v>
          </cell>
          <cell r="W103">
            <v>0.5714285714285714</v>
          </cell>
          <cell r="X103">
            <v>0.1324661246612466</v>
          </cell>
        </row>
        <row r="104">
          <cell r="A104">
            <v>3538</v>
          </cell>
          <cell r="B104" t="str">
            <v>PAU THIERS</v>
          </cell>
          <cell r="C104">
            <v>20</v>
          </cell>
          <cell r="D104">
            <v>0</v>
          </cell>
          <cell r="E104">
            <v>1</v>
          </cell>
          <cell r="F104">
            <v>3</v>
          </cell>
          <cell r="G104">
            <v>0.15</v>
          </cell>
          <cell r="H104">
            <v>3</v>
          </cell>
          <cell r="I104">
            <v>0.42857142857142855</v>
          </cell>
          <cell r="J104">
            <v>27</v>
          </cell>
          <cell r="K104">
            <v>0</v>
          </cell>
          <cell r="L104">
            <v>0</v>
          </cell>
          <cell r="M104">
            <v>4</v>
          </cell>
          <cell r="N104">
            <v>0.14814814814814814</v>
          </cell>
          <cell r="O104">
            <v>4</v>
          </cell>
          <cell r="P104">
            <v>0.5714285714285714</v>
          </cell>
          <cell r="Q104">
            <v>5</v>
          </cell>
          <cell r="R104">
            <v>0</v>
          </cell>
          <cell r="S104">
            <v>0</v>
          </cell>
          <cell r="T104">
            <v>1</v>
          </cell>
          <cell r="U104">
            <v>0.2</v>
          </cell>
          <cell r="V104">
            <v>1</v>
          </cell>
          <cell r="W104">
            <v>0.14285714285714285</v>
          </cell>
          <cell r="X104">
            <v>0.16604938271604938</v>
          </cell>
        </row>
        <row r="105">
          <cell r="A105">
            <v>3540</v>
          </cell>
          <cell r="B105" t="str">
            <v>NAY</v>
          </cell>
          <cell r="C105">
            <v>15</v>
          </cell>
          <cell r="D105">
            <v>0</v>
          </cell>
          <cell r="E105">
            <v>0</v>
          </cell>
          <cell r="F105">
            <v>3</v>
          </cell>
          <cell r="G105">
            <v>0.2</v>
          </cell>
          <cell r="H105">
            <v>2</v>
          </cell>
          <cell r="I105">
            <v>0.2857142857142857</v>
          </cell>
          <cell r="J105">
            <v>12</v>
          </cell>
          <cell r="K105">
            <v>0</v>
          </cell>
          <cell r="L105">
            <v>0</v>
          </cell>
          <cell r="M105">
            <v>3</v>
          </cell>
          <cell r="N105">
            <v>0.25</v>
          </cell>
          <cell r="O105">
            <v>1</v>
          </cell>
          <cell r="P105">
            <v>0.14285714285714285</v>
          </cell>
          <cell r="Q105">
            <v>5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2</v>
          </cell>
          <cell r="W105">
            <v>0.2857142857142857</v>
          </cell>
          <cell r="X105">
            <v>0.15</v>
          </cell>
        </row>
        <row r="106">
          <cell r="A106">
            <v>3541</v>
          </cell>
          <cell r="B106" t="str">
            <v>PAU HERMES</v>
          </cell>
          <cell r="C106">
            <v>6</v>
          </cell>
          <cell r="D106">
            <v>0</v>
          </cell>
          <cell r="E106">
            <v>0</v>
          </cell>
          <cell r="F106">
            <v>1</v>
          </cell>
          <cell r="G106">
            <v>0.16666666666666666</v>
          </cell>
          <cell r="H106">
            <v>1</v>
          </cell>
          <cell r="I106">
            <v>0.14285714285714285</v>
          </cell>
          <cell r="J106">
            <v>11</v>
          </cell>
          <cell r="K106">
            <v>0</v>
          </cell>
          <cell r="L106">
            <v>0</v>
          </cell>
          <cell r="M106">
            <v>1</v>
          </cell>
          <cell r="N106">
            <v>9.0909090909090912E-2</v>
          </cell>
          <cell r="O106">
            <v>3</v>
          </cell>
          <cell r="P106">
            <v>0.42857142857142855</v>
          </cell>
          <cell r="Q106">
            <v>5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2</v>
          </cell>
          <cell r="W106">
            <v>0.2857142857142857</v>
          </cell>
          <cell r="X106">
            <v>8.5858585858585856E-2</v>
          </cell>
        </row>
        <row r="107">
          <cell r="A107">
            <v>43783</v>
          </cell>
          <cell r="B107" t="str">
            <v>DGA COTE BASQUE</v>
          </cell>
          <cell r="C107">
            <v>199</v>
          </cell>
          <cell r="D107">
            <v>1</v>
          </cell>
          <cell r="E107">
            <v>5</v>
          </cell>
          <cell r="F107">
            <v>32</v>
          </cell>
          <cell r="G107">
            <v>0.16080402010050251</v>
          </cell>
          <cell r="H107">
            <v>26</v>
          </cell>
          <cell r="I107">
            <v>3.7142857142857144</v>
          </cell>
          <cell r="J107">
            <v>304</v>
          </cell>
          <cell r="K107">
            <v>1</v>
          </cell>
          <cell r="L107">
            <v>7</v>
          </cell>
          <cell r="M107">
            <v>45</v>
          </cell>
          <cell r="N107">
            <v>0.14802631578947367</v>
          </cell>
          <cell r="O107">
            <v>44</v>
          </cell>
          <cell r="P107">
            <v>6.2857142857142856</v>
          </cell>
          <cell r="Q107">
            <v>59</v>
          </cell>
          <cell r="R107">
            <v>1</v>
          </cell>
          <cell r="S107">
            <v>2</v>
          </cell>
          <cell r="T107">
            <v>5</v>
          </cell>
          <cell r="U107">
            <v>8.4745762711864403E-2</v>
          </cell>
          <cell r="V107">
            <v>13</v>
          </cell>
          <cell r="W107">
            <v>1.8571428571428572</v>
          </cell>
          <cell r="X107">
            <v>0.13119203286728021</v>
          </cell>
        </row>
        <row r="108">
          <cell r="A108">
            <v>51700</v>
          </cell>
          <cell r="B108" t="str">
            <v>Multisite BAYONNE</v>
          </cell>
          <cell r="C108">
            <v>71</v>
          </cell>
          <cell r="D108">
            <v>0</v>
          </cell>
          <cell r="E108">
            <v>2</v>
          </cell>
          <cell r="F108">
            <v>10</v>
          </cell>
          <cell r="G108">
            <v>0.14084507042253522</v>
          </cell>
          <cell r="H108">
            <v>11</v>
          </cell>
          <cell r="I108">
            <v>1.5714285714285714</v>
          </cell>
          <cell r="J108">
            <v>78</v>
          </cell>
          <cell r="K108">
            <v>1</v>
          </cell>
          <cell r="L108">
            <v>6</v>
          </cell>
          <cell r="M108">
            <v>28</v>
          </cell>
          <cell r="N108">
            <v>0.35897435897435898</v>
          </cell>
          <cell r="O108">
            <v>0</v>
          </cell>
          <cell r="P108">
            <v>0</v>
          </cell>
          <cell r="Q108">
            <v>25</v>
          </cell>
          <cell r="R108">
            <v>1</v>
          </cell>
          <cell r="S108">
            <v>2</v>
          </cell>
          <cell r="T108">
            <v>4</v>
          </cell>
          <cell r="U108">
            <v>0.16</v>
          </cell>
          <cell r="V108">
            <v>4</v>
          </cell>
          <cell r="W108">
            <v>0.5714285714285714</v>
          </cell>
          <cell r="X108">
            <v>0.21993980979896474</v>
          </cell>
        </row>
        <row r="109">
          <cell r="A109">
            <v>1700</v>
          </cell>
          <cell r="B109" t="str">
            <v>BAYONNE</v>
          </cell>
          <cell r="C109">
            <v>42</v>
          </cell>
          <cell r="D109">
            <v>0</v>
          </cell>
          <cell r="E109">
            <v>0</v>
          </cell>
          <cell r="F109">
            <v>3</v>
          </cell>
          <cell r="G109">
            <v>7.1428571428571425E-2</v>
          </cell>
          <cell r="H109">
            <v>10</v>
          </cell>
          <cell r="I109">
            <v>1.4285714285714286</v>
          </cell>
          <cell r="J109">
            <v>46</v>
          </cell>
          <cell r="K109">
            <v>1</v>
          </cell>
          <cell r="L109">
            <v>5</v>
          </cell>
          <cell r="M109">
            <v>20</v>
          </cell>
          <cell r="N109">
            <v>0.43478260869565216</v>
          </cell>
          <cell r="O109">
            <v>0</v>
          </cell>
          <cell r="P109">
            <v>0</v>
          </cell>
          <cell r="Q109">
            <v>16</v>
          </cell>
          <cell r="R109">
            <v>0</v>
          </cell>
          <cell r="S109">
            <v>0</v>
          </cell>
          <cell r="T109">
            <v>1</v>
          </cell>
          <cell r="U109">
            <v>6.25E-2</v>
          </cell>
          <cell r="V109">
            <v>4</v>
          </cell>
          <cell r="W109">
            <v>0.5714285714285714</v>
          </cell>
          <cell r="X109">
            <v>0.18957039337474121</v>
          </cell>
        </row>
        <row r="110">
          <cell r="A110">
            <v>1737</v>
          </cell>
          <cell r="B110" t="str">
            <v>BAYONNE SAINT ESPRIT</v>
          </cell>
          <cell r="C110">
            <v>6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2</v>
          </cell>
          <cell r="I110">
            <v>0.2857142857142857</v>
          </cell>
          <cell r="J110">
            <v>6</v>
          </cell>
          <cell r="K110">
            <v>0</v>
          </cell>
          <cell r="L110">
            <v>0</v>
          </cell>
          <cell r="M110">
            <v>3</v>
          </cell>
          <cell r="N110">
            <v>0.44</v>
          </cell>
          <cell r="O110">
            <v>0</v>
          </cell>
          <cell r="P110">
            <v>0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>
            <v>0.44</v>
          </cell>
          <cell r="V110">
            <v>0</v>
          </cell>
          <cell r="W110">
            <v>0</v>
          </cell>
          <cell r="X110">
            <v>0.29333333333333333</v>
          </cell>
        </row>
        <row r="111">
          <cell r="A111">
            <v>1747</v>
          </cell>
          <cell r="B111" t="str">
            <v>BAYONNE CITE DU PALAIS</v>
          </cell>
          <cell r="C111">
            <v>23</v>
          </cell>
          <cell r="D111">
            <v>0</v>
          </cell>
          <cell r="E111">
            <v>2</v>
          </cell>
          <cell r="F111">
            <v>7</v>
          </cell>
          <cell r="G111">
            <v>0.30434782608695654</v>
          </cell>
          <cell r="H111">
            <v>0</v>
          </cell>
          <cell r="I111">
            <v>0</v>
          </cell>
          <cell r="J111">
            <v>26</v>
          </cell>
          <cell r="K111">
            <v>0</v>
          </cell>
          <cell r="L111">
            <v>1</v>
          </cell>
          <cell r="M111">
            <v>5</v>
          </cell>
          <cell r="N111">
            <v>0.19230769230769232</v>
          </cell>
          <cell r="O111">
            <v>3</v>
          </cell>
          <cell r="P111">
            <v>0.42857142857142855</v>
          </cell>
          <cell r="Q111">
            <v>8</v>
          </cell>
          <cell r="R111">
            <v>0</v>
          </cell>
          <cell r="S111">
            <v>1</v>
          </cell>
          <cell r="T111">
            <v>2</v>
          </cell>
          <cell r="U111">
            <v>0.25</v>
          </cell>
          <cell r="V111">
            <v>1</v>
          </cell>
          <cell r="W111">
            <v>0.14285714285714285</v>
          </cell>
          <cell r="X111">
            <v>0.24888517279821629</v>
          </cell>
        </row>
        <row r="112">
          <cell r="A112">
            <v>51731</v>
          </cell>
          <cell r="B112" t="str">
            <v>Multisite BIARRITZ</v>
          </cell>
          <cell r="C112">
            <v>47</v>
          </cell>
          <cell r="D112">
            <v>0</v>
          </cell>
          <cell r="E112">
            <v>2</v>
          </cell>
          <cell r="F112">
            <v>7</v>
          </cell>
          <cell r="G112">
            <v>0.14893617021276595</v>
          </cell>
          <cell r="H112">
            <v>7</v>
          </cell>
          <cell r="I112">
            <v>1</v>
          </cell>
          <cell r="J112">
            <v>52</v>
          </cell>
          <cell r="K112">
            <v>0</v>
          </cell>
          <cell r="L112">
            <v>0</v>
          </cell>
          <cell r="M112">
            <v>3</v>
          </cell>
          <cell r="N112">
            <v>5.7692307692307696E-2</v>
          </cell>
          <cell r="O112">
            <v>13</v>
          </cell>
          <cell r="P112">
            <v>1.8571428571428572</v>
          </cell>
          <cell r="Q112">
            <v>13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4</v>
          </cell>
          <cell r="W112">
            <v>0.5714285714285714</v>
          </cell>
          <cell r="X112">
            <v>6.887615930169122E-2</v>
          </cell>
        </row>
        <row r="113">
          <cell r="A113">
            <v>1731</v>
          </cell>
          <cell r="B113" t="str">
            <v>BIARRITZ</v>
          </cell>
          <cell r="C113">
            <v>37</v>
          </cell>
          <cell r="D113">
            <v>0</v>
          </cell>
          <cell r="E113">
            <v>1</v>
          </cell>
          <cell r="F113">
            <v>5</v>
          </cell>
          <cell r="G113">
            <v>0.13513513513513514</v>
          </cell>
          <cell r="H113">
            <v>6</v>
          </cell>
          <cell r="I113">
            <v>0.8571428571428571</v>
          </cell>
          <cell r="J113">
            <v>42</v>
          </cell>
          <cell r="K113">
            <v>0</v>
          </cell>
          <cell r="L113">
            <v>0</v>
          </cell>
          <cell r="M113">
            <v>2</v>
          </cell>
          <cell r="N113">
            <v>4.7619047619047616E-2</v>
          </cell>
          <cell r="O113">
            <v>11</v>
          </cell>
          <cell r="P113">
            <v>1.5714285714285714</v>
          </cell>
          <cell r="Q113">
            <v>12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4</v>
          </cell>
          <cell r="W113">
            <v>0.5714285714285714</v>
          </cell>
          <cell r="X113">
            <v>6.0918060918060922E-2</v>
          </cell>
        </row>
        <row r="114">
          <cell r="A114">
            <v>1749</v>
          </cell>
          <cell r="B114" t="str">
            <v>BIARRITZ SAINT CHARLES</v>
          </cell>
          <cell r="C114">
            <v>10</v>
          </cell>
          <cell r="D114">
            <v>0</v>
          </cell>
          <cell r="E114">
            <v>1</v>
          </cell>
          <cell r="F114">
            <v>2</v>
          </cell>
          <cell r="G114">
            <v>0.2</v>
          </cell>
          <cell r="H114">
            <v>1</v>
          </cell>
          <cell r="I114">
            <v>0.14285714285714285</v>
          </cell>
          <cell r="J114">
            <v>10</v>
          </cell>
          <cell r="K114">
            <v>0</v>
          </cell>
          <cell r="L114">
            <v>0</v>
          </cell>
          <cell r="M114">
            <v>1</v>
          </cell>
          <cell r="N114">
            <v>0.1</v>
          </cell>
          <cell r="O114">
            <v>2</v>
          </cell>
          <cell r="P114">
            <v>0.2857142857142857</v>
          </cell>
          <cell r="Q114">
            <v>1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1</v>
          </cell>
          <cell r="W114">
            <v>0.14285714285714285</v>
          </cell>
          <cell r="X114">
            <v>0.10000000000000002</v>
          </cell>
        </row>
        <row r="115">
          <cell r="A115">
            <v>51735</v>
          </cell>
          <cell r="B115" t="str">
            <v>Multisite ST JEAN DE LUZ</v>
          </cell>
          <cell r="C115">
            <v>41</v>
          </cell>
          <cell r="D115">
            <v>0</v>
          </cell>
          <cell r="E115">
            <v>0</v>
          </cell>
          <cell r="F115">
            <v>8</v>
          </cell>
          <cell r="G115">
            <v>0.1951219512195122</v>
          </cell>
          <cell r="H115">
            <v>4</v>
          </cell>
          <cell r="I115">
            <v>0.5714285714285714</v>
          </cell>
          <cell r="J115">
            <v>44</v>
          </cell>
          <cell r="K115">
            <v>0</v>
          </cell>
          <cell r="L115">
            <v>0</v>
          </cell>
          <cell r="M115">
            <v>6</v>
          </cell>
          <cell r="N115">
            <v>0.13636363636363635</v>
          </cell>
          <cell r="O115">
            <v>7</v>
          </cell>
          <cell r="P115">
            <v>1</v>
          </cell>
          <cell r="Q115">
            <v>11</v>
          </cell>
          <cell r="R115">
            <v>0</v>
          </cell>
          <cell r="S115">
            <v>0</v>
          </cell>
          <cell r="T115">
            <v>1</v>
          </cell>
          <cell r="U115">
            <v>9.0909090909090912E-2</v>
          </cell>
          <cell r="V115">
            <v>3</v>
          </cell>
          <cell r="W115">
            <v>0.42857142857142855</v>
          </cell>
          <cell r="X115">
            <v>0.1407982261640798</v>
          </cell>
        </row>
        <row r="116">
          <cell r="A116">
            <v>1733</v>
          </cell>
          <cell r="B116" t="str">
            <v>HENDAYE</v>
          </cell>
          <cell r="C116">
            <v>11</v>
          </cell>
          <cell r="D116">
            <v>0</v>
          </cell>
          <cell r="E116">
            <v>0</v>
          </cell>
          <cell r="F116">
            <v>3</v>
          </cell>
          <cell r="G116">
            <v>0.27272727272727271</v>
          </cell>
          <cell r="H116">
            <v>1</v>
          </cell>
          <cell r="I116">
            <v>0.14285714285714285</v>
          </cell>
          <cell r="J116">
            <v>13</v>
          </cell>
          <cell r="K116">
            <v>0</v>
          </cell>
          <cell r="L116">
            <v>0</v>
          </cell>
          <cell r="M116">
            <v>1</v>
          </cell>
          <cell r="N116">
            <v>7.6923076923076927E-2</v>
          </cell>
          <cell r="O116">
            <v>3</v>
          </cell>
          <cell r="P116">
            <v>0.42857142857142855</v>
          </cell>
          <cell r="Q116">
            <v>3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1</v>
          </cell>
          <cell r="W116">
            <v>0.14285714285714285</v>
          </cell>
          <cell r="X116">
            <v>0.11655011655011654</v>
          </cell>
        </row>
        <row r="117">
          <cell r="A117">
            <v>1735</v>
          </cell>
          <cell r="B117" t="str">
            <v>ST JEAN DE LUZ</v>
          </cell>
          <cell r="C117">
            <v>30</v>
          </cell>
          <cell r="D117">
            <v>0</v>
          </cell>
          <cell r="E117">
            <v>0</v>
          </cell>
          <cell r="F117">
            <v>5</v>
          </cell>
          <cell r="G117">
            <v>0.16666666666666666</v>
          </cell>
          <cell r="H117">
            <v>4</v>
          </cell>
          <cell r="I117">
            <v>0.5714285714285714</v>
          </cell>
          <cell r="J117">
            <v>31</v>
          </cell>
          <cell r="K117">
            <v>0</v>
          </cell>
          <cell r="L117">
            <v>0</v>
          </cell>
          <cell r="M117">
            <v>5</v>
          </cell>
          <cell r="N117">
            <v>0.16129032258064516</v>
          </cell>
          <cell r="O117">
            <v>4</v>
          </cell>
          <cell r="P117">
            <v>0.5714285714285714</v>
          </cell>
          <cell r="Q117">
            <v>8</v>
          </cell>
          <cell r="R117">
            <v>0</v>
          </cell>
          <cell r="S117">
            <v>0</v>
          </cell>
          <cell r="T117">
            <v>1</v>
          </cell>
          <cell r="U117">
            <v>0.125</v>
          </cell>
          <cell r="V117">
            <v>2</v>
          </cell>
          <cell r="W117">
            <v>0.2857142857142857</v>
          </cell>
          <cell r="X117">
            <v>0.15098566308243727</v>
          </cell>
        </row>
        <row r="118">
          <cell r="A118">
            <v>51738</v>
          </cell>
          <cell r="B118" t="str">
            <v>Multisite ANGLET</v>
          </cell>
          <cell r="C118">
            <v>34</v>
          </cell>
          <cell r="D118">
            <v>0</v>
          </cell>
          <cell r="E118">
            <v>0</v>
          </cell>
          <cell r="F118">
            <v>6</v>
          </cell>
          <cell r="G118">
            <v>0.17647058823529413</v>
          </cell>
          <cell r="H118">
            <v>4</v>
          </cell>
          <cell r="I118">
            <v>0.5714285714285714</v>
          </cell>
          <cell r="J118">
            <v>37</v>
          </cell>
          <cell r="K118">
            <v>0</v>
          </cell>
          <cell r="L118">
            <v>1</v>
          </cell>
          <cell r="M118">
            <v>8</v>
          </cell>
          <cell r="N118">
            <v>0.21621621621621623</v>
          </cell>
          <cell r="O118">
            <v>3</v>
          </cell>
          <cell r="P118">
            <v>0.42857142857142855</v>
          </cell>
          <cell r="Q118">
            <v>9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3</v>
          </cell>
          <cell r="W118">
            <v>0.42857142857142855</v>
          </cell>
          <cell r="X118">
            <v>0.1308956014838368</v>
          </cell>
        </row>
        <row r="119">
          <cell r="A119">
            <v>1738</v>
          </cell>
          <cell r="B119" t="str">
            <v>ANGLET</v>
          </cell>
          <cell r="C119">
            <v>23</v>
          </cell>
          <cell r="D119">
            <v>0</v>
          </cell>
          <cell r="E119">
            <v>0</v>
          </cell>
          <cell r="F119">
            <v>5</v>
          </cell>
          <cell r="G119">
            <v>0.21739130434782608</v>
          </cell>
          <cell r="H119">
            <v>2</v>
          </cell>
          <cell r="I119">
            <v>0.2857142857142857</v>
          </cell>
          <cell r="J119">
            <v>25</v>
          </cell>
          <cell r="K119">
            <v>0</v>
          </cell>
          <cell r="L119">
            <v>1</v>
          </cell>
          <cell r="M119">
            <v>6</v>
          </cell>
          <cell r="N119">
            <v>0.24</v>
          </cell>
          <cell r="O119">
            <v>2</v>
          </cell>
          <cell r="P119">
            <v>0.2857142857142857</v>
          </cell>
          <cell r="Q119">
            <v>7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3</v>
          </cell>
          <cell r="W119">
            <v>0.42857142857142855</v>
          </cell>
          <cell r="X119">
            <v>0.15246376811594201</v>
          </cell>
        </row>
        <row r="120">
          <cell r="A120">
            <v>1754</v>
          </cell>
          <cell r="B120" t="str">
            <v>ANGLET ERDIAN</v>
          </cell>
          <cell r="C120">
            <v>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2</v>
          </cell>
          <cell r="I120">
            <v>0.2857142857142857</v>
          </cell>
          <cell r="J120">
            <v>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2</v>
          </cell>
          <cell r="P120">
            <v>0.2857142857142857</v>
          </cell>
          <cell r="Q120">
            <v>1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1</v>
          </cell>
          <cell r="W120">
            <v>0.14285714285714285</v>
          </cell>
          <cell r="X120">
            <v>0</v>
          </cell>
        </row>
        <row r="121">
          <cell r="A121">
            <v>1755</v>
          </cell>
          <cell r="B121" t="str">
            <v>USTARITZ</v>
          </cell>
          <cell r="C121">
            <v>7</v>
          </cell>
          <cell r="D121">
            <v>0</v>
          </cell>
          <cell r="E121">
            <v>0</v>
          </cell>
          <cell r="F121">
            <v>1</v>
          </cell>
          <cell r="G121">
            <v>0.14285714285714285</v>
          </cell>
          <cell r="H121">
            <v>2</v>
          </cell>
          <cell r="I121">
            <v>0.2857142857142857</v>
          </cell>
          <cell r="J121">
            <v>7</v>
          </cell>
          <cell r="K121">
            <v>0</v>
          </cell>
          <cell r="L121">
            <v>0</v>
          </cell>
          <cell r="M121">
            <v>2</v>
          </cell>
          <cell r="N121">
            <v>0.2857142857142857</v>
          </cell>
          <cell r="O121">
            <v>1</v>
          </cell>
          <cell r="P121">
            <v>0.14285714285714285</v>
          </cell>
          <cell r="Q121">
            <v>1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1</v>
          </cell>
          <cell r="W121">
            <v>0.14285714285714285</v>
          </cell>
          <cell r="X121">
            <v>0.14285714285714285</v>
          </cell>
        </row>
        <row r="122">
          <cell r="A122">
            <v>1743</v>
          </cell>
          <cell r="B122" t="str">
            <v>CAMBO LES BAINS</v>
          </cell>
          <cell r="C122">
            <v>6</v>
          </cell>
          <cell r="D122">
            <v>1</v>
          </cell>
          <cell r="E122">
            <v>1</v>
          </cell>
          <cell r="F122">
            <v>1</v>
          </cell>
          <cell r="G122">
            <v>0.16666666666666666</v>
          </cell>
          <cell r="H122">
            <v>1</v>
          </cell>
          <cell r="I122">
            <v>0.14285714285714285</v>
          </cell>
          <cell r="J122">
            <v>7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3</v>
          </cell>
          <cell r="P122">
            <v>0.42857142857142855</v>
          </cell>
          <cell r="Q122">
            <v>3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1</v>
          </cell>
          <cell r="W122">
            <v>0.14285714285714285</v>
          </cell>
          <cell r="X122">
            <v>5.5555555555555552E-2</v>
          </cell>
        </row>
        <row r="123">
          <cell r="A123">
            <v>43787</v>
          </cell>
          <cell r="B123" t="str">
            <v>DGA LANDES SUD</v>
          </cell>
          <cell r="C123">
            <v>112</v>
          </cell>
          <cell r="D123">
            <v>3</v>
          </cell>
          <cell r="E123">
            <v>4</v>
          </cell>
          <cell r="F123">
            <v>16</v>
          </cell>
          <cell r="G123">
            <v>0.14285714285714285</v>
          </cell>
          <cell r="H123">
            <v>17</v>
          </cell>
          <cell r="I123">
            <v>2.4285714285714284</v>
          </cell>
          <cell r="J123">
            <v>178</v>
          </cell>
          <cell r="K123">
            <v>4</v>
          </cell>
          <cell r="L123">
            <v>6</v>
          </cell>
          <cell r="M123">
            <v>38</v>
          </cell>
          <cell r="N123">
            <v>0.21348314606741572</v>
          </cell>
          <cell r="O123">
            <v>14</v>
          </cell>
          <cell r="P123">
            <v>2</v>
          </cell>
          <cell r="Q123">
            <v>37</v>
          </cell>
          <cell r="R123">
            <v>0</v>
          </cell>
          <cell r="S123">
            <v>1</v>
          </cell>
          <cell r="T123">
            <v>3</v>
          </cell>
          <cell r="U123">
            <v>8.1081081081081086E-2</v>
          </cell>
          <cell r="V123">
            <v>8</v>
          </cell>
          <cell r="W123">
            <v>1.1428571428571428</v>
          </cell>
          <cell r="X123">
            <v>0.14580712333521323</v>
          </cell>
        </row>
        <row r="124">
          <cell r="A124">
            <v>51732</v>
          </cell>
          <cell r="B124" t="str">
            <v>Multisite DAX</v>
          </cell>
          <cell r="C124">
            <v>61</v>
          </cell>
          <cell r="D124">
            <v>0</v>
          </cell>
          <cell r="E124">
            <v>1</v>
          </cell>
          <cell r="F124">
            <v>7</v>
          </cell>
          <cell r="G124">
            <v>0.11475409836065574</v>
          </cell>
          <cell r="H124">
            <v>11</v>
          </cell>
          <cell r="I124">
            <v>1.5714285714285714</v>
          </cell>
          <cell r="J124">
            <v>75</v>
          </cell>
          <cell r="K124">
            <v>4</v>
          </cell>
          <cell r="L124">
            <v>5</v>
          </cell>
          <cell r="M124">
            <v>21</v>
          </cell>
          <cell r="N124">
            <v>0.28000000000000003</v>
          </cell>
          <cell r="O124">
            <v>1</v>
          </cell>
          <cell r="P124">
            <v>0.14285714285714285</v>
          </cell>
          <cell r="Q124">
            <v>21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7</v>
          </cell>
          <cell r="W124">
            <v>1</v>
          </cell>
          <cell r="X124">
            <v>0.13158469945355192</v>
          </cell>
        </row>
        <row r="125">
          <cell r="A125">
            <v>1732</v>
          </cell>
          <cell r="B125" t="str">
            <v>DAX</v>
          </cell>
          <cell r="C125">
            <v>39</v>
          </cell>
          <cell r="D125">
            <v>0</v>
          </cell>
          <cell r="E125">
            <v>1</v>
          </cell>
          <cell r="F125">
            <v>3</v>
          </cell>
          <cell r="G125">
            <v>7.6923076923076927E-2</v>
          </cell>
          <cell r="H125">
            <v>9</v>
          </cell>
          <cell r="I125">
            <v>1.2857142857142858</v>
          </cell>
          <cell r="J125">
            <v>50</v>
          </cell>
          <cell r="K125">
            <v>4</v>
          </cell>
          <cell r="L125">
            <v>5</v>
          </cell>
          <cell r="M125">
            <v>18</v>
          </cell>
          <cell r="N125">
            <v>0.36</v>
          </cell>
          <cell r="O125">
            <v>0</v>
          </cell>
          <cell r="P125">
            <v>0</v>
          </cell>
          <cell r="Q125">
            <v>13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4</v>
          </cell>
          <cell r="W125">
            <v>0.5714285714285714</v>
          </cell>
          <cell r="X125">
            <v>0.14564102564102563</v>
          </cell>
        </row>
        <row r="126">
          <cell r="A126">
            <v>1742</v>
          </cell>
          <cell r="B126" t="str">
            <v>PEYREHORADE</v>
          </cell>
          <cell r="C126">
            <v>8</v>
          </cell>
          <cell r="D126">
            <v>0</v>
          </cell>
          <cell r="E126">
            <v>0</v>
          </cell>
          <cell r="F126">
            <v>2</v>
          </cell>
          <cell r="G126">
            <v>0.25</v>
          </cell>
          <cell r="H126">
            <v>1</v>
          </cell>
          <cell r="I126">
            <v>0.14285714285714285</v>
          </cell>
          <cell r="J126">
            <v>12</v>
          </cell>
          <cell r="K126">
            <v>0</v>
          </cell>
          <cell r="L126">
            <v>0</v>
          </cell>
          <cell r="M126">
            <v>1</v>
          </cell>
          <cell r="N126">
            <v>8.3333333333333329E-2</v>
          </cell>
          <cell r="O126">
            <v>3</v>
          </cell>
          <cell r="P126">
            <v>0.42857142857142855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1</v>
          </cell>
          <cell r="W126">
            <v>0.14285714285714285</v>
          </cell>
          <cell r="X126">
            <v>0.1111111111111111</v>
          </cell>
        </row>
        <row r="127">
          <cell r="A127">
            <v>1745</v>
          </cell>
          <cell r="B127" t="str">
            <v>SAINT PAUL LES DAX</v>
          </cell>
          <cell r="C127">
            <v>14</v>
          </cell>
          <cell r="D127">
            <v>0</v>
          </cell>
          <cell r="E127">
            <v>0</v>
          </cell>
          <cell r="F127">
            <v>2</v>
          </cell>
          <cell r="G127">
            <v>0.14285714285714285</v>
          </cell>
          <cell r="H127">
            <v>3</v>
          </cell>
          <cell r="I127">
            <v>0.42857142857142855</v>
          </cell>
          <cell r="J127">
            <v>13</v>
          </cell>
          <cell r="K127">
            <v>0</v>
          </cell>
          <cell r="L127">
            <v>0</v>
          </cell>
          <cell r="M127">
            <v>2</v>
          </cell>
          <cell r="N127">
            <v>0.15384615384615385</v>
          </cell>
          <cell r="O127">
            <v>2</v>
          </cell>
          <cell r="P127">
            <v>0.2857142857142857</v>
          </cell>
          <cell r="Q127">
            <v>5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2</v>
          </cell>
          <cell r="W127">
            <v>0.2857142857142857</v>
          </cell>
          <cell r="X127">
            <v>9.8901098901098897E-2</v>
          </cell>
        </row>
        <row r="128">
          <cell r="A128">
            <v>51746</v>
          </cell>
          <cell r="B128" t="str">
            <v>Multisite CAPBRETON</v>
          </cell>
          <cell r="C128">
            <v>51</v>
          </cell>
          <cell r="D128">
            <v>3</v>
          </cell>
          <cell r="E128">
            <v>3</v>
          </cell>
          <cell r="F128">
            <v>9</v>
          </cell>
          <cell r="G128">
            <v>0.17647058823529413</v>
          </cell>
          <cell r="H128">
            <v>6</v>
          </cell>
          <cell r="I128">
            <v>0.8571428571428571</v>
          </cell>
          <cell r="J128">
            <v>55</v>
          </cell>
          <cell r="K128">
            <v>0</v>
          </cell>
          <cell r="L128">
            <v>1</v>
          </cell>
          <cell r="M128">
            <v>17</v>
          </cell>
          <cell r="N128">
            <v>0.30909090909090908</v>
          </cell>
          <cell r="O128">
            <v>0</v>
          </cell>
          <cell r="P128">
            <v>0</v>
          </cell>
          <cell r="Q128">
            <v>16</v>
          </cell>
          <cell r="R128">
            <v>0</v>
          </cell>
          <cell r="S128">
            <v>1</v>
          </cell>
          <cell r="T128">
            <v>3</v>
          </cell>
          <cell r="U128">
            <v>0.1875</v>
          </cell>
          <cell r="V128">
            <v>2</v>
          </cell>
          <cell r="W128">
            <v>0.2857142857142857</v>
          </cell>
          <cell r="X128">
            <v>0.22435383244206775</v>
          </cell>
        </row>
        <row r="129">
          <cell r="A129">
            <v>1740</v>
          </cell>
          <cell r="B129" t="str">
            <v>TARNOS</v>
          </cell>
          <cell r="C129">
            <v>12</v>
          </cell>
          <cell r="D129">
            <v>0</v>
          </cell>
          <cell r="E129">
            <v>0</v>
          </cell>
          <cell r="F129">
            <v>1</v>
          </cell>
          <cell r="G129">
            <v>8.3333333333333329E-2</v>
          </cell>
          <cell r="H129">
            <v>3</v>
          </cell>
          <cell r="I129">
            <v>0.42857142857142855</v>
          </cell>
          <cell r="J129">
            <v>9</v>
          </cell>
          <cell r="K129">
            <v>0</v>
          </cell>
          <cell r="L129">
            <v>1</v>
          </cell>
          <cell r="M129">
            <v>4</v>
          </cell>
          <cell r="N129">
            <v>0.44</v>
          </cell>
          <cell r="O129">
            <v>0</v>
          </cell>
          <cell r="P129">
            <v>0</v>
          </cell>
          <cell r="Q129">
            <v>3</v>
          </cell>
          <cell r="R129">
            <v>0</v>
          </cell>
          <cell r="S129">
            <v>1</v>
          </cell>
          <cell r="T129">
            <v>2</v>
          </cell>
          <cell r="U129">
            <v>0.44</v>
          </cell>
          <cell r="V129">
            <v>0</v>
          </cell>
          <cell r="W129">
            <v>0</v>
          </cell>
          <cell r="X129">
            <v>0.32111111111111112</v>
          </cell>
        </row>
        <row r="130">
          <cell r="A130">
            <v>1746</v>
          </cell>
          <cell r="B130" t="str">
            <v>CAPBRETON</v>
          </cell>
          <cell r="C130">
            <v>24</v>
          </cell>
          <cell r="D130">
            <v>2</v>
          </cell>
          <cell r="E130">
            <v>2</v>
          </cell>
          <cell r="F130">
            <v>4</v>
          </cell>
          <cell r="G130">
            <v>0.16666666666666666</v>
          </cell>
          <cell r="H130">
            <v>3</v>
          </cell>
          <cell r="I130">
            <v>0.42857142857142855</v>
          </cell>
          <cell r="J130">
            <v>30</v>
          </cell>
          <cell r="K130">
            <v>0</v>
          </cell>
          <cell r="L130">
            <v>0</v>
          </cell>
          <cell r="M130">
            <v>13</v>
          </cell>
          <cell r="N130">
            <v>0.43333333333333335</v>
          </cell>
          <cell r="O130">
            <v>0</v>
          </cell>
          <cell r="P130">
            <v>0</v>
          </cell>
          <cell r="Q130">
            <v>8</v>
          </cell>
          <cell r="R130">
            <v>0</v>
          </cell>
          <cell r="S130">
            <v>0</v>
          </cell>
          <cell r="T130">
            <v>1</v>
          </cell>
          <cell r="U130">
            <v>0.125</v>
          </cell>
          <cell r="V130">
            <v>2</v>
          </cell>
          <cell r="W130">
            <v>0.2857142857142857</v>
          </cell>
          <cell r="X130">
            <v>0.24166666666666667</v>
          </cell>
        </row>
        <row r="131">
          <cell r="A131">
            <v>1753</v>
          </cell>
          <cell r="B131" t="str">
            <v>SAINT VINCENT DE TYROSSE</v>
          </cell>
          <cell r="C131">
            <v>15</v>
          </cell>
          <cell r="D131">
            <v>1</v>
          </cell>
          <cell r="E131">
            <v>1</v>
          </cell>
          <cell r="F131">
            <v>4</v>
          </cell>
          <cell r="G131">
            <v>0.26666666666666666</v>
          </cell>
          <cell r="H131">
            <v>1</v>
          </cell>
          <cell r="I131">
            <v>0.14285714285714285</v>
          </cell>
          <cell r="J131">
            <v>16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5</v>
          </cell>
          <cell r="P131">
            <v>0.7142857142857143</v>
          </cell>
          <cell r="Q131">
            <v>5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2</v>
          </cell>
          <cell r="W131">
            <v>0.2857142857142857</v>
          </cell>
          <cell r="X131">
            <v>8.8888888888888892E-2</v>
          </cell>
        </row>
        <row r="132">
          <cell r="A132">
            <v>43804</v>
          </cell>
          <cell r="B132" t="str">
            <v>DGA VIENNE</v>
          </cell>
          <cell r="C132">
            <v>114</v>
          </cell>
          <cell r="D132">
            <v>0</v>
          </cell>
          <cell r="E132">
            <v>3</v>
          </cell>
          <cell r="F132">
            <v>13</v>
          </cell>
          <cell r="G132">
            <v>0.11403508771929824</v>
          </cell>
          <cell r="H132">
            <v>21</v>
          </cell>
          <cell r="I132">
            <v>3</v>
          </cell>
          <cell r="J132">
            <v>182</v>
          </cell>
          <cell r="K132">
            <v>0</v>
          </cell>
          <cell r="L132">
            <v>4</v>
          </cell>
          <cell r="M132">
            <v>24</v>
          </cell>
          <cell r="N132">
            <v>0.13186813186813187</v>
          </cell>
          <cell r="O132">
            <v>29</v>
          </cell>
          <cell r="P132">
            <v>4.1428571428571432</v>
          </cell>
          <cell r="Q132">
            <v>34</v>
          </cell>
          <cell r="R132">
            <v>0</v>
          </cell>
          <cell r="S132">
            <v>1</v>
          </cell>
          <cell r="T132">
            <v>5</v>
          </cell>
          <cell r="U132">
            <v>0.14705882352941177</v>
          </cell>
          <cell r="V132">
            <v>5</v>
          </cell>
          <cell r="W132">
            <v>0.7142857142857143</v>
          </cell>
          <cell r="X132">
            <v>0.13098734770561396</v>
          </cell>
        </row>
        <row r="133">
          <cell r="A133">
            <v>57800</v>
          </cell>
          <cell r="B133" t="str">
            <v>Multisite POITIERS</v>
          </cell>
          <cell r="C133">
            <v>45</v>
          </cell>
          <cell r="D133">
            <v>0</v>
          </cell>
          <cell r="E133">
            <v>2</v>
          </cell>
          <cell r="F133">
            <v>6</v>
          </cell>
          <cell r="G133">
            <v>0.13333333333333333</v>
          </cell>
          <cell r="H133">
            <v>8</v>
          </cell>
          <cell r="I133">
            <v>1.1428571428571428</v>
          </cell>
          <cell r="J133">
            <v>37</v>
          </cell>
          <cell r="K133">
            <v>0</v>
          </cell>
          <cell r="L133">
            <v>1</v>
          </cell>
          <cell r="M133">
            <v>13</v>
          </cell>
          <cell r="N133">
            <v>0.35135135135135137</v>
          </cell>
          <cell r="O133">
            <v>0</v>
          </cell>
          <cell r="P133">
            <v>0</v>
          </cell>
          <cell r="Q133">
            <v>14</v>
          </cell>
          <cell r="R133">
            <v>0</v>
          </cell>
          <cell r="S133">
            <v>0</v>
          </cell>
          <cell r="T133">
            <v>1</v>
          </cell>
          <cell r="U133">
            <v>7.1428571428571425E-2</v>
          </cell>
          <cell r="V133">
            <v>4</v>
          </cell>
          <cell r="W133">
            <v>0.5714285714285714</v>
          </cell>
          <cell r="X133">
            <v>0.18537108537108538</v>
          </cell>
        </row>
        <row r="134">
          <cell r="A134">
            <v>7800</v>
          </cell>
          <cell r="B134" t="str">
            <v>POITIERS</v>
          </cell>
          <cell r="C134">
            <v>35</v>
          </cell>
          <cell r="D134">
            <v>0</v>
          </cell>
          <cell r="E134">
            <v>2</v>
          </cell>
          <cell r="F134">
            <v>5</v>
          </cell>
          <cell r="G134">
            <v>0.14285714285714285</v>
          </cell>
          <cell r="H134">
            <v>6</v>
          </cell>
          <cell r="I134">
            <v>0.8571428571428571</v>
          </cell>
          <cell r="J134">
            <v>26</v>
          </cell>
          <cell r="K134">
            <v>0</v>
          </cell>
          <cell r="L134">
            <v>1</v>
          </cell>
          <cell r="M134">
            <v>10</v>
          </cell>
          <cell r="N134">
            <v>0.38461538461538464</v>
          </cell>
          <cell r="O134">
            <v>0</v>
          </cell>
          <cell r="P134">
            <v>0</v>
          </cell>
          <cell r="Q134">
            <v>12</v>
          </cell>
          <cell r="R134">
            <v>0</v>
          </cell>
          <cell r="S134">
            <v>0</v>
          </cell>
          <cell r="T134">
            <v>1</v>
          </cell>
          <cell r="U134">
            <v>8.3333333333333329E-2</v>
          </cell>
          <cell r="V134">
            <v>3</v>
          </cell>
          <cell r="W134">
            <v>0.42857142857142855</v>
          </cell>
          <cell r="X134">
            <v>0.20360195360195363</v>
          </cell>
        </row>
        <row r="135">
          <cell r="A135">
            <v>7803</v>
          </cell>
          <cell r="B135" t="str">
            <v>POITIERS BOURBEAU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</row>
        <row r="136">
          <cell r="A136">
            <v>7839</v>
          </cell>
          <cell r="B136" t="str">
            <v>POITIERS LIBERATION</v>
          </cell>
          <cell r="C136">
            <v>10</v>
          </cell>
          <cell r="D136">
            <v>0</v>
          </cell>
          <cell r="E136">
            <v>0</v>
          </cell>
          <cell r="F136">
            <v>1</v>
          </cell>
          <cell r="G136">
            <v>0.1</v>
          </cell>
          <cell r="H136">
            <v>2</v>
          </cell>
          <cell r="I136">
            <v>0.2857142857142857</v>
          </cell>
          <cell r="J136">
            <v>11</v>
          </cell>
          <cell r="K136">
            <v>0</v>
          </cell>
          <cell r="L136">
            <v>0</v>
          </cell>
          <cell r="M136">
            <v>3</v>
          </cell>
          <cell r="N136">
            <v>0.27272727272727271</v>
          </cell>
          <cell r="O136">
            <v>1</v>
          </cell>
          <cell r="P136">
            <v>0.14285714285714285</v>
          </cell>
          <cell r="Q136">
            <v>2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1</v>
          </cell>
          <cell r="W136">
            <v>0.14285714285714285</v>
          </cell>
          <cell r="X136">
            <v>0.12424242424242422</v>
          </cell>
        </row>
        <row r="137">
          <cell r="A137">
            <v>7831</v>
          </cell>
          <cell r="B137" t="str">
            <v>CHATELLERAULT</v>
          </cell>
          <cell r="C137">
            <v>46</v>
          </cell>
          <cell r="D137">
            <v>0</v>
          </cell>
          <cell r="E137">
            <v>1</v>
          </cell>
          <cell r="F137">
            <v>7</v>
          </cell>
          <cell r="G137">
            <v>0.15217391304347827</v>
          </cell>
          <cell r="H137">
            <v>7</v>
          </cell>
          <cell r="I137">
            <v>1</v>
          </cell>
          <cell r="J137">
            <v>38</v>
          </cell>
          <cell r="K137">
            <v>0</v>
          </cell>
          <cell r="L137">
            <v>0</v>
          </cell>
          <cell r="M137">
            <v>7</v>
          </cell>
          <cell r="N137">
            <v>0.18421052631578946</v>
          </cell>
          <cell r="O137">
            <v>5</v>
          </cell>
          <cell r="P137">
            <v>0.7142857142857143</v>
          </cell>
          <cell r="Q137">
            <v>15</v>
          </cell>
          <cell r="R137">
            <v>0</v>
          </cell>
          <cell r="S137">
            <v>0</v>
          </cell>
          <cell r="T137">
            <v>1</v>
          </cell>
          <cell r="U137">
            <v>6.6666666666666666E-2</v>
          </cell>
          <cell r="V137">
            <v>4</v>
          </cell>
          <cell r="W137">
            <v>0.5714285714285714</v>
          </cell>
          <cell r="X137">
            <v>0.13435036867531147</v>
          </cell>
        </row>
        <row r="138">
          <cell r="A138">
            <v>57836</v>
          </cell>
          <cell r="B138" t="str">
            <v>Multisite POITIERS PROVENCE</v>
          </cell>
          <cell r="C138">
            <v>23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7</v>
          </cell>
          <cell r="I138">
            <v>1</v>
          </cell>
          <cell r="J138">
            <v>22</v>
          </cell>
          <cell r="K138">
            <v>0</v>
          </cell>
          <cell r="L138">
            <v>3</v>
          </cell>
          <cell r="M138">
            <v>4</v>
          </cell>
          <cell r="N138">
            <v>0.18181818181818182</v>
          </cell>
          <cell r="O138">
            <v>3</v>
          </cell>
          <cell r="P138">
            <v>0.42857142857142855</v>
          </cell>
          <cell r="Q138">
            <v>7</v>
          </cell>
          <cell r="R138">
            <v>0</v>
          </cell>
          <cell r="S138">
            <v>1</v>
          </cell>
          <cell r="T138">
            <v>3</v>
          </cell>
          <cell r="U138">
            <v>0.42857142857142855</v>
          </cell>
          <cell r="V138">
            <v>0</v>
          </cell>
          <cell r="W138">
            <v>0</v>
          </cell>
          <cell r="X138">
            <v>0.20346320346320346</v>
          </cell>
        </row>
        <row r="139">
          <cell r="A139">
            <v>7802</v>
          </cell>
          <cell r="B139" t="str">
            <v>NEUVILLE DE POITOU</v>
          </cell>
          <cell r="C139">
            <v>2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1</v>
          </cell>
          <cell r="I139">
            <v>0.14285714285714285</v>
          </cell>
          <cell r="J139">
            <v>4</v>
          </cell>
          <cell r="K139">
            <v>0</v>
          </cell>
          <cell r="L139">
            <v>0</v>
          </cell>
          <cell r="M139">
            <v>1</v>
          </cell>
          <cell r="N139">
            <v>0.25</v>
          </cell>
          <cell r="O139">
            <v>1</v>
          </cell>
          <cell r="P139">
            <v>0.14285714285714285</v>
          </cell>
          <cell r="Q139">
            <v>1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1</v>
          </cell>
          <cell r="W139">
            <v>0.14285714285714285</v>
          </cell>
          <cell r="X139">
            <v>8.3333333333333329E-2</v>
          </cell>
        </row>
        <row r="140">
          <cell r="A140">
            <v>7832</v>
          </cell>
          <cell r="B140" t="str">
            <v>POITIERS BEAULIEU</v>
          </cell>
          <cell r="C140">
            <v>6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2</v>
          </cell>
          <cell r="I140">
            <v>0.2857142857142857</v>
          </cell>
          <cell r="J140">
            <v>6</v>
          </cell>
          <cell r="K140">
            <v>0</v>
          </cell>
          <cell r="L140">
            <v>1</v>
          </cell>
          <cell r="M140">
            <v>1</v>
          </cell>
          <cell r="N140">
            <v>0.16666666666666666</v>
          </cell>
          <cell r="O140">
            <v>1</v>
          </cell>
          <cell r="P140">
            <v>0.14285714285714285</v>
          </cell>
          <cell r="Q140">
            <v>2</v>
          </cell>
          <cell r="R140">
            <v>0</v>
          </cell>
          <cell r="S140">
            <v>1</v>
          </cell>
          <cell r="T140">
            <v>1</v>
          </cell>
          <cell r="U140">
            <v>0.44</v>
          </cell>
          <cell r="V140">
            <v>0</v>
          </cell>
          <cell r="W140">
            <v>0</v>
          </cell>
          <cell r="X140">
            <v>0.20222222222222222</v>
          </cell>
        </row>
        <row r="141">
          <cell r="A141">
            <v>7836</v>
          </cell>
          <cell r="B141" t="str">
            <v>POITIERS PROVENCE</v>
          </cell>
          <cell r="C141">
            <v>15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5</v>
          </cell>
          <cell r="I141">
            <v>0.7142857142857143</v>
          </cell>
          <cell r="J141">
            <v>12</v>
          </cell>
          <cell r="K141">
            <v>0</v>
          </cell>
          <cell r="L141">
            <v>2</v>
          </cell>
          <cell r="M141">
            <v>2</v>
          </cell>
          <cell r="N141">
            <v>0.16666666666666666</v>
          </cell>
          <cell r="O141">
            <v>2</v>
          </cell>
          <cell r="P141">
            <v>0.2857142857142857</v>
          </cell>
          <cell r="Q141">
            <v>4</v>
          </cell>
          <cell r="R141">
            <v>0</v>
          </cell>
          <cell r="S141">
            <v>0</v>
          </cell>
          <cell r="T141">
            <v>2</v>
          </cell>
          <cell r="U141">
            <v>0.44</v>
          </cell>
          <cell r="V141">
            <v>0</v>
          </cell>
          <cell r="W141">
            <v>0</v>
          </cell>
          <cell r="X141">
            <v>0.20222222222222222</v>
          </cell>
        </row>
        <row r="142">
          <cell r="A142">
            <v>43812</v>
          </cell>
          <cell r="B142" t="str">
            <v>DGA PAYS ROCHELAIS DEUX SEVRES</v>
          </cell>
          <cell r="C142">
            <v>153</v>
          </cell>
          <cell r="D142">
            <v>2</v>
          </cell>
          <cell r="E142">
            <v>3</v>
          </cell>
          <cell r="F142">
            <v>26</v>
          </cell>
          <cell r="G142">
            <v>0.16993464052287582</v>
          </cell>
          <cell r="H142">
            <v>19</v>
          </cell>
          <cell r="I142">
            <v>2.7142857142857144</v>
          </cell>
          <cell r="J142">
            <v>271</v>
          </cell>
          <cell r="K142">
            <v>1</v>
          </cell>
          <cell r="L142">
            <v>2</v>
          </cell>
          <cell r="M142">
            <v>39</v>
          </cell>
          <cell r="N142">
            <v>0.14391143911439114</v>
          </cell>
          <cell r="O142">
            <v>40</v>
          </cell>
          <cell r="P142">
            <v>5.7142857142857144</v>
          </cell>
          <cell r="Q142">
            <v>52</v>
          </cell>
          <cell r="R142">
            <v>1</v>
          </cell>
          <cell r="S142">
            <v>1</v>
          </cell>
          <cell r="T142">
            <v>13</v>
          </cell>
          <cell r="U142">
            <v>0.25</v>
          </cell>
          <cell r="V142">
            <v>3</v>
          </cell>
          <cell r="W142">
            <v>0.42857142857142855</v>
          </cell>
          <cell r="X142">
            <v>0.18794869321242233</v>
          </cell>
        </row>
        <row r="143">
          <cell r="A143">
            <v>55131</v>
          </cell>
          <cell r="B143" t="str">
            <v>Multisite BRESSUIRE</v>
          </cell>
          <cell r="C143">
            <v>32</v>
          </cell>
          <cell r="D143">
            <v>0</v>
          </cell>
          <cell r="E143">
            <v>0</v>
          </cell>
          <cell r="F143">
            <v>2</v>
          </cell>
          <cell r="G143">
            <v>6.25E-2</v>
          </cell>
          <cell r="H143">
            <v>8</v>
          </cell>
          <cell r="I143">
            <v>1.1428571428571428</v>
          </cell>
          <cell r="J143">
            <v>28</v>
          </cell>
          <cell r="K143">
            <v>0</v>
          </cell>
          <cell r="L143">
            <v>0</v>
          </cell>
          <cell r="M143">
            <v>10</v>
          </cell>
          <cell r="N143">
            <v>0.35714285714285715</v>
          </cell>
          <cell r="O143">
            <v>0</v>
          </cell>
          <cell r="P143">
            <v>0</v>
          </cell>
          <cell r="Q143">
            <v>11</v>
          </cell>
          <cell r="R143">
            <v>0</v>
          </cell>
          <cell r="S143">
            <v>0</v>
          </cell>
          <cell r="T143">
            <v>2</v>
          </cell>
          <cell r="U143">
            <v>0.18181818181818182</v>
          </cell>
          <cell r="V143">
            <v>2</v>
          </cell>
          <cell r="W143">
            <v>0.2857142857142857</v>
          </cell>
          <cell r="X143">
            <v>0.20048701298701299</v>
          </cell>
        </row>
        <row r="144">
          <cell r="A144">
            <v>5131</v>
          </cell>
          <cell r="B144" t="str">
            <v>BRESSUIRE</v>
          </cell>
          <cell r="C144">
            <v>17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5</v>
          </cell>
          <cell r="I144">
            <v>0.7142857142857143</v>
          </cell>
          <cell r="J144">
            <v>15</v>
          </cell>
          <cell r="K144">
            <v>0</v>
          </cell>
          <cell r="L144">
            <v>0</v>
          </cell>
          <cell r="M144">
            <v>6</v>
          </cell>
          <cell r="N144">
            <v>0.4</v>
          </cell>
          <cell r="O144">
            <v>0</v>
          </cell>
          <cell r="P144">
            <v>0</v>
          </cell>
          <cell r="Q144">
            <v>6</v>
          </cell>
          <cell r="R144">
            <v>0</v>
          </cell>
          <cell r="S144">
            <v>0</v>
          </cell>
          <cell r="T144">
            <v>1</v>
          </cell>
          <cell r="U144">
            <v>0.16666666666666666</v>
          </cell>
          <cell r="V144">
            <v>1</v>
          </cell>
          <cell r="W144">
            <v>0.14285714285714285</v>
          </cell>
          <cell r="X144">
            <v>0.18888888888888888</v>
          </cell>
        </row>
        <row r="145">
          <cell r="A145">
            <v>5139</v>
          </cell>
          <cell r="B145" t="str">
            <v>THOUARS</v>
          </cell>
          <cell r="C145">
            <v>4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2</v>
          </cell>
          <cell r="I145">
            <v>0.2857142857142857</v>
          </cell>
          <cell r="J145">
            <v>6</v>
          </cell>
          <cell r="K145">
            <v>0</v>
          </cell>
          <cell r="L145">
            <v>0</v>
          </cell>
          <cell r="M145">
            <v>3</v>
          </cell>
          <cell r="N145">
            <v>0.44</v>
          </cell>
          <cell r="O145">
            <v>0</v>
          </cell>
          <cell r="P145">
            <v>0</v>
          </cell>
          <cell r="Q145">
            <v>1</v>
          </cell>
          <cell r="R145">
            <v>0</v>
          </cell>
          <cell r="S145">
            <v>0</v>
          </cell>
          <cell r="T145">
            <v>1</v>
          </cell>
          <cell r="U145">
            <v>0.44</v>
          </cell>
          <cell r="V145">
            <v>0</v>
          </cell>
          <cell r="W145">
            <v>0</v>
          </cell>
          <cell r="X145">
            <v>0.29333333333333333</v>
          </cell>
        </row>
        <row r="146">
          <cell r="A146">
            <v>7834</v>
          </cell>
          <cell r="B146" t="str">
            <v>PARTHENAY</v>
          </cell>
          <cell r="C146">
            <v>11</v>
          </cell>
          <cell r="D146">
            <v>0</v>
          </cell>
          <cell r="E146">
            <v>0</v>
          </cell>
          <cell r="F146">
            <v>2</v>
          </cell>
          <cell r="G146">
            <v>0.18181818181818182</v>
          </cell>
          <cell r="H146">
            <v>2</v>
          </cell>
          <cell r="I146">
            <v>0.2857142857142857</v>
          </cell>
          <cell r="J146">
            <v>7</v>
          </cell>
          <cell r="K146">
            <v>0</v>
          </cell>
          <cell r="L146">
            <v>0</v>
          </cell>
          <cell r="M146">
            <v>1</v>
          </cell>
          <cell r="N146">
            <v>0.14285714285714285</v>
          </cell>
          <cell r="O146">
            <v>2</v>
          </cell>
          <cell r="P146">
            <v>0.2857142857142857</v>
          </cell>
          <cell r="Q146">
            <v>4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2</v>
          </cell>
          <cell r="W146">
            <v>0.2857142857142857</v>
          </cell>
          <cell r="X146">
            <v>0.10822510822510822</v>
          </cell>
        </row>
        <row r="147">
          <cell r="A147">
            <v>57833</v>
          </cell>
          <cell r="B147" t="str">
            <v>Multisite NIORT</v>
          </cell>
          <cell r="C147">
            <v>33</v>
          </cell>
          <cell r="D147">
            <v>0</v>
          </cell>
          <cell r="E147">
            <v>0</v>
          </cell>
          <cell r="F147">
            <v>4</v>
          </cell>
          <cell r="G147">
            <v>0.12121212121212122</v>
          </cell>
          <cell r="H147">
            <v>6</v>
          </cell>
          <cell r="I147">
            <v>0.8571428571428571</v>
          </cell>
          <cell r="J147">
            <v>27</v>
          </cell>
          <cell r="K147">
            <v>0</v>
          </cell>
          <cell r="L147">
            <v>1</v>
          </cell>
          <cell r="M147">
            <v>4</v>
          </cell>
          <cell r="N147">
            <v>0.14814814814814814</v>
          </cell>
          <cell r="O147">
            <v>4</v>
          </cell>
          <cell r="P147">
            <v>0.5714285714285714</v>
          </cell>
          <cell r="Q147">
            <v>10</v>
          </cell>
          <cell r="R147">
            <v>1</v>
          </cell>
          <cell r="S147">
            <v>1</v>
          </cell>
          <cell r="T147">
            <v>3</v>
          </cell>
          <cell r="U147">
            <v>0.3</v>
          </cell>
          <cell r="V147">
            <v>0</v>
          </cell>
          <cell r="W147">
            <v>0</v>
          </cell>
          <cell r="X147">
            <v>0.18978675645342311</v>
          </cell>
        </row>
        <row r="148">
          <cell r="A148">
            <v>7833</v>
          </cell>
          <cell r="B148" t="str">
            <v>NIORT</v>
          </cell>
          <cell r="C148">
            <v>29</v>
          </cell>
          <cell r="D148">
            <v>0</v>
          </cell>
          <cell r="E148">
            <v>0</v>
          </cell>
          <cell r="F148">
            <v>4</v>
          </cell>
          <cell r="G148">
            <v>0.13793103448275862</v>
          </cell>
          <cell r="H148">
            <v>5</v>
          </cell>
          <cell r="I148">
            <v>0.7142857142857143</v>
          </cell>
          <cell r="J148">
            <v>22</v>
          </cell>
          <cell r="K148">
            <v>0</v>
          </cell>
          <cell r="L148">
            <v>1</v>
          </cell>
          <cell r="M148">
            <v>4</v>
          </cell>
          <cell r="N148">
            <v>0.18181818181818182</v>
          </cell>
          <cell r="O148">
            <v>3</v>
          </cell>
          <cell r="P148">
            <v>0.42857142857142855</v>
          </cell>
          <cell r="Q148">
            <v>9</v>
          </cell>
          <cell r="R148">
            <v>1</v>
          </cell>
          <cell r="S148">
            <v>1</v>
          </cell>
          <cell r="T148">
            <v>3</v>
          </cell>
          <cell r="U148">
            <v>0.33333333333333331</v>
          </cell>
          <cell r="V148">
            <v>0</v>
          </cell>
          <cell r="W148">
            <v>0</v>
          </cell>
          <cell r="X148">
            <v>0.21769418321142461</v>
          </cell>
        </row>
        <row r="149">
          <cell r="A149">
            <v>7835</v>
          </cell>
          <cell r="B149" t="str">
            <v>SAINT MAIXENT L'ECOLE</v>
          </cell>
          <cell r="C149">
            <v>4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2</v>
          </cell>
          <cell r="I149">
            <v>0.2857142857142857</v>
          </cell>
          <cell r="J149">
            <v>5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2</v>
          </cell>
          <cell r="P149">
            <v>0.2857142857142857</v>
          </cell>
          <cell r="Q149">
            <v>1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1</v>
          </cell>
          <cell r="W149">
            <v>0.14285714285714285</v>
          </cell>
          <cell r="X149">
            <v>0</v>
          </cell>
        </row>
        <row r="150">
          <cell r="A150">
            <v>7837</v>
          </cell>
          <cell r="B150" t="str">
            <v>MELLE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</row>
        <row r="151">
          <cell r="A151">
            <v>58100</v>
          </cell>
          <cell r="B151" t="str">
            <v>Multisite LA ROCHELLE</v>
          </cell>
          <cell r="C151">
            <v>48</v>
          </cell>
          <cell r="D151">
            <v>0</v>
          </cell>
          <cell r="E151">
            <v>1</v>
          </cell>
          <cell r="F151">
            <v>8</v>
          </cell>
          <cell r="G151">
            <v>0.16666666666666666</v>
          </cell>
          <cell r="H151">
            <v>6</v>
          </cell>
          <cell r="I151">
            <v>0.8571428571428571</v>
          </cell>
          <cell r="J151">
            <v>49</v>
          </cell>
          <cell r="K151">
            <v>1</v>
          </cell>
          <cell r="L151">
            <v>1</v>
          </cell>
          <cell r="M151">
            <v>13</v>
          </cell>
          <cell r="N151">
            <v>0.26530612244897961</v>
          </cell>
          <cell r="O151">
            <v>2</v>
          </cell>
          <cell r="P151">
            <v>0.2857142857142857</v>
          </cell>
          <cell r="Q151">
            <v>17</v>
          </cell>
          <cell r="R151">
            <v>0</v>
          </cell>
          <cell r="S151">
            <v>0</v>
          </cell>
          <cell r="T151">
            <v>7</v>
          </cell>
          <cell r="U151">
            <v>0.41176470588235292</v>
          </cell>
          <cell r="V151">
            <v>0</v>
          </cell>
          <cell r="W151">
            <v>0</v>
          </cell>
          <cell r="X151">
            <v>0.28124583166599976</v>
          </cell>
        </row>
        <row r="152">
          <cell r="A152">
            <v>8100</v>
          </cell>
          <cell r="B152" t="str">
            <v>LA ROCHELLE</v>
          </cell>
          <cell r="C152">
            <v>29</v>
          </cell>
          <cell r="D152">
            <v>0</v>
          </cell>
          <cell r="E152">
            <v>1</v>
          </cell>
          <cell r="F152">
            <v>5</v>
          </cell>
          <cell r="G152">
            <v>0.17241379310344829</v>
          </cell>
          <cell r="H152">
            <v>4</v>
          </cell>
          <cell r="I152">
            <v>0.5714285714285714</v>
          </cell>
          <cell r="J152">
            <v>33</v>
          </cell>
          <cell r="K152">
            <v>1</v>
          </cell>
          <cell r="L152">
            <v>1</v>
          </cell>
          <cell r="M152">
            <v>13</v>
          </cell>
          <cell r="N152">
            <v>0.39393939393939392</v>
          </cell>
          <cell r="O152">
            <v>0</v>
          </cell>
          <cell r="P152">
            <v>0</v>
          </cell>
          <cell r="Q152">
            <v>9</v>
          </cell>
          <cell r="R152">
            <v>0</v>
          </cell>
          <cell r="S152">
            <v>0</v>
          </cell>
          <cell r="T152">
            <v>4</v>
          </cell>
          <cell r="U152">
            <v>0.44</v>
          </cell>
          <cell r="V152">
            <v>0</v>
          </cell>
          <cell r="W152">
            <v>0</v>
          </cell>
          <cell r="X152">
            <v>0.33545106234761407</v>
          </cell>
        </row>
        <row r="153">
          <cell r="A153">
            <v>8146</v>
          </cell>
          <cell r="B153" t="str">
            <v>LA ROCHELLE BEL AIR</v>
          </cell>
          <cell r="C153">
            <v>2</v>
          </cell>
          <cell r="D153">
            <v>0</v>
          </cell>
          <cell r="E153">
            <v>0</v>
          </cell>
          <cell r="F153">
            <v>1</v>
          </cell>
          <cell r="G153">
            <v>0.44</v>
          </cell>
          <cell r="H153">
            <v>0</v>
          </cell>
          <cell r="I153">
            <v>0</v>
          </cell>
          <cell r="J153">
            <v>1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1</v>
          </cell>
          <cell r="P153">
            <v>0.14285714285714285</v>
          </cell>
          <cell r="Q153">
            <v>2</v>
          </cell>
          <cell r="R153">
            <v>0</v>
          </cell>
          <cell r="S153">
            <v>0</v>
          </cell>
          <cell r="T153">
            <v>1</v>
          </cell>
          <cell r="U153">
            <v>0.44</v>
          </cell>
          <cell r="V153">
            <v>0</v>
          </cell>
          <cell r="W153">
            <v>0</v>
          </cell>
          <cell r="X153">
            <v>0.29333333333333333</v>
          </cell>
        </row>
        <row r="154">
          <cell r="A154">
            <v>8150</v>
          </cell>
          <cell r="B154" t="str">
            <v>LA ROCHELLE MARCHE</v>
          </cell>
          <cell r="C154">
            <v>17</v>
          </cell>
          <cell r="D154">
            <v>0</v>
          </cell>
          <cell r="E154">
            <v>0</v>
          </cell>
          <cell r="F154">
            <v>2</v>
          </cell>
          <cell r="G154">
            <v>0.11764705882352941</v>
          </cell>
          <cell r="H154">
            <v>3</v>
          </cell>
          <cell r="I154">
            <v>0.42857142857142855</v>
          </cell>
          <cell r="J154">
            <v>15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5</v>
          </cell>
          <cell r="P154">
            <v>0.7142857142857143</v>
          </cell>
          <cell r="Q154">
            <v>6</v>
          </cell>
          <cell r="R154">
            <v>0</v>
          </cell>
          <cell r="S154">
            <v>0</v>
          </cell>
          <cell r="T154">
            <v>2</v>
          </cell>
          <cell r="U154">
            <v>0.33333333333333331</v>
          </cell>
          <cell r="V154">
            <v>0</v>
          </cell>
          <cell r="W154">
            <v>0</v>
          </cell>
          <cell r="X154">
            <v>0.15032679738562091</v>
          </cell>
        </row>
        <row r="155">
          <cell r="A155">
            <v>58143</v>
          </cell>
          <cell r="B155" t="str">
            <v>Multisite AYTRE</v>
          </cell>
          <cell r="C155">
            <v>28</v>
          </cell>
          <cell r="D155">
            <v>1</v>
          </cell>
          <cell r="E155">
            <v>1</v>
          </cell>
          <cell r="F155">
            <v>8</v>
          </cell>
          <cell r="G155">
            <v>0.2857142857142857</v>
          </cell>
          <cell r="H155">
            <v>1</v>
          </cell>
          <cell r="I155">
            <v>0.14285714285714285</v>
          </cell>
          <cell r="J155">
            <v>23</v>
          </cell>
          <cell r="K155">
            <v>0</v>
          </cell>
          <cell r="L155">
            <v>0</v>
          </cell>
          <cell r="M155">
            <v>7</v>
          </cell>
          <cell r="N155">
            <v>0.30434782608695654</v>
          </cell>
          <cell r="O155">
            <v>0</v>
          </cell>
          <cell r="P155">
            <v>0</v>
          </cell>
          <cell r="Q155">
            <v>10</v>
          </cell>
          <cell r="R155">
            <v>0</v>
          </cell>
          <cell r="S155">
            <v>0</v>
          </cell>
          <cell r="T155">
            <v>1</v>
          </cell>
          <cell r="U155">
            <v>0.1</v>
          </cell>
          <cell r="V155">
            <v>2</v>
          </cell>
          <cell r="W155">
            <v>0.2857142857142857</v>
          </cell>
          <cell r="X155">
            <v>0.23002070393374741</v>
          </cell>
        </row>
        <row r="156">
          <cell r="A156">
            <v>8143</v>
          </cell>
          <cell r="B156" t="str">
            <v>AYTRE</v>
          </cell>
          <cell r="C156">
            <v>15</v>
          </cell>
          <cell r="D156">
            <v>1</v>
          </cell>
          <cell r="E156">
            <v>1</v>
          </cell>
          <cell r="F156">
            <v>4</v>
          </cell>
          <cell r="G156">
            <v>0.26666666666666666</v>
          </cell>
          <cell r="H156">
            <v>1</v>
          </cell>
          <cell r="I156">
            <v>0.14285714285714285</v>
          </cell>
          <cell r="J156">
            <v>13</v>
          </cell>
          <cell r="K156">
            <v>0</v>
          </cell>
          <cell r="L156">
            <v>0</v>
          </cell>
          <cell r="M156">
            <v>1</v>
          </cell>
          <cell r="N156">
            <v>7.6923076923076927E-2</v>
          </cell>
          <cell r="O156">
            <v>3</v>
          </cell>
          <cell r="P156">
            <v>0.42857142857142855</v>
          </cell>
          <cell r="Q156">
            <v>5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2</v>
          </cell>
          <cell r="W156">
            <v>0.2857142857142857</v>
          </cell>
          <cell r="X156">
            <v>0.11452991452991453</v>
          </cell>
        </row>
        <row r="157">
          <cell r="A157">
            <v>8145</v>
          </cell>
          <cell r="B157" t="str">
            <v>MARANS</v>
          </cell>
          <cell r="C157">
            <v>5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2</v>
          </cell>
          <cell r="I157">
            <v>0.2857142857142857</v>
          </cell>
          <cell r="J157">
            <v>4</v>
          </cell>
          <cell r="K157">
            <v>0</v>
          </cell>
          <cell r="L157">
            <v>0</v>
          </cell>
          <cell r="M157">
            <v>2</v>
          </cell>
          <cell r="N157">
            <v>0.44</v>
          </cell>
          <cell r="O157">
            <v>0</v>
          </cell>
          <cell r="P157">
            <v>0</v>
          </cell>
          <cell r="Q157">
            <v>1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1</v>
          </cell>
          <cell r="W157">
            <v>0.14285714285714285</v>
          </cell>
          <cell r="X157">
            <v>0.14666666666666667</v>
          </cell>
        </row>
        <row r="158">
          <cell r="A158">
            <v>8152</v>
          </cell>
          <cell r="B158" t="str">
            <v>PERIGNY</v>
          </cell>
          <cell r="C158">
            <v>6</v>
          </cell>
          <cell r="D158">
            <v>0</v>
          </cell>
          <cell r="E158">
            <v>0</v>
          </cell>
          <cell r="F158">
            <v>3</v>
          </cell>
          <cell r="G158">
            <v>0.44</v>
          </cell>
          <cell r="H158">
            <v>0</v>
          </cell>
          <cell r="I158">
            <v>0</v>
          </cell>
          <cell r="J158">
            <v>4</v>
          </cell>
          <cell r="K158">
            <v>0</v>
          </cell>
          <cell r="L158">
            <v>0</v>
          </cell>
          <cell r="M158">
            <v>4</v>
          </cell>
          <cell r="N158">
            <v>0.44</v>
          </cell>
          <cell r="O158">
            <v>0</v>
          </cell>
          <cell r="P158">
            <v>0</v>
          </cell>
          <cell r="Q158">
            <v>3</v>
          </cell>
          <cell r="R158">
            <v>0</v>
          </cell>
          <cell r="S158">
            <v>0</v>
          </cell>
          <cell r="T158">
            <v>1</v>
          </cell>
          <cell r="U158">
            <v>0.33333333333333331</v>
          </cell>
          <cell r="V158">
            <v>0</v>
          </cell>
          <cell r="W158">
            <v>0</v>
          </cell>
          <cell r="X158">
            <v>0.40444444444444444</v>
          </cell>
        </row>
        <row r="159">
          <cell r="A159">
            <v>8153</v>
          </cell>
          <cell r="B159" t="str">
            <v>LA ROCHELLE LES MINIMES</v>
          </cell>
          <cell r="C159">
            <v>2</v>
          </cell>
          <cell r="D159">
            <v>0</v>
          </cell>
          <cell r="E159">
            <v>0</v>
          </cell>
          <cell r="F159">
            <v>1</v>
          </cell>
          <cell r="G159">
            <v>0.44</v>
          </cell>
          <cell r="H159">
            <v>0</v>
          </cell>
          <cell r="I159">
            <v>0</v>
          </cell>
          <cell r="J159">
            <v>2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1</v>
          </cell>
          <cell r="P159">
            <v>0.14285714285714285</v>
          </cell>
          <cell r="Q159">
            <v>1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1</v>
          </cell>
          <cell r="W159">
            <v>0.14285714285714285</v>
          </cell>
          <cell r="X159">
            <v>0.14666666666666667</v>
          </cell>
        </row>
        <row r="160">
          <cell r="A160">
            <v>8148</v>
          </cell>
          <cell r="B160" t="str">
            <v>SAINT MARTIN DE RE</v>
          </cell>
          <cell r="C160">
            <v>12</v>
          </cell>
          <cell r="D160">
            <v>1</v>
          </cell>
          <cell r="E160">
            <v>1</v>
          </cell>
          <cell r="F160">
            <v>4</v>
          </cell>
          <cell r="G160">
            <v>0.33333333333333331</v>
          </cell>
          <cell r="H160">
            <v>0</v>
          </cell>
          <cell r="I160">
            <v>0</v>
          </cell>
          <cell r="J160">
            <v>13</v>
          </cell>
          <cell r="K160">
            <v>0</v>
          </cell>
          <cell r="L160">
            <v>0</v>
          </cell>
          <cell r="M160">
            <v>5</v>
          </cell>
          <cell r="N160">
            <v>0.38461538461538464</v>
          </cell>
          <cell r="O160">
            <v>0</v>
          </cell>
          <cell r="P160">
            <v>0</v>
          </cell>
          <cell r="Q160">
            <v>4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2</v>
          </cell>
          <cell r="W160">
            <v>0.2857142857142857</v>
          </cell>
          <cell r="X160">
            <v>0.23931623931623933</v>
          </cell>
        </row>
        <row r="161">
          <cell r="A161">
            <v>43816</v>
          </cell>
          <cell r="B161" t="str">
            <v>DGA CHARENTE MARITIME SUD</v>
          </cell>
          <cell r="C161">
            <v>100</v>
          </cell>
          <cell r="D161">
            <v>1</v>
          </cell>
          <cell r="E161">
            <v>1</v>
          </cell>
          <cell r="F161">
            <v>17</v>
          </cell>
          <cell r="G161">
            <v>0.17</v>
          </cell>
          <cell r="H161">
            <v>12</v>
          </cell>
          <cell r="I161">
            <v>1.7142857142857142</v>
          </cell>
          <cell r="J161">
            <v>194</v>
          </cell>
          <cell r="K161">
            <v>0</v>
          </cell>
          <cell r="L161">
            <v>1</v>
          </cell>
          <cell r="M161">
            <v>24</v>
          </cell>
          <cell r="N161">
            <v>0.12371134020618557</v>
          </cell>
          <cell r="O161">
            <v>33</v>
          </cell>
          <cell r="P161">
            <v>4.7142857142857144</v>
          </cell>
          <cell r="Q161">
            <v>40</v>
          </cell>
          <cell r="R161">
            <v>0</v>
          </cell>
          <cell r="S161">
            <v>0</v>
          </cell>
          <cell r="T161">
            <v>11</v>
          </cell>
          <cell r="U161">
            <v>0.27500000000000002</v>
          </cell>
          <cell r="V161">
            <v>1</v>
          </cell>
          <cell r="W161">
            <v>0.14285714285714285</v>
          </cell>
          <cell r="X161">
            <v>0.18957044673539522</v>
          </cell>
        </row>
        <row r="162">
          <cell r="A162">
            <v>8131</v>
          </cell>
          <cell r="B162" t="str">
            <v>JONZAC</v>
          </cell>
          <cell r="C162">
            <v>9</v>
          </cell>
          <cell r="D162">
            <v>0</v>
          </cell>
          <cell r="E162">
            <v>0</v>
          </cell>
          <cell r="F162">
            <v>2</v>
          </cell>
          <cell r="G162">
            <v>0.22222222222222221</v>
          </cell>
          <cell r="H162">
            <v>1</v>
          </cell>
          <cell r="I162">
            <v>0.14285714285714285</v>
          </cell>
          <cell r="J162">
            <v>9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3</v>
          </cell>
          <cell r="P162">
            <v>0.42857142857142855</v>
          </cell>
          <cell r="Q162">
            <v>3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1</v>
          </cell>
          <cell r="W162">
            <v>0.14285714285714285</v>
          </cell>
          <cell r="X162">
            <v>7.407407407407407E-2</v>
          </cell>
        </row>
        <row r="163">
          <cell r="A163">
            <v>58134</v>
          </cell>
          <cell r="B163" t="str">
            <v>Multisite ROCHEFORT SUR MER</v>
          </cell>
          <cell r="C163">
            <v>28</v>
          </cell>
          <cell r="D163">
            <v>0</v>
          </cell>
          <cell r="E163">
            <v>0</v>
          </cell>
          <cell r="F163">
            <v>3</v>
          </cell>
          <cell r="G163">
            <v>0.10714285714285714</v>
          </cell>
          <cell r="H163">
            <v>6</v>
          </cell>
          <cell r="I163">
            <v>0.8571428571428571</v>
          </cell>
          <cell r="J163">
            <v>30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9</v>
          </cell>
          <cell r="P163">
            <v>1.2857142857142858</v>
          </cell>
          <cell r="Q163">
            <v>13</v>
          </cell>
          <cell r="R163">
            <v>0</v>
          </cell>
          <cell r="S163">
            <v>0</v>
          </cell>
          <cell r="T163">
            <v>3</v>
          </cell>
          <cell r="U163">
            <v>0.23076923076923078</v>
          </cell>
          <cell r="V163">
            <v>1</v>
          </cell>
          <cell r="W163">
            <v>0.14285714285714285</v>
          </cell>
          <cell r="X163">
            <v>0.11263736263736264</v>
          </cell>
        </row>
        <row r="164">
          <cell r="A164">
            <v>8134</v>
          </cell>
          <cell r="B164" t="str">
            <v>ROCHEFORT SUR MER</v>
          </cell>
          <cell r="C164">
            <v>17</v>
          </cell>
          <cell r="D164">
            <v>0</v>
          </cell>
          <cell r="E164">
            <v>0</v>
          </cell>
          <cell r="F164">
            <v>1</v>
          </cell>
          <cell r="G164">
            <v>5.8823529411764705E-2</v>
          </cell>
          <cell r="H164">
            <v>4</v>
          </cell>
          <cell r="I164">
            <v>0.5714285714285714</v>
          </cell>
          <cell r="J164">
            <v>17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5</v>
          </cell>
          <cell r="P164">
            <v>0.7142857142857143</v>
          </cell>
          <cell r="Q164">
            <v>9</v>
          </cell>
          <cell r="R164">
            <v>0</v>
          </cell>
          <cell r="S164">
            <v>0</v>
          </cell>
          <cell r="T164">
            <v>3</v>
          </cell>
          <cell r="U164">
            <v>0.33333333333333331</v>
          </cell>
          <cell r="V164">
            <v>0</v>
          </cell>
          <cell r="W164">
            <v>0</v>
          </cell>
          <cell r="X164">
            <v>0.13071895424836602</v>
          </cell>
        </row>
        <row r="165">
          <cell r="A165">
            <v>8137</v>
          </cell>
          <cell r="B165" t="str">
            <v>SURGERES</v>
          </cell>
          <cell r="C165">
            <v>3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1</v>
          </cell>
          <cell r="I165">
            <v>0.14285714285714285</v>
          </cell>
          <cell r="J165">
            <v>3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1</v>
          </cell>
          <cell r="P165">
            <v>0.14285714285714285</v>
          </cell>
          <cell r="Q165">
            <v>1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1</v>
          </cell>
          <cell r="W165">
            <v>0.14285714285714285</v>
          </cell>
          <cell r="X165">
            <v>0</v>
          </cell>
        </row>
        <row r="166">
          <cell r="A166">
            <v>8142</v>
          </cell>
          <cell r="B166" t="str">
            <v>SAINT PIERRE D'OLERON</v>
          </cell>
          <cell r="C166">
            <v>8</v>
          </cell>
          <cell r="D166">
            <v>0</v>
          </cell>
          <cell r="E166">
            <v>0</v>
          </cell>
          <cell r="F166">
            <v>2</v>
          </cell>
          <cell r="G166">
            <v>0.25</v>
          </cell>
          <cell r="H166">
            <v>1</v>
          </cell>
          <cell r="I166">
            <v>0.14285714285714285</v>
          </cell>
          <cell r="J166">
            <v>10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3</v>
          </cell>
          <cell r="P166">
            <v>0.42857142857142855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1</v>
          </cell>
          <cell r="W166">
            <v>0.14285714285714285</v>
          </cell>
          <cell r="X166">
            <v>8.3333333333333329E-2</v>
          </cell>
        </row>
        <row r="167">
          <cell r="A167">
            <v>58135</v>
          </cell>
          <cell r="B167" t="str">
            <v>Multisite SAINTES</v>
          </cell>
          <cell r="C167">
            <v>20</v>
          </cell>
          <cell r="D167">
            <v>1</v>
          </cell>
          <cell r="E167">
            <v>1</v>
          </cell>
          <cell r="F167">
            <v>4</v>
          </cell>
          <cell r="G167">
            <v>0.2</v>
          </cell>
          <cell r="H167">
            <v>2</v>
          </cell>
          <cell r="I167">
            <v>0.2857142857142857</v>
          </cell>
          <cell r="J167">
            <v>20</v>
          </cell>
          <cell r="K167">
            <v>0</v>
          </cell>
          <cell r="L167">
            <v>0</v>
          </cell>
          <cell r="M167">
            <v>8</v>
          </cell>
          <cell r="N167">
            <v>0.4</v>
          </cell>
          <cell r="O167">
            <v>0</v>
          </cell>
          <cell r="P167">
            <v>0</v>
          </cell>
          <cell r="Q167">
            <v>9</v>
          </cell>
          <cell r="R167">
            <v>0</v>
          </cell>
          <cell r="S167">
            <v>0</v>
          </cell>
          <cell r="T167">
            <v>3</v>
          </cell>
          <cell r="U167">
            <v>0.33333333333333331</v>
          </cell>
          <cell r="V167">
            <v>0</v>
          </cell>
          <cell r="W167">
            <v>0</v>
          </cell>
          <cell r="X167">
            <v>0.31111111111111112</v>
          </cell>
        </row>
        <row r="168">
          <cell r="A168">
            <v>8135</v>
          </cell>
          <cell r="B168" t="str">
            <v>SAINTES</v>
          </cell>
          <cell r="C168">
            <v>17</v>
          </cell>
          <cell r="D168">
            <v>1</v>
          </cell>
          <cell r="E168">
            <v>1</v>
          </cell>
          <cell r="F168">
            <v>4</v>
          </cell>
          <cell r="G168">
            <v>0.23529411764705882</v>
          </cell>
          <cell r="H168">
            <v>1</v>
          </cell>
          <cell r="I168">
            <v>0.14285714285714285</v>
          </cell>
          <cell r="J168">
            <v>17</v>
          </cell>
          <cell r="K168">
            <v>0</v>
          </cell>
          <cell r="L168">
            <v>0</v>
          </cell>
          <cell r="M168">
            <v>8</v>
          </cell>
          <cell r="N168">
            <v>0.44</v>
          </cell>
          <cell r="O168">
            <v>0</v>
          </cell>
          <cell r="P168">
            <v>0</v>
          </cell>
          <cell r="Q168">
            <v>8</v>
          </cell>
          <cell r="R168">
            <v>0</v>
          </cell>
          <cell r="S168">
            <v>0</v>
          </cell>
          <cell r="T168">
            <v>1</v>
          </cell>
          <cell r="U168">
            <v>0.125</v>
          </cell>
          <cell r="V168">
            <v>2</v>
          </cell>
          <cell r="W168">
            <v>0.2857142857142857</v>
          </cell>
          <cell r="X168">
            <v>0.26676470588235296</v>
          </cell>
        </row>
        <row r="169">
          <cell r="A169">
            <v>8160</v>
          </cell>
          <cell r="B169" t="str">
            <v>SAINTES RECOUVRANCE</v>
          </cell>
          <cell r="C169">
            <v>3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1</v>
          </cell>
          <cell r="I169">
            <v>0.14285714285714285</v>
          </cell>
          <cell r="J169">
            <v>3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1</v>
          </cell>
          <cell r="P169">
            <v>0.14285714285714285</v>
          </cell>
          <cell r="Q169">
            <v>1</v>
          </cell>
          <cell r="R169">
            <v>0</v>
          </cell>
          <cell r="S169">
            <v>0</v>
          </cell>
          <cell r="T169">
            <v>2</v>
          </cell>
          <cell r="U169">
            <v>0.44</v>
          </cell>
          <cell r="V169">
            <v>0</v>
          </cell>
          <cell r="W169">
            <v>0</v>
          </cell>
          <cell r="X169">
            <v>0.14666666666666667</v>
          </cell>
        </row>
        <row r="170">
          <cell r="A170">
            <v>8136</v>
          </cell>
          <cell r="B170" t="str">
            <v>SAINT JEAN D'ANGELY</v>
          </cell>
          <cell r="C170">
            <v>7</v>
          </cell>
          <cell r="D170">
            <v>0</v>
          </cell>
          <cell r="E170">
            <v>0</v>
          </cell>
          <cell r="F170">
            <v>2</v>
          </cell>
          <cell r="G170">
            <v>0.2857142857142857</v>
          </cell>
          <cell r="H170">
            <v>1</v>
          </cell>
          <cell r="I170">
            <v>0.14285714285714285</v>
          </cell>
          <cell r="J170">
            <v>6</v>
          </cell>
          <cell r="K170">
            <v>0</v>
          </cell>
          <cell r="L170">
            <v>0</v>
          </cell>
          <cell r="M170">
            <v>4</v>
          </cell>
          <cell r="N170">
            <v>0.44</v>
          </cell>
          <cell r="O170">
            <v>0</v>
          </cell>
          <cell r="P170">
            <v>0</v>
          </cell>
          <cell r="Q170">
            <v>1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1</v>
          </cell>
          <cell r="W170">
            <v>0.14285714285714285</v>
          </cell>
          <cell r="X170">
            <v>0.24190476190476193</v>
          </cell>
        </row>
        <row r="171">
          <cell r="A171">
            <v>8139</v>
          </cell>
          <cell r="B171" t="str">
            <v>MATHA</v>
          </cell>
          <cell r="C171">
            <v>4</v>
          </cell>
          <cell r="D171">
            <v>0</v>
          </cell>
          <cell r="E171">
            <v>0</v>
          </cell>
          <cell r="F171">
            <v>1</v>
          </cell>
          <cell r="G171">
            <v>0.25</v>
          </cell>
          <cell r="H171">
            <v>1</v>
          </cell>
          <cell r="I171">
            <v>0.14285714285714285</v>
          </cell>
          <cell r="J171">
            <v>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2</v>
          </cell>
          <cell r="P171">
            <v>0.2857142857142857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1</v>
          </cell>
          <cell r="W171">
            <v>0.14285714285714285</v>
          </cell>
          <cell r="X171">
            <v>8.3333333333333329E-2</v>
          </cell>
        </row>
        <row r="172">
          <cell r="A172">
            <v>8140</v>
          </cell>
          <cell r="B172" t="str">
            <v>ROYAN</v>
          </cell>
          <cell r="C172">
            <v>32</v>
          </cell>
          <cell r="D172">
            <v>0</v>
          </cell>
          <cell r="E172">
            <v>0</v>
          </cell>
          <cell r="F172">
            <v>5</v>
          </cell>
          <cell r="G172">
            <v>0.15625</v>
          </cell>
          <cell r="H172">
            <v>5</v>
          </cell>
          <cell r="I172">
            <v>0.7142857142857143</v>
          </cell>
          <cell r="J172">
            <v>30</v>
          </cell>
          <cell r="K172">
            <v>0</v>
          </cell>
          <cell r="L172">
            <v>1</v>
          </cell>
          <cell r="M172">
            <v>12</v>
          </cell>
          <cell r="N172">
            <v>0.4</v>
          </cell>
          <cell r="O172">
            <v>0</v>
          </cell>
          <cell r="P172">
            <v>0</v>
          </cell>
          <cell r="Q172">
            <v>13</v>
          </cell>
          <cell r="R172">
            <v>0</v>
          </cell>
          <cell r="S172">
            <v>0</v>
          </cell>
          <cell r="T172">
            <v>5</v>
          </cell>
          <cell r="U172">
            <v>0.38461538461538464</v>
          </cell>
          <cell r="V172">
            <v>0</v>
          </cell>
          <cell r="W172">
            <v>0</v>
          </cell>
          <cell r="X172">
            <v>0.31362179487179492</v>
          </cell>
        </row>
        <row r="173">
          <cell r="A173">
            <v>43874</v>
          </cell>
          <cell r="B173" t="str">
            <v>DGA CHARENTE</v>
          </cell>
          <cell r="C173">
            <v>133</v>
          </cell>
          <cell r="D173">
            <v>0</v>
          </cell>
          <cell r="E173">
            <v>0</v>
          </cell>
          <cell r="F173">
            <v>9</v>
          </cell>
          <cell r="G173">
            <v>6.7669172932330823E-2</v>
          </cell>
          <cell r="H173">
            <v>30</v>
          </cell>
          <cell r="I173">
            <v>4.2857142857142856</v>
          </cell>
          <cell r="J173">
            <v>246</v>
          </cell>
          <cell r="K173">
            <v>0</v>
          </cell>
          <cell r="L173">
            <v>2</v>
          </cell>
          <cell r="M173">
            <v>33</v>
          </cell>
          <cell r="N173">
            <v>0.13414634146341464</v>
          </cell>
          <cell r="O173">
            <v>39</v>
          </cell>
          <cell r="P173">
            <v>5.5714285714285712</v>
          </cell>
          <cell r="Q173">
            <v>46</v>
          </cell>
          <cell r="R173">
            <v>0</v>
          </cell>
          <cell r="S173">
            <v>0</v>
          </cell>
          <cell r="T173">
            <v>8</v>
          </cell>
          <cell r="U173">
            <v>0.17391304347826086</v>
          </cell>
          <cell r="V173">
            <v>6</v>
          </cell>
          <cell r="W173">
            <v>0.8571428571428571</v>
          </cell>
          <cell r="X173">
            <v>0.12524285262466878</v>
          </cell>
        </row>
        <row r="174">
          <cell r="A174">
            <v>55200</v>
          </cell>
          <cell r="B174" t="str">
            <v>Multisite ANGOULEME</v>
          </cell>
          <cell r="C174">
            <v>40</v>
          </cell>
          <cell r="D174">
            <v>0</v>
          </cell>
          <cell r="E174">
            <v>0</v>
          </cell>
          <cell r="F174">
            <v>5</v>
          </cell>
          <cell r="G174">
            <v>0.125</v>
          </cell>
          <cell r="H174">
            <v>7</v>
          </cell>
          <cell r="I174">
            <v>1</v>
          </cell>
          <cell r="J174">
            <v>54</v>
          </cell>
          <cell r="K174">
            <v>0</v>
          </cell>
          <cell r="L174">
            <v>0</v>
          </cell>
          <cell r="M174">
            <v>12</v>
          </cell>
          <cell r="N174">
            <v>0.22222222222222221</v>
          </cell>
          <cell r="O174">
            <v>4</v>
          </cell>
          <cell r="P174">
            <v>0.5714285714285714</v>
          </cell>
          <cell r="Q174">
            <v>21</v>
          </cell>
          <cell r="R174">
            <v>0</v>
          </cell>
          <cell r="S174">
            <v>0</v>
          </cell>
          <cell r="T174">
            <v>4</v>
          </cell>
          <cell r="U174">
            <v>0.19047619047619047</v>
          </cell>
          <cell r="V174">
            <v>3</v>
          </cell>
          <cell r="W174">
            <v>0.42857142857142855</v>
          </cell>
          <cell r="X174">
            <v>0.17923280423280422</v>
          </cell>
        </row>
        <row r="175">
          <cell r="A175">
            <v>5200</v>
          </cell>
          <cell r="B175" t="str">
            <v>ANGOULEME</v>
          </cell>
          <cell r="C175">
            <v>37</v>
          </cell>
          <cell r="D175">
            <v>0</v>
          </cell>
          <cell r="E175">
            <v>0</v>
          </cell>
          <cell r="F175">
            <v>4</v>
          </cell>
          <cell r="G175">
            <v>0.10810810810810811</v>
          </cell>
          <cell r="H175">
            <v>7</v>
          </cell>
          <cell r="I175">
            <v>1</v>
          </cell>
          <cell r="J175">
            <v>45</v>
          </cell>
          <cell r="K175">
            <v>0</v>
          </cell>
          <cell r="L175">
            <v>0</v>
          </cell>
          <cell r="M175">
            <v>11</v>
          </cell>
          <cell r="N175">
            <v>0.24444444444444444</v>
          </cell>
          <cell r="O175">
            <v>3</v>
          </cell>
          <cell r="P175">
            <v>0.42857142857142855</v>
          </cell>
          <cell r="Q175">
            <v>17</v>
          </cell>
          <cell r="R175">
            <v>0</v>
          </cell>
          <cell r="S175">
            <v>0</v>
          </cell>
          <cell r="T175">
            <v>3</v>
          </cell>
          <cell r="U175">
            <v>0.17647058823529413</v>
          </cell>
          <cell r="V175">
            <v>2</v>
          </cell>
          <cell r="W175">
            <v>0.2857142857142857</v>
          </cell>
          <cell r="X175">
            <v>0.17634104692928224</v>
          </cell>
        </row>
        <row r="176">
          <cell r="A176">
            <v>5237</v>
          </cell>
          <cell r="B176" t="str">
            <v>RUELLE</v>
          </cell>
          <cell r="C176">
            <v>3</v>
          </cell>
          <cell r="D176">
            <v>0</v>
          </cell>
          <cell r="E176">
            <v>0</v>
          </cell>
          <cell r="F176">
            <v>1</v>
          </cell>
          <cell r="G176">
            <v>0.33333333333333331</v>
          </cell>
          <cell r="H176">
            <v>0</v>
          </cell>
          <cell r="I176">
            <v>0</v>
          </cell>
          <cell r="J176">
            <v>9</v>
          </cell>
          <cell r="K176">
            <v>0</v>
          </cell>
          <cell r="L176">
            <v>0</v>
          </cell>
          <cell r="M176">
            <v>1</v>
          </cell>
          <cell r="N176">
            <v>0.1111111111111111</v>
          </cell>
          <cell r="O176">
            <v>2</v>
          </cell>
          <cell r="P176">
            <v>0.2857142857142857</v>
          </cell>
          <cell r="Q176">
            <v>4</v>
          </cell>
          <cell r="R176">
            <v>0</v>
          </cell>
          <cell r="S176">
            <v>0</v>
          </cell>
          <cell r="T176">
            <v>1</v>
          </cell>
          <cell r="U176">
            <v>0.25</v>
          </cell>
          <cell r="V176">
            <v>1</v>
          </cell>
          <cell r="W176">
            <v>0.14285714285714285</v>
          </cell>
          <cell r="X176">
            <v>0.23148148148148148</v>
          </cell>
        </row>
        <row r="177">
          <cell r="A177">
            <v>5243</v>
          </cell>
          <cell r="B177" t="str">
            <v>ANGOULEME SAINT CYBARD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</row>
        <row r="178">
          <cell r="A178">
            <v>5231</v>
          </cell>
          <cell r="B178" t="str">
            <v>BARBEZIEUX</v>
          </cell>
          <cell r="C178">
            <v>9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3</v>
          </cell>
          <cell r="I178">
            <v>0.42857142857142855</v>
          </cell>
          <cell r="J178">
            <v>8</v>
          </cell>
          <cell r="K178">
            <v>0</v>
          </cell>
          <cell r="L178">
            <v>1</v>
          </cell>
          <cell r="M178">
            <v>2</v>
          </cell>
          <cell r="N178">
            <v>0.25</v>
          </cell>
          <cell r="O178">
            <v>1</v>
          </cell>
          <cell r="P178">
            <v>0.14285714285714285</v>
          </cell>
          <cell r="Q178">
            <v>4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2</v>
          </cell>
          <cell r="W178">
            <v>0.2857142857142857</v>
          </cell>
          <cell r="X178">
            <v>8.3333333333333329E-2</v>
          </cell>
        </row>
        <row r="179">
          <cell r="A179">
            <v>5234</v>
          </cell>
          <cell r="B179" t="str">
            <v>RUFFEC</v>
          </cell>
          <cell r="C179">
            <v>12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4</v>
          </cell>
          <cell r="I179">
            <v>0.5714285714285714</v>
          </cell>
          <cell r="J179">
            <v>13</v>
          </cell>
          <cell r="K179">
            <v>0</v>
          </cell>
          <cell r="L179">
            <v>0</v>
          </cell>
          <cell r="M179">
            <v>1</v>
          </cell>
          <cell r="N179">
            <v>7.6923076923076927E-2</v>
          </cell>
          <cell r="O179">
            <v>3</v>
          </cell>
          <cell r="P179">
            <v>0.42857142857142855</v>
          </cell>
          <cell r="Q179">
            <v>5</v>
          </cell>
          <cell r="R179">
            <v>0</v>
          </cell>
          <cell r="S179">
            <v>0</v>
          </cell>
          <cell r="T179">
            <v>1</v>
          </cell>
          <cell r="U179">
            <v>0.2</v>
          </cell>
          <cell r="V179">
            <v>1</v>
          </cell>
          <cell r="W179">
            <v>0.14285714285714285</v>
          </cell>
          <cell r="X179">
            <v>9.2307692307692313E-2</v>
          </cell>
        </row>
        <row r="180">
          <cell r="A180">
            <v>5236</v>
          </cell>
          <cell r="B180" t="str">
            <v>ANGOULEME VICTOR HUGO</v>
          </cell>
          <cell r="C180">
            <v>20</v>
          </cell>
          <cell r="D180">
            <v>0</v>
          </cell>
          <cell r="E180">
            <v>0</v>
          </cell>
          <cell r="F180">
            <v>2</v>
          </cell>
          <cell r="G180">
            <v>0.1</v>
          </cell>
          <cell r="H180">
            <v>4</v>
          </cell>
          <cell r="I180">
            <v>0.5714285714285714</v>
          </cell>
          <cell r="J180">
            <v>22</v>
          </cell>
          <cell r="K180">
            <v>0</v>
          </cell>
          <cell r="L180">
            <v>0</v>
          </cell>
          <cell r="M180">
            <v>4</v>
          </cell>
          <cell r="N180">
            <v>0.18181818181818182</v>
          </cell>
          <cell r="O180">
            <v>3</v>
          </cell>
          <cell r="P180">
            <v>0.42857142857142855</v>
          </cell>
          <cell r="Q180">
            <v>8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3</v>
          </cell>
          <cell r="W180">
            <v>0.42857142857142855</v>
          </cell>
          <cell r="X180">
            <v>9.3939393939393948E-2</v>
          </cell>
        </row>
        <row r="181">
          <cell r="A181">
            <v>58138</v>
          </cell>
          <cell r="B181" t="str">
            <v>Multisite COGNAC</v>
          </cell>
          <cell r="C181">
            <v>52</v>
          </cell>
          <cell r="D181">
            <v>0</v>
          </cell>
          <cell r="E181">
            <v>0</v>
          </cell>
          <cell r="F181">
            <v>2</v>
          </cell>
          <cell r="G181">
            <v>3.8461538461538464E-2</v>
          </cell>
          <cell r="H181">
            <v>14</v>
          </cell>
          <cell r="I181">
            <v>2</v>
          </cell>
          <cell r="J181">
            <v>51</v>
          </cell>
          <cell r="K181">
            <v>0</v>
          </cell>
          <cell r="L181">
            <v>1</v>
          </cell>
          <cell r="M181">
            <v>14</v>
          </cell>
          <cell r="N181">
            <v>0.27450980392156865</v>
          </cell>
          <cell r="O181">
            <v>1</v>
          </cell>
          <cell r="P181">
            <v>0.14285714285714285</v>
          </cell>
          <cell r="Q181">
            <v>22</v>
          </cell>
          <cell r="R181">
            <v>0</v>
          </cell>
          <cell r="S181">
            <v>0</v>
          </cell>
          <cell r="T181">
            <v>3</v>
          </cell>
          <cell r="U181">
            <v>0.13636363636363635</v>
          </cell>
          <cell r="V181">
            <v>4</v>
          </cell>
          <cell r="W181">
            <v>0.5714285714285714</v>
          </cell>
          <cell r="X181">
            <v>0.14977832624891449</v>
          </cell>
        </row>
        <row r="182">
          <cell r="A182">
            <v>5232</v>
          </cell>
          <cell r="B182" t="str">
            <v>JARNAC</v>
          </cell>
          <cell r="C182">
            <v>6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2</v>
          </cell>
          <cell r="I182">
            <v>0.2857142857142857</v>
          </cell>
          <cell r="J182">
            <v>8</v>
          </cell>
          <cell r="K182">
            <v>0</v>
          </cell>
          <cell r="L182">
            <v>0</v>
          </cell>
          <cell r="M182">
            <v>2</v>
          </cell>
          <cell r="N182">
            <v>0.25</v>
          </cell>
          <cell r="O182">
            <v>1</v>
          </cell>
          <cell r="P182">
            <v>0.14285714285714285</v>
          </cell>
          <cell r="Q182">
            <v>4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2</v>
          </cell>
          <cell r="W182">
            <v>0.2857142857142857</v>
          </cell>
          <cell r="X182">
            <v>8.3333333333333329E-2</v>
          </cell>
        </row>
        <row r="183">
          <cell r="A183">
            <v>5240</v>
          </cell>
          <cell r="B183" t="str">
            <v>ROUILLAC</v>
          </cell>
          <cell r="C183">
            <v>6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2</v>
          </cell>
          <cell r="I183">
            <v>0.2857142857142857</v>
          </cell>
          <cell r="J183">
            <v>7</v>
          </cell>
          <cell r="K183">
            <v>0</v>
          </cell>
          <cell r="L183">
            <v>0</v>
          </cell>
          <cell r="M183">
            <v>1</v>
          </cell>
          <cell r="N183">
            <v>0.14285714285714285</v>
          </cell>
          <cell r="O183">
            <v>2</v>
          </cell>
          <cell r="P183">
            <v>0.2857142857142857</v>
          </cell>
          <cell r="Q183">
            <v>4</v>
          </cell>
          <cell r="R183">
            <v>0</v>
          </cell>
          <cell r="S183">
            <v>0</v>
          </cell>
          <cell r="T183">
            <v>2</v>
          </cell>
          <cell r="U183">
            <v>0.44</v>
          </cell>
          <cell r="V183">
            <v>0</v>
          </cell>
          <cell r="W183">
            <v>0</v>
          </cell>
          <cell r="X183">
            <v>0.19428571428571428</v>
          </cell>
        </row>
        <row r="184">
          <cell r="A184">
            <v>8138</v>
          </cell>
          <cell r="B184" t="str">
            <v>COGNAC</v>
          </cell>
          <cell r="C184">
            <v>40</v>
          </cell>
          <cell r="D184">
            <v>0</v>
          </cell>
          <cell r="E184">
            <v>0</v>
          </cell>
          <cell r="F184">
            <v>2</v>
          </cell>
          <cell r="G184">
            <v>0.05</v>
          </cell>
          <cell r="H184">
            <v>10</v>
          </cell>
          <cell r="I184">
            <v>1.4285714285714286</v>
          </cell>
          <cell r="J184">
            <v>36</v>
          </cell>
          <cell r="K184">
            <v>0</v>
          </cell>
          <cell r="L184">
            <v>1</v>
          </cell>
          <cell r="M184">
            <v>11</v>
          </cell>
          <cell r="N184">
            <v>0.30555555555555558</v>
          </cell>
          <cell r="O184">
            <v>0</v>
          </cell>
          <cell r="P184">
            <v>0</v>
          </cell>
          <cell r="Q184">
            <v>14</v>
          </cell>
          <cell r="R184">
            <v>0</v>
          </cell>
          <cell r="S184">
            <v>0</v>
          </cell>
          <cell r="T184">
            <v>1</v>
          </cell>
          <cell r="U184">
            <v>7.1428571428571425E-2</v>
          </cell>
          <cell r="V184">
            <v>4</v>
          </cell>
          <cell r="W184">
            <v>0.5714285714285714</v>
          </cell>
          <cell r="X184">
            <v>0.14232804232804233</v>
          </cell>
        </row>
        <row r="185">
          <cell r="A185">
            <v>43747</v>
          </cell>
          <cell r="B185" t="str">
            <v>DGA DORDOGNE</v>
          </cell>
          <cell r="C185">
            <v>100</v>
          </cell>
          <cell r="D185">
            <v>0</v>
          </cell>
          <cell r="E185">
            <v>1</v>
          </cell>
          <cell r="F185">
            <v>13</v>
          </cell>
          <cell r="G185">
            <v>0.13</v>
          </cell>
          <cell r="H185">
            <v>16</v>
          </cell>
          <cell r="I185">
            <v>2.2857142857142856</v>
          </cell>
          <cell r="J185">
            <v>201</v>
          </cell>
          <cell r="K185">
            <v>3</v>
          </cell>
          <cell r="L185">
            <v>10</v>
          </cell>
          <cell r="M185">
            <v>51</v>
          </cell>
          <cell r="N185">
            <v>0.2537313432835821</v>
          </cell>
          <cell r="O185">
            <v>8</v>
          </cell>
          <cell r="P185">
            <v>1.1428571428571428</v>
          </cell>
          <cell r="Q185">
            <v>33</v>
          </cell>
          <cell r="R185">
            <v>1</v>
          </cell>
          <cell r="S185">
            <v>1</v>
          </cell>
          <cell r="T185">
            <v>9</v>
          </cell>
          <cell r="U185">
            <v>0.27272727272727271</v>
          </cell>
          <cell r="V185">
            <v>1</v>
          </cell>
          <cell r="W185">
            <v>0.14285714285714285</v>
          </cell>
          <cell r="X185">
            <v>0.21881953867028492</v>
          </cell>
        </row>
        <row r="186">
          <cell r="A186">
            <v>5233</v>
          </cell>
          <cell r="B186" t="str">
            <v>PERIGUEUX</v>
          </cell>
          <cell r="C186">
            <v>42</v>
          </cell>
          <cell r="D186">
            <v>0</v>
          </cell>
          <cell r="E186">
            <v>1</v>
          </cell>
          <cell r="F186">
            <v>9</v>
          </cell>
          <cell r="G186">
            <v>0.21428571428571427</v>
          </cell>
          <cell r="H186">
            <v>4</v>
          </cell>
          <cell r="I186">
            <v>0.5714285714285714</v>
          </cell>
          <cell r="J186">
            <v>49</v>
          </cell>
          <cell r="K186">
            <v>2</v>
          </cell>
          <cell r="L186">
            <v>4</v>
          </cell>
          <cell r="M186">
            <v>29</v>
          </cell>
          <cell r="N186">
            <v>0.44</v>
          </cell>
          <cell r="O186">
            <v>0</v>
          </cell>
          <cell r="P186">
            <v>0</v>
          </cell>
          <cell r="Q186">
            <v>13</v>
          </cell>
          <cell r="R186">
            <v>1</v>
          </cell>
          <cell r="S186">
            <v>1</v>
          </cell>
          <cell r="T186">
            <v>2</v>
          </cell>
          <cell r="U186">
            <v>0.15384615384615385</v>
          </cell>
          <cell r="V186">
            <v>2</v>
          </cell>
          <cell r="W186">
            <v>0.2857142857142857</v>
          </cell>
          <cell r="X186">
            <v>0.26937728937728939</v>
          </cell>
        </row>
        <row r="187">
          <cell r="A187">
            <v>55235</v>
          </cell>
          <cell r="B187" t="str">
            <v>Multisite BERGERAC</v>
          </cell>
          <cell r="C187">
            <v>41</v>
          </cell>
          <cell r="D187">
            <v>0</v>
          </cell>
          <cell r="E187">
            <v>0</v>
          </cell>
          <cell r="F187">
            <v>2</v>
          </cell>
          <cell r="G187">
            <v>4.878048780487805E-2</v>
          </cell>
          <cell r="H187">
            <v>10</v>
          </cell>
          <cell r="I187">
            <v>1.4285714285714286</v>
          </cell>
          <cell r="J187">
            <v>30</v>
          </cell>
          <cell r="K187">
            <v>1</v>
          </cell>
          <cell r="L187">
            <v>4</v>
          </cell>
          <cell r="M187">
            <v>17</v>
          </cell>
          <cell r="N187">
            <v>0.44</v>
          </cell>
          <cell r="O187">
            <v>0</v>
          </cell>
          <cell r="P187">
            <v>0</v>
          </cell>
          <cell r="Q187">
            <v>14</v>
          </cell>
          <cell r="R187">
            <v>0</v>
          </cell>
          <cell r="S187">
            <v>0</v>
          </cell>
          <cell r="T187">
            <v>2</v>
          </cell>
          <cell r="U187">
            <v>0.14285714285714285</v>
          </cell>
          <cell r="V187">
            <v>3</v>
          </cell>
          <cell r="W187">
            <v>0.42857142857142855</v>
          </cell>
          <cell r="X187">
            <v>0.21054587688734028</v>
          </cell>
        </row>
        <row r="188">
          <cell r="A188">
            <v>1849</v>
          </cell>
          <cell r="B188" t="str">
            <v>STE FOY LA GRANDE</v>
          </cell>
          <cell r="C188">
            <v>13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4</v>
          </cell>
          <cell r="I188">
            <v>0.5714285714285714</v>
          </cell>
          <cell r="J188">
            <v>7</v>
          </cell>
          <cell r="K188">
            <v>0</v>
          </cell>
          <cell r="L188">
            <v>2</v>
          </cell>
          <cell r="M188">
            <v>5</v>
          </cell>
          <cell r="N188">
            <v>0.44</v>
          </cell>
          <cell r="O188">
            <v>0</v>
          </cell>
          <cell r="P188">
            <v>0</v>
          </cell>
          <cell r="Q188">
            <v>4</v>
          </cell>
          <cell r="R188">
            <v>0</v>
          </cell>
          <cell r="S188">
            <v>0</v>
          </cell>
          <cell r="T188">
            <v>2</v>
          </cell>
          <cell r="U188">
            <v>0.44</v>
          </cell>
          <cell r="V188">
            <v>0</v>
          </cell>
          <cell r="W188">
            <v>0</v>
          </cell>
          <cell r="X188">
            <v>0.29333333333333333</v>
          </cell>
        </row>
        <row r="189">
          <cell r="A189">
            <v>5235</v>
          </cell>
          <cell r="B189" t="str">
            <v>BERGERAC</v>
          </cell>
          <cell r="C189">
            <v>24</v>
          </cell>
          <cell r="D189">
            <v>0</v>
          </cell>
          <cell r="E189">
            <v>0</v>
          </cell>
          <cell r="F189">
            <v>2</v>
          </cell>
          <cell r="G189">
            <v>8.3333333333333329E-2</v>
          </cell>
          <cell r="H189">
            <v>5</v>
          </cell>
          <cell r="I189">
            <v>0.7142857142857143</v>
          </cell>
          <cell r="J189">
            <v>21</v>
          </cell>
          <cell r="K189">
            <v>1</v>
          </cell>
          <cell r="L189">
            <v>2</v>
          </cell>
          <cell r="M189">
            <v>11</v>
          </cell>
          <cell r="N189">
            <v>0.44</v>
          </cell>
          <cell r="O189">
            <v>0</v>
          </cell>
          <cell r="P189">
            <v>0</v>
          </cell>
          <cell r="Q189">
            <v>8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3</v>
          </cell>
          <cell r="W189">
            <v>0.42857142857142855</v>
          </cell>
          <cell r="X189">
            <v>0.17444444444444443</v>
          </cell>
        </row>
        <row r="190">
          <cell r="A190">
            <v>5239</v>
          </cell>
          <cell r="B190" t="str">
            <v>MUSSIDAN</v>
          </cell>
          <cell r="C190">
            <v>4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2</v>
          </cell>
          <cell r="I190">
            <v>0.2857142857142857</v>
          </cell>
          <cell r="J190">
            <v>2</v>
          </cell>
          <cell r="K190">
            <v>0</v>
          </cell>
          <cell r="L190">
            <v>0</v>
          </cell>
          <cell r="M190">
            <v>1</v>
          </cell>
          <cell r="N190">
            <v>0.44</v>
          </cell>
          <cell r="O190">
            <v>0</v>
          </cell>
          <cell r="P190">
            <v>0</v>
          </cell>
          <cell r="Q190">
            <v>2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1</v>
          </cell>
          <cell r="W190">
            <v>0.14285714285714285</v>
          </cell>
          <cell r="X190">
            <v>0.14666666666666667</v>
          </cell>
        </row>
        <row r="191">
          <cell r="A191">
            <v>5238</v>
          </cell>
          <cell r="B191" t="str">
            <v>SARLAT</v>
          </cell>
          <cell r="C191">
            <v>9</v>
          </cell>
          <cell r="D191">
            <v>0</v>
          </cell>
          <cell r="E191">
            <v>0</v>
          </cell>
          <cell r="F191">
            <v>2</v>
          </cell>
          <cell r="G191">
            <v>0.22222222222222221</v>
          </cell>
          <cell r="H191">
            <v>1</v>
          </cell>
          <cell r="I191">
            <v>0.14285714285714285</v>
          </cell>
          <cell r="J191">
            <v>11</v>
          </cell>
          <cell r="K191">
            <v>0</v>
          </cell>
          <cell r="L191">
            <v>0</v>
          </cell>
          <cell r="M191">
            <v>3</v>
          </cell>
          <cell r="N191">
            <v>0.27272727272727271</v>
          </cell>
          <cell r="O191">
            <v>1</v>
          </cell>
          <cell r="P191">
            <v>0.14285714285714285</v>
          </cell>
          <cell r="Q191">
            <v>3</v>
          </cell>
          <cell r="R191">
            <v>0</v>
          </cell>
          <cell r="S191">
            <v>0</v>
          </cell>
          <cell r="T191">
            <v>3</v>
          </cell>
          <cell r="U191">
            <v>0.44</v>
          </cell>
          <cell r="V191">
            <v>0</v>
          </cell>
          <cell r="W191">
            <v>0</v>
          </cell>
          <cell r="X191">
            <v>0.31164983164983168</v>
          </cell>
        </row>
        <row r="192">
          <cell r="A192">
            <v>5241</v>
          </cell>
          <cell r="B192" t="str">
            <v>NONTRON</v>
          </cell>
          <cell r="C192">
            <v>8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3</v>
          </cell>
          <cell r="I192">
            <v>0.42857142857142855</v>
          </cell>
          <cell r="J192">
            <v>13</v>
          </cell>
          <cell r="K192">
            <v>0</v>
          </cell>
          <cell r="L192">
            <v>2</v>
          </cell>
          <cell r="M192">
            <v>2</v>
          </cell>
          <cell r="N192">
            <v>0.15384615384615385</v>
          </cell>
          <cell r="O192">
            <v>2</v>
          </cell>
          <cell r="P192">
            <v>0.2857142857142857</v>
          </cell>
          <cell r="Q192">
            <v>3</v>
          </cell>
          <cell r="R192">
            <v>0</v>
          </cell>
          <cell r="S192">
            <v>0</v>
          </cell>
          <cell r="T192">
            <v>2</v>
          </cell>
          <cell r="U192">
            <v>0.44</v>
          </cell>
          <cell r="V192">
            <v>0</v>
          </cell>
          <cell r="W192">
            <v>0</v>
          </cell>
          <cell r="X192">
            <v>0.19794871794871796</v>
          </cell>
        </row>
        <row r="193">
          <cell r="A193">
            <v>43864</v>
          </cell>
          <cell r="B193" t="str">
            <v>DGA HT VIENNE CREUSE</v>
          </cell>
          <cell r="C193">
            <v>125</v>
          </cell>
          <cell r="D193">
            <v>1</v>
          </cell>
          <cell r="E193">
            <v>1</v>
          </cell>
          <cell r="F193">
            <v>6</v>
          </cell>
          <cell r="G193">
            <v>4.8000000000000001E-2</v>
          </cell>
          <cell r="H193">
            <v>31</v>
          </cell>
          <cell r="I193">
            <v>4.4285714285714288</v>
          </cell>
          <cell r="J193">
            <v>204</v>
          </cell>
          <cell r="K193">
            <v>0</v>
          </cell>
          <cell r="L193">
            <v>3</v>
          </cell>
          <cell r="M193">
            <v>21</v>
          </cell>
          <cell r="N193">
            <v>0.10294117647058823</v>
          </cell>
          <cell r="O193">
            <v>39</v>
          </cell>
          <cell r="P193">
            <v>5.5714285714285712</v>
          </cell>
          <cell r="Q193">
            <v>41</v>
          </cell>
          <cell r="R193">
            <v>0</v>
          </cell>
          <cell r="S193">
            <v>0</v>
          </cell>
          <cell r="T193">
            <v>4</v>
          </cell>
          <cell r="U193">
            <v>9.7560975609756101E-2</v>
          </cell>
          <cell r="V193">
            <v>8</v>
          </cell>
          <cell r="W193">
            <v>1.1428571428571428</v>
          </cell>
          <cell r="X193">
            <v>8.2834050693448111E-2</v>
          </cell>
        </row>
        <row r="194">
          <cell r="A194">
            <v>6700</v>
          </cell>
          <cell r="B194" t="str">
            <v>LIMOGES</v>
          </cell>
          <cell r="C194">
            <v>60</v>
          </cell>
          <cell r="D194">
            <v>0</v>
          </cell>
          <cell r="E194">
            <v>0</v>
          </cell>
          <cell r="F194">
            <v>2</v>
          </cell>
          <cell r="G194">
            <v>3.3333333333333333E-2</v>
          </cell>
          <cell r="H194">
            <v>16</v>
          </cell>
          <cell r="I194">
            <v>2.2857142857142856</v>
          </cell>
          <cell r="J194">
            <v>43</v>
          </cell>
          <cell r="K194">
            <v>0</v>
          </cell>
          <cell r="L194">
            <v>2</v>
          </cell>
          <cell r="M194">
            <v>11</v>
          </cell>
          <cell r="N194">
            <v>0.2558139534883721</v>
          </cell>
          <cell r="O194">
            <v>2</v>
          </cell>
          <cell r="P194">
            <v>0.2857142857142857</v>
          </cell>
          <cell r="Q194">
            <v>17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5</v>
          </cell>
          <cell r="W194">
            <v>0.7142857142857143</v>
          </cell>
          <cell r="X194">
            <v>9.6382428940568476E-2</v>
          </cell>
        </row>
        <row r="195">
          <cell r="A195">
            <v>6731</v>
          </cell>
          <cell r="B195" t="str">
            <v>AUBUSSON</v>
          </cell>
          <cell r="C195">
            <v>8</v>
          </cell>
          <cell r="D195">
            <v>0</v>
          </cell>
          <cell r="E195">
            <v>0</v>
          </cell>
          <cell r="F195">
            <v>1</v>
          </cell>
          <cell r="G195">
            <v>0.125</v>
          </cell>
          <cell r="H195">
            <v>2</v>
          </cell>
          <cell r="I195">
            <v>0.2857142857142857</v>
          </cell>
          <cell r="J195">
            <v>7</v>
          </cell>
          <cell r="K195">
            <v>0</v>
          </cell>
          <cell r="L195">
            <v>0</v>
          </cell>
          <cell r="M195">
            <v>3</v>
          </cell>
          <cell r="N195">
            <v>0.42857142857142855</v>
          </cell>
          <cell r="O195">
            <v>0</v>
          </cell>
          <cell r="P195">
            <v>0</v>
          </cell>
          <cell r="Q195">
            <v>3</v>
          </cell>
          <cell r="R195">
            <v>0</v>
          </cell>
          <cell r="S195">
            <v>0</v>
          </cell>
          <cell r="T195">
            <v>1</v>
          </cell>
          <cell r="U195">
            <v>0.33333333333333331</v>
          </cell>
          <cell r="V195">
            <v>0</v>
          </cell>
          <cell r="W195">
            <v>0</v>
          </cell>
          <cell r="X195">
            <v>0.29563492063492064</v>
          </cell>
        </row>
        <row r="196">
          <cell r="A196">
            <v>56733</v>
          </cell>
          <cell r="B196" t="str">
            <v>Multisite GUERET</v>
          </cell>
          <cell r="C196">
            <v>15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5</v>
          </cell>
          <cell r="I196">
            <v>0.7142857142857143</v>
          </cell>
          <cell r="J196">
            <v>14</v>
          </cell>
          <cell r="K196">
            <v>0</v>
          </cell>
          <cell r="L196">
            <v>1</v>
          </cell>
          <cell r="M196">
            <v>3</v>
          </cell>
          <cell r="N196">
            <v>0.21428571428571427</v>
          </cell>
          <cell r="O196">
            <v>2</v>
          </cell>
          <cell r="P196">
            <v>0.2857142857142857</v>
          </cell>
          <cell r="Q196">
            <v>6</v>
          </cell>
          <cell r="R196">
            <v>0</v>
          </cell>
          <cell r="S196">
            <v>0</v>
          </cell>
          <cell r="T196">
            <v>2</v>
          </cell>
          <cell r="U196">
            <v>0.33333333333333331</v>
          </cell>
          <cell r="V196">
            <v>0</v>
          </cell>
          <cell r="W196">
            <v>0</v>
          </cell>
          <cell r="X196">
            <v>0.18253968253968253</v>
          </cell>
        </row>
        <row r="197">
          <cell r="A197">
            <v>6733</v>
          </cell>
          <cell r="B197" t="str">
            <v>GUERET</v>
          </cell>
          <cell r="C197">
            <v>9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3</v>
          </cell>
          <cell r="I197">
            <v>0.42857142857142855</v>
          </cell>
          <cell r="J197">
            <v>8</v>
          </cell>
          <cell r="K197">
            <v>0</v>
          </cell>
          <cell r="L197">
            <v>1</v>
          </cell>
          <cell r="M197">
            <v>3</v>
          </cell>
          <cell r="N197">
            <v>0.375</v>
          </cell>
          <cell r="O197">
            <v>0</v>
          </cell>
          <cell r="P197">
            <v>0</v>
          </cell>
          <cell r="Q197">
            <v>4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2</v>
          </cell>
          <cell r="W197">
            <v>0.2857142857142857</v>
          </cell>
          <cell r="X197">
            <v>0.125</v>
          </cell>
        </row>
        <row r="198">
          <cell r="A198">
            <v>6739</v>
          </cell>
          <cell r="B198" t="str">
            <v>LA SOUTERRAINE</v>
          </cell>
          <cell r="C198">
            <v>6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2</v>
          </cell>
          <cell r="I198">
            <v>0.2857142857142857</v>
          </cell>
          <cell r="J198">
            <v>6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2</v>
          </cell>
          <cell r="P198">
            <v>0.2857142857142857</v>
          </cell>
          <cell r="Q198">
            <v>2</v>
          </cell>
          <cell r="R198">
            <v>0</v>
          </cell>
          <cell r="S198">
            <v>0</v>
          </cell>
          <cell r="T198">
            <v>2</v>
          </cell>
          <cell r="U198">
            <v>0.44</v>
          </cell>
          <cell r="V198">
            <v>0</v>
          </cell>
          <cell r="W198">
            <v>0</v>
          </cell>
          <cell r="X198">
            <v>0.14666666666666667</v>
          </cell>
        </row>
        <row r="199">
          <cell r="A199">
            <v>56734</v>
          </cell>
          <cell r="B199" t="str">
            <v>Multisite ST JUNIEN</v>
          </cell>
          <cell r="C199">
            <v>19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6</v>
          </cell>
          <cell r="I199">
            <v>0.8571428571428571</v>
          </cell>
          <cell r="J199">
            <v>19</v>
          </cell>
          <cell r="K199">
            <v>0</v>
          </cell>
          <cell r="L199">
            <v>0</v>
          </cell>
          <cell r="M199">
            <v>3</v>
          </cell>
          <cell r="N199">
            <v>0.15789473684210525</v>
          </cell>
          <cell r="O199">
            <v>3</v>
          </cell>
          <cell r="P199">
            <v>0.42857142857142855</v>
          </cell>
          <cell r="Q199">
            <v>8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3</v>
          </cell>
          <cell r="W199">
            <v>0.42857142857142855</v>
          </cell>
          <cell r="X199">
            <v>5.2631578947368418E-2</v>
          </cell>
        </row>
        <row r="200">
          <cell r="A200">
            <v>6734</v>
          </cell>
          <cell r="B200" t="str">
            <v>SAINT JUNIEN</v>
          </cell>
          <cell r="C200">
            <v>9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3</v>
          </cell>
          <cell r="I200">
            <v>0.42857142857142855</v>
          </cell>
          <cell r="J200">
            <v>9</v>
          </cell>
          <cell r="K200">
            <v>0</v>
          </cell>
          <cell r="L200">
            <v>0</v>
          </cell>
          <cell r="M200">
            <v>2</v>
          </cell>
          <cell r="N200">
            <v>0.22222222222222221</v>
          </cell>
          <cell r="O200">
            <v>1</v>
          </cell>
          <cell r="P200">
            <v>0.14285714285714285</v>
          </cell>
          <cell r="Q200">
            <v>4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2</v>
          </cell>
          <cell r="W200">
            <v>0.2857142857142857</v>
          </cell>
          <cell r="X200">
            <v>7.407407407407407E-2</v>
          </cell>
        </row>
        <row r="201">
          <cell r="A201">
            <v>6737</v>
          </cell>
          <cell r="B201" t="str">
            <v>CONFOLENS</v>
          </cell>
          <cell r="C201">
            <v>6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2</v>
          </cell>
          <cell r="I201">
            <v>0.2857142857142857</v>
          </cell>
          <cell r="J201">
            <v>6</v>
          </cell>
          <cell r="K201">
            <v>0</v>
          </cell>
          <cell r="L201">
            <v>0</v>
          </cell>
          <cell r="M201">
            <v>1</v>
          </cell>
          <cell r="N201">
            <v>0.16666666666666666</v>
          </cell>
          <cell r="O201">
            <v>1</v>
          </cell>
          <cell r="P201">
            <v>0.14285714285714285</v>
          </cell>
          <cell r="Q201">
            <v>3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1</v>
          </cell>
          <cell r="W201">
            <v>0.14285714285714285</v>
          </cell>
          <cell r="X201">
            <v>5.5555555555555552E-2</v>
          </cell>
        </row>
        <row r="202">
          <cell r="A202">
            <v>6740</v>
          </cell>
          <cell r="B202" t="str">
            <v>BELLAC</v>
          </cell>
          <cell r="C202">
            <v>4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2</v>
          </cell>
          <cell r="I202">
            <v>0.2857142857142857</v>
          </cell>
          <cell r="J202">
            <v>4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2</v>
          </cell>
          <cell r="P202">
            <v>0.2857142857142857</v>
          </cell>
          <cell r="Q202">
            <v>1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1</v>
          </cell>
          <cell r="W202">
            <v>0.14285714285714285</v>
          </cell>
          <cell r="X202">
            <v>0</v>
          </cell>
        </row>
        <row r="203">
          <cell r="A203">
            <v>56738</v>
          </cell>
          <cell r="B203" t="str">
            <v>Multisite LIMOGES PL CARMES</v>
          </cell>
          <cell r="C203">
            <v>23</v>
          </cell>
          <cell r="D203">
            <v>1</v>
          </cell>
          <cell r="E203">
            <v>1</v>
          </cell>
          <cell r="F203">
            <v>3</v>
          </cell>
          <cell r="G203">
            <v>0.13043478260869565</v>
          </cell>
          <cell r="H203">
            <v>4</v>
          </cell>
          <cell r="I203">
            <v>0.5714285714285714</v>
          </cell>
          <cell r="J203">
            <v>28</v>
          </cell>
          <cell r="K203">
            <v>0</v>
          </cell>
          <cell r="L203">
            <v>0</v>
          </cell>
          <cell r="M203">
            <v>1</v>
          </cell>
          <cell r="N203">
            <v>3.5714285714285712E-2</v>
          </cell>
          <cell r="O203">
            <v>8</v>
          </cell>
          <cell r="P203">
            <v>1.1428571428571428</v>
          </cell>
          <cell r="Q203">
            <v>7</v>
          </cell>
          <cell r="R203">
            <v>0</v>
          </cell>
          <cell r="S203">
            <v>0</v>
          </cell>
          <cell r="T203">
            <v>1</v>
          </cell>
          <cell r="U203">
            <v>0.14285714285714285</v>
          </cell>
          <cell r="V203">
            <v>2</v>
          </cell>
          <cell r="W203">
            <v>0.2857142857142857</v>
          </cell>
          <cell r="X203">
            <v>0.10300207039337474</v>
          </cell>
        </row>
        <row r="204">
          <cell r="A204">
            <v>6738</v>
          </cell>
          <cell r="B204" t="str">
            <v>LIMOGES LES CARMES</v>
          </cell>
          <cell r="C204">
            <v>5</v>
          </cell>
          <cell r="D204">
            <v>0</v>
          </cell>
          <cell r="E204">
            <v>0</v>
          </cell>
          <cell r="F204">
            <v>2</v>
          </cell>
          <cell r="G204">
            <v>0.4</v>
          </cell>
          <cell r="H204">
            <v>0</v>
          </cell>
          <cell r="I204">
            <v>0</v>
          </cell>
          <cell r="J204">
            <v>11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4</v>
          </cell>
          <cell r="P204">
            <v>0.5714285714285714</v>
          </cell>
          <cell r="Q204">
            <v>2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1</v>
          </cell>
          <cell r="W204">
            <v>0.14285714285714285</v>
          </cell>
          <cell r="X204">
            <v>0.13333333333333333</v>
          </cell>
        </row>
        <row r="205">
          <cell r="A205">
            <v>6743</v>
          </cell>
          <cell r="B205" t="str">
            <v>ST YRIEIX LA PERCHE</v>
          </cell>
          <cell r="C205">
            <v>9</v>
          </cell>
          <cell r="D205">
            <v>1</v>
          </cell>
          <cell r="E205">
            <v>1</v>
          </cell>
          <cell r="F205">
            <v>1</v>
          </cell>
          <cell r="G205">
            <v>0.1111111111111111</v>
          </cell>
          <cell r="H205">
            <v>2</v>
          </cell>
          <cell r="I205">
            <v>0.2857142857142857</v>
          </cell>
          <cell r="J205">
            <v>8</v>
          </cell>
          <cell r="K205">
            <v>0</v>
          </cell>
          <cell r="L205">
            <v>0</v>
          </cell>
          <cell r="M205">
            <v>1</v>
          </cell>
          <cell r="N205">
            <v>0.125</v>
          </cell>
          <cell r="O205">
            <v>2</v>
          </cell>
          <cell r="P205">
            <v>0.2857142857142857</v>
          </cell>
          <cell r="Q205">
            <v>2</v>
          </cell>
          <cell r="R205">
            <v>0</v>
          </cell>
          <cell r="S205">
            <v>0</v>
          </cell>
          <cell r="T205">
            <v>1</v>
          </cell>
          <cell r="U205">
            <v>0.44</v>
          </cell>
          <cell r="V205">
            <v>0</v>
          </cell>
          <cell r="W205">
            <v>0</v>
          </cell>
          <cell r="X205">
            <v>0.22537037037037036</v>
          </cell>
        </row>
        <row r="206">
          <cell r="A206">
            <v>6748</v>
          </cell>
          <cell r="B206" t="str">
            <v>LIMOGES PONT NEUF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</row>
        <row r="207">
          <cell r="A207">
            <v>6750</v>
          </cell>
          <cell r="B207" t="str">
            <v>LIMOGES CARNOT</v>
          </cell>
          <cell r="C207">
            <v>9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3</v>
          </cell>
          <cell r="I207">
            <v>0.42857142857142855</v>
          </cell>
          <cell r="J207">
            <v>9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3</v>
          </cell>
          <cell r="P207">
            <v>0.42857142857142855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1</v>
          </cell>
          <cell r="W207">
            <v>0.14285714285714285</v>
          </cell>
          <cell r="X207">
            <v>0</v>
          </cell>
        </row>
        <row r="208">
          <cell r="A208">
            <v>43866</v>
          </cell>
          <cell r="B208" t="str">
            <v>DGA CORREZE</v>
          </cell>
          <cell r="C208">
            <v>88</v>
          </cell>
          <cell r="D208">
            <v>0</v>
          </cell>
          <cell r="E208">
            <v>0</v>
          </cell>
          <cell r="F208">
            <v>8</v>
          </cell>
          <cell r="G208">
            <v>9.0909090909090912E-2</v>
          </cell>
          <cell r="H208">
            <v>18</v>
          </cell>
          <cell r="I208">
            <v>2.5714285714285716</v>
          </cell>
          <cell r="J208">
            <v>150</v>
          </cell>
          <cell r="K208">
            <v>0</v>
          </cell>
          <cell r="L208">
            <v>2</v>
          </cell>
          <cell r="M208">
            <v>28</v>
          </cell>
          <cell r="N208">
            <v>0.18666666666666668</v>
          </cell>
          <cell r="O208">
            <v>16</v>
          </cell>
          <cell r="P208">
            <v>2.2857142857142856</v>
          </cell>
          <cell r="Q208">
            <v>29</v>
          </cell>
          <cell r="R208">
            <v>1</v>
          </cell>
          <cell r="S208">
            <v>1</v>
          </cell>
          <cell r="T208">
            <v>5</v>
          </cell>
          <cell r="U208">
            <v>0.17241379310344829</v>
          </cell>
          <cell r="V208">
            <v>4</v>
          </cell>
          <cell r="W208">
            <v>0.5714285714285714</v>
          </cell>
          <cell r="X208">
            <v>0.14999651689306862</v>
          </cell>
        </row>
        <row r="209">
          <cell r="A209">
            <v>6732</v>
          </cell>
          <cell r="B209" t="str">
            <v>BRIVE</v>
          </cell>
          <cell r="C209">
            <v>37</v>
          </cell>
          <cell r="D209">
            <v>0</v>
          </cell>
          <cell r="E209">
            <v>0</v>
          </cell>
          <cell r="F209">
            <v>4</v>
          </cell>
          <cell r="G209">
            <v>0.10810810810810811</v>
          </cell>
          <cell r="H209">
            <v>7</v>
          </cell>
          <cell r="I209">
            <v>1</v>
          </cell>
          <cell r="J209">
            <v>32</v>
          </cell>
          <cell r="K209">
            <v>0</v>
          </cell>
          <cell r="L209">
            <v>0</v>
          </cell>
          <cell r="M209">
            <v>11</v>
          </cell>
          <cell r="N209">
            <v>0.34375</v>
          </cell>
          <cell r="O209">
            <v>0</v>
          </cell>
          <cell r="P209">
            <v>0</v>
          </cell>
          <cell r="Q209">
            <v>15</v>
          </cell>
          <cell r="R209">
            <v>1</v>
          </cell>
          <cell r="S209">
            <v>1</v>
          </cell>
          <cell r="T209">
            <v>3</v>
          </cell>
          <cell r="U209">
            <v>0.2</v>
          </cell>
          <cell r="V209">
            <v>2</v>
          </cell>
          <cell r="W209">
            <v>0.2857142857142857</v>
          </cell>
          <cell r="X209">
            <v>0.21728603603603602</v>
          </cell>
        </row>
        <row r="210">
          <cell r="A210">
            <v>6735</v>
          </cell>
          <cell r="B210" t="str">
            <v>TULLE</v>
          </cell>
          <cell r="C210">
            <v>10</v>
          </cell>
          <cell r="D210">
            <v>0</v>
          </cell>
          <cell r="E210">
            <v>0</v>
          </cell>
          <cell r="F210">
            <v>2</v>
          </cell>
          <cell r="G210">
            <v>0.2</v>
          </cell>
          <cell r="H210">
            <v>1</v>
          </cell>
          <cell r="I210">
            <v>0.14285714285714285</v>
          </cell>
          <cell r="J210">
            <v>7</v>
          </cell>
          <cell r="K210">
            <v>0</v>
          </cell>
          <cell r="L210">
            <v>0</v>
          </cell>
          <cell r="M210">
            <v>2</v>
          </cell>
          <cell r="N210">
            <v>0.2857142857142857</v>
          </cell>
          <cell r="O210">
            <v>1</v>
          </cell>
          <cell r="P210">
            <v>0.14285714285714285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1</v>
          </cell>
          <cell r="W210">
            <v>0.14285714285714285</v>
          </cell>
          <cell r="X210">
            <v>0.16190476190476191</v>
          </cell>
        </row>
        <row r="211">
          <cell r="A211">
            <v>6736</v>
          </cell>
          <cell r="B211" t="str">
            <v>USSEL</v>
          </cell>
          <cell r="C211">
            <v>8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3</v>
          </cell>
          <cell r="I211">
            <v>0.42857142857142855</v>
          </cell>
          <cell r="J211">
            <v>7</v>
          </cell>
          <cell r="K211">
            <v>0</v>
          </cell>
          <cell r="L211">
            <v>2</v>
          </cell>
          <cell r="M211">
            <v>5</v>
          </cell>
          <cell r="N211">
            <v>0.44</v>
          </cell>
          <cell r="O211">
            <v>0</v>
          </cell>
          <cell r="P211">
            <v>0</v>
          </cell>
          <cell r="Q211">
            <v>5</v>
          </cell>
          <cell r="R211">
            <v>0</v>
          </cell>
          <cell r="S211">
            <v>0</v>
          </cell>
          <cell r="T211">
            <v>1</v>
          </cell>
          <cell r="U211">
            <v>0.2</v>
          </cell>
          <cell r="V211">
            <v>1</v>
          </cell>
          <cell r="W211">
            <v>0.14285714285714285</v>
          </cell>
          <cell r="X211">
            <v>0.21333333333333335</v>
          </cell>
        </row>
        <row r="212">
          <cell r="A212">
            <v>56741</v>
          </cell>
          <cell r="B212" t="str">
            <v>Multisite OBJAT</v>
          </cell>
          <cell r="C212">
            <v>26</v>
          </cell>
          <cell r="D212">
            <v>0</v>
          </cell>
          <cell r="E212">
            <v>0</v>
          </cell>
          <cell r="F212">
            <v>2</v>
          </cell>
          <cell r="G212">
            <v>7.6923076923076927E-2</v>
          </cell>
          <cell r="H212">
            <v>6</v>
          </cell>
          <cell r="I212">
            <v>0.8571428571428571</v>
          </cell>
          <cell r="J212">
            <v>21</v>
          </cell>
          <cell r="K212">
            <v>0</v>
          </cell>
          <cell r="L212">
            <v>0</v>
          </cell>
          <cell r="M212">
            <v>10</v>
          </cell>
          <cell r="N212">
            <v>0.44</v>
          </cell>
          <cell r="O212">
            <v>0</v>
          </cell>
          <cell r="P212">
            <v>0</v>
          </cell>
          <cell r="Q212">
            <v>14</v>
          </cell>
          <cell r="R212">
            <v>0</v>
          </cell>
          <cell r="S212">
            <v>0</v>
          </cell>
          <cell r="T212">
            <v>1</v>
          </cell>
          <cell r="U212">
            <v>7.1428571428571425E-2</v>
          </cell>
          <cell r="V212">
            <v>4</v>
          </cell>
          <cell r="W212">
            <v>0.5714285714285714</v>
          </cell>
          <cell r="X212">
            <v>0.19611721611721611</v>
          </cell>
        </row>
        <row r="213">
          <cell r="A213">
            <v>6741</v>
          </cell>
          <cell r="B213" t="str">
            <v>OBJAT</v>
          </cell>
          <cell r="C213">
            <v>8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3</v>
          </cell>
          <cell r="I213">
            <v>0.42857142857142855</v>
          </cell>
          <cell r="J213">
            <v>6</v>
          </cell>
          <cell r="K213">
            <v>0</v>
          </cell>
          <cell r="L213">
            <v>0</v>
          </cell>
          <cell r="M213">
            <v>6</v>
          </cell>
          <cell r="N213">
            <v>0.44</v>
          </cell>
          <cell r="O213">
            <v>0</v>
          </cell>
          <cell r="P213">
            <v>0</v>
          </cell>
          <cell r="Q213">
            <v>4</v>
          </cell>
          <cell r="R213">
            <v>0</v>
          </cell>
          <cell r="S213">
            <v>0</v>
          </cell>
          <cell r="T213">
            <v>1</v>
          </cell>
          <cell r="U213">
            <v>0.25</v>
          </cell>
          <cell r="V213">
            <v>1</v>
          </cell>
          <cell r="W213">
            <v>0.14285714285714285</v>
          </cell>
          <cell r="X213">
            <v>0.22999999999999998</v>
          </cell>
        </row>
        <row r="214">
          <cell r="A214">
            <v>6745</v>
          </cell>
          <cell r="B214" t="str">
            <v>TERRASSON</v>
          </cell>
          <cell r="C214">
            <v>8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3</v>
          </cell>
          <cell r="I214">
            <v>0.42857142857142855</v>
          </cell>
          <cell r="J214">
            <v>6</v>
          </cell>
          <cell r="K214">
            <v>0</v>
          </cell>
          <cell r="L214">
            <v>0</v>
          </cell>
          <cell r="M214">
            <v>3</v>
          </cell>
          <cell r="N214">
            <v>0.44</v>
          </cell>
          <cell r="O214">
            <v>0</v>
          </cell>
          <cell r="P214">
            <v>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2</v>
          </cell>
          <cell r="W214">
            <v>0.2857142857142857</v>
          </cell>
          <cell r="X214">
            <v>0.14666666666666667</v>
          </cell>
        </row>
        <row r="215">
          <cell r="A215">
            <v>6751</v>
          </cell>
          <cell r="B215" t="str">
            <v>MALEMORT</v>
          </cell>
          <cell r="C215">
            <v>10</v>
          </cell>
          <cell r="D215">
            <v>0</v>
          </cell>
          <cell r="E215">
            <v>0</v>
          </cell>
          <cell r="F215">
            <v>2</v>
          </cell>
          <cell r="G215">
            <v>0.2</v>
          </cell>
          <cell r="H215">
            <v>1</v>
          </cell>
          <cell r="I215">
            <v>0.14285714285714285</v>
          </cell>
          <cell r="J215">
            <v>9</v>
          </cell>
          <cell r="K215">
            <v>0</v>
          </cell>
          <cell r="L215">
            <v>0</v>
          </cell>
          <cell r="M215">
            <v>1</v>
          </cell>
          <cell r="N215">
            <v>0.1111111111111111</v>
          </cell>
          <cell r="O215">
            <v>2</v>
          </cell>
          <cell r="P215">
            <v>0.2857142857142857</v>
          </cell>
          <cell r="Q215">
            <v>6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2</v>
          </cell>
          <cell r="W215">
            <v>0.2857142857142857</v>
          </cell>
          <cell r="X215">
            <v>0.1037037037037037</v>
          </cell>
        </row>
        <row r="216">
          <cell r="A216">
            <v>6742</v>
          </cell>
          <cell r="B216" t="str">
            <v>EGLETONS</v>
          </cell>
          <cell r="C216">
            <v>7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3</v>
          </cell>
          <cell r="I216">
            <v>0.42857142857142855</v>
          </cell>
          <cell r="J216">
            <v>7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3</v>
          </cell>
          <cell r="P216">
            <v>0.42857142857142855</v>
          </cell>
          <cell r="Q216">
            <v>3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1</v>
          </cell>
          <cell r="W216">
            <v>0.14285714285714285</v>
          </cell>
          <cell r="X21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67"/>
  <sheetViews>
    <sheetView tabSelected="1" zoomScaleNormal="100" workbookViewId="0">
      <selection activeCell="B53" sqref="B53"/>
    </sheetView>
  </sheetViews>
  <sheetFormatPr baseColWidth="10" defaultRowHeight="15" outlineLevelRow="1" outlineLevelCol="1" x14ac:dyDescent="0.25"/>
  <cols>
    <col min="1" max="1" width="11.42578125" style="29" customWidth="1"/>
    <col min="2" max="2" width="30.42578125" style="26" customWidth="1"/>
    <col min="3" max="3" width="0.85546875" style="26" customWidth="1" collapsed="1"/>
    <col min="4" max="4" width="7.7109375" style="26" hidden="1" customWidth="1" outlineLevel="1"/>
    <col min="5" max="5" width="6.7109375" style="26" hidden="1" customWidth="1" outlineLevel="1"/>
    <col min="6" max="6" width="6.7109375" style="26" customWidth="1" collapsed="1"/>
    <col min="7" max="7" width="8.28515625" style="26" customWidth="1"/>
    <col min="8" max="8" width="9.42578125" style="26" customWidth="1"/>
    <col min="9" max="9" width="0.85546875" style="26" customWidth="1" collapsed="1"/>
    <col min="10" max="10" width="9.5703125" style="26" bestFit="1" customWidth="1"/>
    <col min="11" max="13" width="9" style="29" hidden="1" customWidth="1" outlineLevel="1"/>
    <col min="14" max="14" width="8.28515625" style="29" customWidth="1" collapsed="1"/>
    <col min="15" max="15" width="0.85546875" style="26" customWidth="1"/>
    <col min="16" max="16" width="10.140625" style="26" customWidth="1"/>
    <col min="17" max="17" width="23" style="26" customWidth="1"/>
    <col min="18" max="18" width="0.85546875" style="26" customWidth="1"/>
    <col min="19" max="19" width="9.5703125" style="26" bestFit="1" customWidth="1"/>
    <col min="20" max="20" width="31.7109375" style="26" customWidth="1"/>
    <col min="21" max="21" width="9.5703125" style="166" hidden="1" customWidth="1" outlineLevel="1"/>
    <col min="22" max="22" width="8.7109375" style="166" hidden="1" customWidth="1" outlineLevel="1"/>
    <col min="23" max="23" width="8.7109375" style="167" hidden="1" customWidth="1" outlineLevel="1"/>
    <col min="24" max="30" width="10.7109375" style="167" hidden="1" customWidth="1" outlineLevel="1"/>
    <col min="31" max="31" width="9.42578125" style="167" customWidth="1" collapsed="1"/>
    <col min="32" max="16384" width="11.42578125" style="26"/>
  </cols>
  <sheetData>
    <row r="1" spans="1:31" ht="15.75" thickBot="1" x14ac:dyDescent="0.3">
      <c r="A1" s="103"/>
      <c r="B1" s="104"/>
      <c r="C1" s="104"/>
      <c r="D1" s="104"/>
      <c r="E1" s="104"/>
      <c r="F1" s="104"/>
      <c r="G1" s="104"/>
      <c r="H1" s="104"/>
      <c r="I1" s="104"/>
      <c r="J1" s="104"/>
      <c r="K1" s="103"/>
      <c r="L1" s="103"/>
      <c r="M1" s="103"/>
      <c r="N1" s="103"/>
      <c r="O1" s="104"/>
      <c r="P1" s="104"/>
      <c r="Q1" s="198"/>
      <c r="R1" s="198"/>
      <c r="S1" s="198"/>
      <c r="T1" s="198"/>
      <c r="U1" s="105"/>
      <c r="V1" s="106"/>
      <c r="W1" s="107"/>
      <c r="X1" s="107"/>
      <c r="Y1" s="107"/>
      <c r="Z1" s="107"/>
      <c r="AA1" s="107"/>
      <c r="AB1" s="107"/>
      <c r="AC1" s="107"/>
      <c r="AD1" s="107"/>
      <c r="AE1" s="107"/>
    </row>
    <row r="2" spans="1:31" x14ac:dyDescent="0.25">
      <c r="A2" s="103"/>
      <c r="B2" s="108" t="s">
        <v>2</v>
      </c>
      <c r="C2" s="109"/>
      <c r="D2" s="109"/>
      <c r="E2" s="109"/>
      <c r="F2" s="110">
        <v>0.28999999999999998</v>
      </c>
      <c r="G2" s="104"/>
      <c r="H2" s="104"/>
      <c r="I2" s="104"/>
      <c r="J2" s="104"/>
      <c r="K2" s="103"/>
      <c r="L2" s="103"/>
      <c r="M2" s="103"/>
      <c r="N2" s="103"/>
      <c r="O2" s="104"/>
      <c r="P2" s="104"/>
      <c r="Q2" s="198"/>
      <c r="R2" s="198"/>
      <c r="S2" s="198"/>
      <c r="T2" s="198"/>
      <c r="U2" s="105"/>
      <c r="V2" s="106"/>
      <c r="W2" s="107"/>
      <c r="X2" s="107"/>
      <c r="Y2" s="107"/>
      <c r="Z2" s="107"/>
      <c r="AA2" s="107"/>
      <c r="AB2" s="107"/>
      <c r="AC2" s="107"/>
      <c r="AD2" s="107"/>
      <c r="AE2" s="107"/>
    </row>
    <row r="3" spans="1:31" x14ac:dyDescent="0.25">
      <c r="A3" s="103"/>
      <c r="B3" s="111" t="s">
        <v>32</v>
      </c>
      <c r="C3" s="112"/>
      <c r="D3" s="112"/>
      <c r="E3" s="112"/>
      <c r="F3" s="113">
        <f>44%</f>
        <v>0.44</v>
      </c>
      <c r="G3" s="104"/>
      <c r="H3" s="104"/>
      <c r="I3" s="104"/>
      <c r="J3" s="104"/>
      <c r="K3" s="103"/>
      <c r="L3" s="103"/>
      <c r="M3" s="103"/>
      <c r="N3" s="103"/>
      <c r="O3" s="104"/>
      <c r="P3" s="104"/>
      <c r="Q3" s="114"/>
      <c r="R3" s="114"/>
      <c r="S3" s="114"/>
      <c r="T3" s="114"/>
      <c r="U3" s="114"/>
      <c r="V3" s="106"/>
      <c r="W3" s="107"/>
      <c r="X3" s="107"/>
      <c r="Y3" s="107"/>
      <c r="Z3" s="107"/>
      <c r="AA3" s="107"/>
      <c r="AB3" s="107"/>
      <c r="AC3" s="107"/>
      <c r="AD3" s="107"/>
      <c r="AE3" s="107"/>
    </row>
    <row r="4" spans="1:31" ht="15.75" thickBot="1" x14ac:dyDescent="0.3">
      <c r="A4" s="103"/>
      <c r="B4" s="115" t="s">
        <v>3</v>
      </c>
      <c r="C4" s="116"/>
      <c r="D4" s="116"/>
      <c r="E4" s="116"/>
      <c r="F4" s="117">
        <f>'[1]Synthèse DGA'!$A$1</f>
        <v>0.12720000000000001</v>
      </c>
      <c r="G4" s="104"/>
      <c r="H4" s="104"/>
      <c r="I4" s="104"/>
      <c r="J4" s="104"/>
      <c r="K4" s="103"/>
      <c r="L4" s="103"/>
      <c r="M4" s="103"/>
      <c r="N4" s="103"/>
      <c r="O4" s="104"/>
      <c r="P4" s="104"/>
      <c r="Q4" s="118"/>
      <c r="R4" s="104"/>
      <c r="S4" s="104"/>
      <c r="T4" s="104"/>
      <c r="U4" s="119"/>
      <c r="V4" s="119"/>
      <c r="W4" s="120"/>
      <c r="X4" s="120"/>
      <c r="Y4" s="120"/>
      <c r="Z4" s="120"/>
      <c r="AA4" s="120"/>
      <c r="AB4" s="120"/>
      <c r="AC4" s="120"/>
      <c r="AD4" s="120"/>
      <c r="AE4" s="120"/>
    </row>
    <row r="5" spans="1:31" x14ac:dyDescent="0.25">
      <c r="A5" s="103"/>
      <c r="B5" s="104"/>
      <c r="C5" s="104"/>
      <c r="D5" s="104"/>
      <c r="E5" s="121"/>
      <c r="F5" s="121"/>
      <c r="G5" s="104"/>
      <c r="H5" s="104"/>
      <c r="I5" s="104"/>
      <c r="J5" s="104"/>
      <c r="K5" s="103"/>
      <c r="L5" s="103"/>
      <c r="M5" s="103"/>
      <c r="N5" s="103"/>
      <c r="O5" s="104"/>
      <c r="P5" s="104"/>
      <c r="Q5" s="104"/>
      <c r="R5" s="104"/>
      <c r="S5" s="104"/>
      <c r="T5" s="104"/>
      <c r="U5" s="119"/>
      <c r="V5" s="119"/>
      <c r="W5" s="120"/>
      <c r="X5" s="120"/>
      <c r="Y5" s="120"/>
      <c r="Z5" s="120"/>
      <c r="AA5" s="120"/>
      <c r="AB5" s="120"/>
      <c r="AC5" s="120"/>
      <c r="AD5" s="120"/>
      <c r="AE5" s="120"/>
    </row>
    <row r="6" spans="1:31" x14ac:dyDescent="0.25">
      <c r="A6" s="103"/>
      <c r="B6" s="202" t="s">
        <v>46</v>
      </c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202"/>
      <c r="P6" s="202"/>
      <c r="Q6" s="202"/>
      <c r="R6" s="202"/>
      <c r="S6" s="202"/>
      <c r="T6" s="168" t="str">
        <f>IF(LEFT(D7,6)="RSO DR","",IF(LEFT(D7,3)="DGA","GAIN POTENTIEL",VLOOKUP($B7,'[1]Synthèse Agence'!$B$1:$BI$65536,20,FALSE)&amp;IF(VLOOKUP($B7,'[1]Synthèse Agence'!$B$1:$BI$65536,20,FALSE)=1," er"," ème")))</f>
        <v>11 ème</v>
      </c>
      <c r="U6" s="119"/>
      <c r="V6" s="119"/>
      <c r="W6" s="120"/>
      <c r="X6" s="120"/>
      <c r="Y6" s="120"/>
      <c r="Z6" s="120"/>
      <c r="AA6" s="120"/>
      <c r="AB6" s="120"/>
      <c r="AC6" s="120"/>
      <c r="AD6" s="120"/>
      <c r="AE6" s="120"/>
    </row>
    <row r="7" spans="1:31" s="28" customFormat="1" x14ac:dyDescent="0.25">
      <c r="A7" s="27"/>
      <c r="B7" s="102">
        <v>1856</v>
      </c>
      <c r="C7" s="169"/>
      <c r="D7" s="201" t="str">
        <f>VLOOKUP($B7,'Synthèse Magasins'!B:C,2,FALSE)</f>
        <v>MAGASIN A11</v>
      </c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1"/>
      <c r="R7" s="201"/>
      <c r="S7" s="201"/>
      <c r="T7" s="170" t="str">
        <f>IF(LEFT(D7,6)="RSO DR","",IF(LEFT(D7,3)="DGA",VLOOKUP($B7,'[1]Synthèse DGA'!$A$1:$BI$65536,24,FALSE)&amp;"€",IF(VLOOKUP(B7,Paramètres!$A$2:$D$183,2,FALSE)=0,"","sur "&amp;VLOOKUP(VLOOKUP(B7,Paramètres!$A$2:$D$183,2,FALSE),Paramètres!$G$2:$H$5,2,FALSE)&amp;" magasins")))</f>
        <v>sur 24 magasins</v>
      </c>
      <c r="U7" s="122"/>
      <c r="V7" s="122"/>
      <c r="W7" s="123"/>
      <c r="X7" s="123"/>
      <c r="Y7" s="123"/>
      <c r="Z7" s="123"/>
      <c r="AA7" s="123"/>
      <c r="AB7" s="123"/>
      <c r="AC7" s="123"/>
      <c r="AD7" s="123"/>
      <c r="AE7" s="123"/>
    </row>
    <row r="8" spans="1:31" s="28" customFormat="1" hidden="1" outlineLevel="1" x14ac:dyDescent="0.25">
      <c r="A8" s="27"/>
      <c r="B8" s="169">
        <f t="array" ref="B8">IF(OR(B7=AGENCES),VLOOKUP('Anim Commerciale'!B7,Paramètres!A2:D183,3,FALSE),B7)</f>
        <v>43717</v>
      </c>
      <c r="C8" s="169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1"/>
      <c r="O8" s="201"/>
      <c r="P8" s="201"/>
      <c r="Q8" s="201"/>
      <c r="R8" s="201"/>
      <c r="S8" s="201"/>
      <c r="T8" s="170"/>
      <c r="U8" s="122"/>
      <c r="V8" s="122"/>
      <c r="W8" s="123"/>
      <c r="X8" s="123"/>
      <c r="Y8" s="123"/>
      <c r="Z8" s="123"/>
      <c r="AA8" s="123"/>
      <c r="AB8" s="123"/>
      <c r="AC8" s="123"/>
      <c r="AD8" s="123"/>
      <c r="AE8" s="123"/>
    </row>
    <row r="9" spans="1:31" s="28" customFormat="1" ht="15.75" collapsed="1" thickBot="1" x14ac:dyDescent="0.3">
      <c r="A9" s="27"/>
      <c r="B9" s="124" t="str">
        <f>"Pt de passage = "&amp;F4*100&amp;"%"</f>
        <v>Pt de passage = 12,72%</v>
      </c>
      <c r="C9" s="112"/>
      <c r="D9" s="125"/>
      <c r="E9" s="125"/>
      <c r="F9" s="125"/>
      <c r="G9" s="125"/>
      <c r="H9" s="125"/>
      <c r="I9" s="112"/>
      <c r="J9" s="125"/>
      <c r="K9" s="126"/>
      <c r="L9" s="126"/>
      <c r="M9" s="126"/>
      <c r="N9" s="126"/>
      <c r="O9" s="112"/>
      <c r="P9" s="125"/>
      <c r="Q9" s="125"/>
      <c r="R9" s="112"/>
      <c r="S9" s="127"/>
      <c r="T9" s="127"/>
      <c r="U9" s="122"/>
      <c r="V9" s="122"/>
      <c r="W9" s="123"/>
      <c r="X9" s="123"/>
      <c r="Y9" s="123"/>
      <c r="Z9" s="123"/>
      <c r="AA9" s="123"/>
      <c r="AB9" s="123"/>
      <c r="AC9" s="123"/>
      <c r="AD9" s="123"/>
      <c r="AE9" s="123"/>
    </row>
    <row r="10" spans="1:31" s="28" customFormat="1" ht="40.5" customHeight="1" x14ac:dyDescent="0.25">
      <c r="A10" s="27"/>
      <c r="B10" s="128" t="str">
        <f>'[1]Fil Rouge 1'!$B$6</f>
        <v>Résultats au 08/02/18</v>
      </c>
      <c r="C10" s="129"/>
      <c r="D10" s="130" t="s">
        <v>0</v>
      </c>
      <c r="E10" s="130" t="s">
        <v>33</v>
      </c>
      <c r="F10" s="130" t="s">
        <v>11</v>
      </c>
      <c r="G10" s="131" t="s">
        <v>12</v>
      </c>
      <c r="H10" s="132" t="s">
        <v>7</v>
      </c>
      <c r="I10" s="133"/>
      <c r="J10" s="134" t="s">
        <v>1</v>
      </c>
      <c r="K10" s="135" t="s">
        <v>8</v>
      </c>
      <c r="L10" s="135" t="s">
        <v>9</v>
      </c>
      <c r="M10" s="135" t="s">
        <v>10</v>
      </c>
      <c r="N10" s="171" t="s">
        <v>5</v>
      </c>
      <c r="O10" s="129"/>
      <c r="P10" s="136" t="s">
        <v>4</v>
      </c>
      <c r="Q10" s="137" t="s">
        <v>6</v>
      </c>
      <c r="R10" s="138"/>
      <c r="S10" s="136" t="s">
        <v>20</v>
      </c>
      <c r="T10" s="187" t="s">
        <v>34</v>
      </c>
      <c r="U10" s="122"/>
      <c r="V10" s="122"/>
      <c r="W10" s="123"/>
      <c r="X10" s="123"/>
      <c r="Y10" s="123"/>
      <c r="Z10" s="123"/>
      <c r="AA10" s="123"/>
      <c r="AB10" s="123"/>
      <c r="AC10" s="123"/>
      <c r="AD10" s="123"/>
      <c r="AE10" s="123"/>
    </row>
    <row r="11" spans="1:31" s="28" customFormat="1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122"/>
      <c r="V11" s="122"/>
      <c r="W11" s="123"/>
      <c r="X11" s="172">
        <v>1</v>
      </c>
      <c r="Y11" s="173">
        <f>1-1/6</f>
        <v>0.83333333333333337</v>
      </c>
      <c r="Z11" s="172">
        <f>1-2/6</f>
        <v>0.66666666666666674</v>
      </c>
      <c r="AA11" s="172">
        <f>1-3/6</f>
        <v>0.5</v>
      </c>
      <c r="AB11" s="172">
        <f>1-4/6</f>
        <v>0.33333333333333337</v>
      </c>
      <c r="AC11" s="172">
        <f>1-5/6</f>
        <v>0.16666666666666663</v>
      </c>
      <c r="AD11" s="172">
        <f>1-6/6</f>
        <v>0</v>
      </c>
      <c r="AE11" s="123"/>
    </row>
    <row r="12" spans="1:31" s="28" customFormat="1" ht="15.75" customHeight="1" x14ac:dyDescent="0.25">
      <c r="A12" s="27"/>
      <c r="B12" s="144" t="s">
        <v>35</v>
      </c>
      <c r="C12" s="129"/>
      <c r="D12" s="145">
        <f>VLOOKUP($B7,'[1]Fil Rouge 1'!$A$1:$BI$65536,3,FALSE)</f>
        <v>108</v>
      </c>
      <c r="E12" s="145">
        <f>D12*$F$3</f>
        <v>47.52</v>
      </c>
      <c r="F12" s="145">
        <f>ROUNDUP(D12*$F$2,0)</f>
        <v>32</v>
      </c>
      <c r="G12" s="146">
        <f>ROUND(VLOOKUP($B7,'[1]Fil Rouge 1'!$A$1:$BI$65536,6,FALSE),0)</f>
        <v>5</v>
      </c>
      <c r="H12" s="147">
        <f>ROUND(VLOOKUP($B7,'[1]Fil Rouge 1'!$A$1:$BI$65536,5,FALSE),0)</f>
        <v>0</v>
      </c>
      <c r="I12" s="133"/>
      <c r="J12" s="148">
        <f>ROUND(VLOOKUP($B7,'[1]Fil Rouge 1'!$A$1:$BI$65536,7,FALSE),3)</f>
        <v>4.5999999999999999E-2</v>
      </c>
      <c r="K12" s="140">
        <f>IF(F12-G12&lt;0,0,F12-G12)</f>
        <v>27</v>
      </c>
      <c r="L12" s="140">
        <f>ROUND(F12/Paramètres!$H$7,0)</f>
        <v>2</v>
      </c>
      <c r="M12" s="140">
        <f ca="1">MAX(ROUND(50%*L12,0),ROUND(K12/Paramètres!$H$8,0))</f>
        <v>5</v>
      </c>
      <c r="N12" s="149">
        <f>IF((G12-D12*$F$4)&lt;0,ROUNDUP(G12-D12*$F$4,0),IF((G12-D12*$F$4)&gt;0,ROUNDDOWN(G12-D12*$F$4,0),(G12-D12*$F$4)))</f>
        <v>-9</v>
      </c>
      <c r="O12" s="129"/>
      <c r="P12" s="199">
        <f>ROUND(VLOOKUP($B7,'[1]Fil Rouge 1'!$A$1:$BI$65536,17,FALSE),4)</f>
        <v>9.4600000000000004E-2</v>
      </c>
      <c r="Q12" s="200" t="str">
        <f>"1 "&amp;B13&amp;CHAR(10)&amp;" = "&amp;ROUND(F12/F13,0)&amp;" "&amp;LEFT(B12,20)</f>
        <v>1 PRODUIT 2
 = 1 PRODUIT 1</v>
      </c>
      <c r="R12" s="138"/>
      <c r="S12" s="213" t="str">
        <f>VLOOKUP($B$7,'Synthèse Magasins'!$B$61:$U$84:'Synthèse Magasins'!$B$40:$U$59:'Synthèse Magasins'!$B$7:$U$38,4,FALSE)&amp;CHAR(10)&amp;LEFT(T7,6)</f>
        <v>18
sur 24</v>
      </c>
      <c r="T12" s="206" t="s">
        <v>47</v>
      </c>
      <c r="U12" s="204">
        <f ca="1">IF(VLOOKUP($B$7,Paramètres!$A$2:$D$183,2,FALSE)="A",OFFSET('Synthèse Magasins'!$D$60,MATCH(VLOOKUP($B$7,'Synthèse Magasins'!$B$61:$U$84,4,FALSE)-VLOOKUP($T$10,Paramètres!$J$2:$K$21,2,FALSE),'Synthèse Magasins'!$E$61:$E$84,0),0),IF(VLOOKUP($B$7,Paramètres!$A$2:$D$183,2,FALSE)="B",OFFSET('Synthèse Magasins'!$D$39,MATCH(VLOOKUP($B$7,'Synthèse Magasins'!$B$40:$U$59,4,FALSE)-VLOOKUP($T$10,Paramètres!$J$2:$K$21,2,FALSE),'Synthèse Magasins'!$E$40:$E$59,0),0),IF(VLOOKUP($B$7,Paramètres!$A$2:$D$183,2,FALSE)="C",OFFSET('Synthèse Magasins'!$D$6,MATCH(VLOOKUP($B$7,'Synthèse Magasins'!$B$7:$U$38,4,FALSE)-VLOOKUP($T$10,Paramètres!$J$2:$K$21,2,FALSE),'Synthèse Magasins'!$E$7:$E$38,0),0),"erreur")))</f>
        <v>0.10229885057471264</v>
      </c>
      <c r="V12" s="203">
        <f ca="1">U12-P12</f>
        <v>7.6988505747126318E-3</v>
      </c>
      <c r="W12" s="174">
        <v>0.5</v>
      </c>
      <c r="X12" s="141">
        <f t="shared" ref="X12:AD12" ca="1" si="0">ROUNDUP(MIN($V12/$W12*$D12*X$11,IF($E12-$G12&lt;0,0,$E12-$G12)),0)</f>
        <v>2</v>
      </c>
      <c r="Y12" s="141">
        <f t="shared" ca="1" si="0"/>
        <v>2</v>
      </c>
      <c r="Z12" s="141">
        <f t="shared" ca="1" si="0"/>
        <v>2</v>
      </c>
      <c r="AA12" s="141">
        <f t="shared" ca="1" si="0"/>
        <v>1</v>
      </c>
      <c r="AB12" s="141">
        <f t="shared" ca="1" si="0"/>
        <v>1</v>
      </c>
      <c r="AC12" s="141">
        <f t="shared" ca="1" si="0"/>
        <v>1</v>
      </c>
      <c r="AD12" s="141">
        <f t="shared" ca="1" si="0"/>
        <v>0</v>
      </c>
      <c r="AE12" s="142"/>
    </row>
    <row r="13" spans="1:31" s="28" customFormat="1" ht="15.75" customHeight="1" x14ac:dyDescent="0.25">
      <c r="A13" s="27"/>
      <c r="B13" s="144" t="s">
        <v>36</v>
      </c>
      <c r="C13" s="129"/>
      <c r="D13" s="145">
        <f>VLOOKUP($B7,'[1]Fil Rouge 1'!$A$1:$BI$65536,10,FALSE)</f>
        <v>84</v>
      </c>
      <c r="E13" s="145">
        <f>D13*$F$3</f>
        <v>36.96</v>
      </c>
      <c r="F13" s="145">
        <f>ROUNDUP(D13*$F$2,0)</f>
        <v>25</v>
      </c>
      <c r="G13" s="146">
        <f>ROUND(VLOOKUP($B7,'[1]Fil Rouge 1'!$A$1:$BI$65536,13,FALSE),0)</f>
        <v>12</v>
      </c>
      <c r="H13" s="147">
        <f>ROUND(VLOOKUP($B7,'[1]Fil Rouge 1'!$A$1:$BI$65536,12,FALSE),0)</f>
        <v>2</v>
      </c>
      <c r="I13" s="133"/>
      <c r="J13" s="148">
        <f>ROUND(VLOOKUP($B7,'[1]Fil Rouge 1'!$A$1:$BI$65536,14,FALSE),3)</f>
        <v>0.14299999999999999</v>
      </c>
      <c r="K13" s="140">
        <f>IF(F13-G13&lt;0,0,F13-G13)</f>
        <v>13</v>
      </c>
      <c r="L13" s="140">
        <f>ROUND(F13/Paramètres!$H$7,0)</f>
        <v>2</v>
      </c>
      <c r="M13" s="140">
        <f ca="1">MAX(ROUND(50%*L13,0),ROUND(K13/Paramètres!$H$8,0))</f>
        <v>2</v>
      </c>
      <c r="N13" s="149">
        <f>IF((G13-D13*$F$4)&lt;0,ROUNDUP(G13-D13*$F$4,0),IF((G13-D13*$F$4)&gt;0,ROUNDDOWN(G13-D13*$F$4,0),(G13-D13*$F$4)))</f>
        <v>1</v>
      </c>
      <c r="O13" s="129"/>
      <c r="P13" s="199"/>
      <c r="Q13" s="200"/>
      <c r="R13" s="138"/>
      <c r="S13" s="213"/>
      <c r="T13" s="206"/>
      <c r="U13" s="204"/>
      <c r="V13" s="203"/>
      <c r="W13" s="174">
        <v>0.5</v>
      </c>
      <c r="X13" s="141">
        <f t="shared" ref="X13:AD13" ca="1" si="1">ROUNDUP(IF(($V12/$W12*$D12-X12)&lt;0,0,MIN($E13-$G13,($V12/$W12*$D12-X12)/$D12*$D13)),0)</f>
        <v>0</v>
      </c>
      <c r="Y13" s="141">
        <f t="shared" ca="1" si="1"/>
        <v>0</v>
      </c>
      <c r="Z13" s="141">
        <f t="shared" ca="1" si="1"/>
        <v>0</v>
      </c>
      <c r="AA13" s="141">
        <f t="shared" ca="1" si="1"/>
        <v>1</v>
      </c>
      <c r="AB13" s="141">
        <f t="shared" ca="1" si="1"/>
        <v>1</v>
      </c>
      <c r="AC13" s="141">
        <f t="shared" ca="1" si="1"/>
        <v>1</v>
      </c>
      <c r="AD13" s="141">
        <f t="shared" ca="1" si="1"/>
        <v>2</v>
      </c>
      <c r="AE13" s="142"/>
    </row>
    <row r="14" spans="1:31" ht="33.75" hidden="1" outlineLevel="1" x14ac:dyDescent="0.25">
      <c r="A14" s="103"/>
      <c r="B14" s="104"/>
      <c r="C14" s="104"/>
      <c r="D14" s="104"/>
      <c r="E14" s="104"/>
      <c r="F14" s="104"/>
      <c r="G14" s="104"/>
      <c r="H14" s="104"/>
      <c r="I14" s="104"/>
      <c r="J14" s="112"/>
      <c r="K14" s="140"/>
      <c r="L14" s="140"/>
      <c r="M14" s="140"/>
      <c r="N14" s="140"/>
      <c r="O14" s="104"/>
      <c r="P14" s="104"/>
      <c r="Q14" s="104"/>
      <c r="R14" s="104"/>
      <c r="S14" s="104"/>
      <c r="T14" s="104"/>
      <c r="U14" s="122"/>
      <c r="V14" s="122"/>
      <c r="W14" s="123"/>
      <c r="X14" s="159" t="str">
        <f t="shared" ref="X14:AD14" ca="1" si="2">IF((X12/$D12+X13/$D13)/2&gt;$V12,X12&amp;" "&amp;$B12&amp;CHAR(10)&amp;" &amp; "&amp;X13&amp;" "&amp;$B13,"")</f>
        <v>2 PRODUIT 1
 &amp; 0 PRODUIT 2</v>
      </c>
      <c r="Y14" s="159" t="str">
        <f t="shared" ca="1" si="2"/>
        <v>2 PRODUIT 1
 &amp; 0 PRODUIT 2</v>
      </c>
      <c r="Z14" s="159" t="str">
        <f t="shared" ca="1" si="2"/>
        <v>2 PRODUIT 1
 &amp; 0 PRODUIT 2</v>
      </c>
      <c r="AA14" s="159" t="str">
        <f t="shared" ca="1" si="2"/>
        <v>1 PRODUIT 1
 &amp; 1 PRODUIT 2</v>
      </c>
      <c r="AB14" s="159" t="str">
        <f t="shared" ca="1" si="2"/>
        <v>1 PRODUIT 1
 &amp; 1 PRODUIT 2</v>
      </c>
      <c r="AC14" s="159" t="str">
        <f t="shared" ca="1" si="2"/>
        <v>1 PRODUIT 1
 &amp; 1 PRODUIT 2</v>
      </c>
      <c r="AD14" s="159" t="str">
        <f t="shared" ca="1" si="2"/>
        <v>0 PRODUIT 1
 &amp; 2 PRODUIT 2</v>
      </c>
      <c r="AE14" s="142"/>
    </row>
    <row r="15" spans="1:31" s="28" customFormat="1" hidden="1" outlineLevel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122"/>
      <c r="V15" s="122"/>
      <c r="W15" s="123"/>
      <c r="X15" s="160" t="str">
        <f t="shared" ref="X15:AD15" ca="1" si="3">IF(X18=W18,"",X18)</f>
        <v/>
      </c>
      <c r="Y15" s="160">
        <f t="shared" ca="1" si="3"/>
        <v>0</v>
      </c>
      <c r="Z15" s="160">
        <f t="shared" ca="1" si="3"/>
        <v>1</v>
      </c>
      <c r="AA15" s="160" t="str">
        <f t="shared" ca="1" si="3"/>
        <v/>
      </c>
      <c r="AB15" s="160" t="str">
        <f t="shared" ca="1" si="3"/>
        <v/>
      </c>
      <c r="AC15" s="160">
        <f t="shared" ca="1" si="3"/>
        <v>2</v>
      </c>
      <c r="AD15" s="160">
        <f t="shared" ca="1" si="3"/>
        <v>3</v>
      </c>
      <c r="AE15" s="142"/>
    </row>
    <row r="16" spans="1:31" s="28" customFormat="1" ht="33.75" hidden="1" outlineLevel="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122"/>
      <c r="V16" s="122"/>
      <c r="W16" s="123"/>
      <c r="X16" s="161" t="str">
        <f t="shared" ref="X16:AD16" ca="1" si="4">IF(X14&lt;&gt;Y14,X14,"")</f>
        <v/>
      </c>
      <c r="Y16" s="161" t="str">
        <f t="shared" ca="1" si="4"/>
        <v/>
      </c>
      <c r="Z16" s="161" t="str">
        <f t="shared" ca="1" si="4"/>
        <v>2 PRODUIT 1
 &amp; 0 PRODUIT 2</v>
      </c>
      <c r="AA16" s="161" t="str">
        <f t="shared" ca="1" si="4"/>
        <v/>
      </c>
      <c r="AB16" s="161" t="str">
        <f t="shared" ca="1" si="4"/>
        <v/>
      </c>
      <c r="AC16" s="161" t="str">
        <f t="shared" ca="1" si="4"/>
        <v>1 PRODUIT 1
 &amp; 1 PRODUIT 2</v>
      </c>
      <c r="AD16" s="161" t="str">
        <f t="shared" ca="1" si="4"/>
        <v>0 PRODUIT 1
 &amp; 2 PRODUIT 2</v>
      </c>
      <c r="AE16" s="142"/>
    </row>
    <row r="17" spans="1:31" s="28" customFormat="1" hidden="1" outlineLevel="1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122"/>
      <c r="V17" s="122"/>
      <c r="W17" s="123"/>
      <c r="X17" s="163" t="str">
        <f t="shared" ref="X17:AD17" ca="1" si="5">IF(X16&lt;&gt;"",1,"")</f>
        <v/>
      </c>
      <c r="Y17" s="163" t="str">
        <f t="shared" ca="1" si="5"/>
        <v/>
      </c>
      <c r="Z17" s="163">
        <f t="shared" ca="1" si="5"/>
        <v>1</v>
      </c>
      <c r="AA17" s="163" t="str">
        <f t="shared" ca="1" si="5"/>
        <v/>
      </c>
      <c r="AB17" s="163" t="str">
        <f t="shared" ca="1" si="5"/>
        <v/>
      </c>
      <c r="AC17" s="163">
        <f t="shared" ca="1" si="5"/>
        <v>1</v>
      </c>
      <c r="AD17" s="163">
        <f t="shared" ca="1" si="5"/>
        <v>1</v>
      </c>
      <c r="AE17" s="142"/>
    </row>
    <row r="18" spans="1:31" s="28" customFormat="1" hidden="1" outlineLevel="1" x14ac:dyDescent="0.25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22"/>
      <c r="V18" s="164"/>
      <c r="W18" s="123"/>
      <c r="X18" s="163" t="str">
        <f ca="1">IF(X17=0,"",X17)</f>
        <v/>
      </c>
      <c r="Y18" s="163">
        <f ca="1">SUM($X17:Y17)</f>
        <v>0</v>
      </c>
      <c r="Z18" s="163">
        <f ca="1">SUM($X17:Z17)</f>
        <v>1</v>
      </c>
      <c r="AA18" s="163">
        <f ca="1">SUM($X17:AA17)</f>
        <v>1</v>
      </c>
      <c r="AB18" s="163">
        <f ca="1">SUM($X17:AB17)</f>
        <v>1</v>
      </c>
      <c r="AC18" s="163">
        <f ca="1">SUM($X17:AC17)</f>
        <v>2</v>
      </c>
      <c r="AD18" s="163">
        <f ca="1">SUM($X17:AD17)</f>
        <v>3</v>
      </c>
      <c r="AE18" s="142"/>
    </row>
    <row r="19" spans="1:31" s="28" customFormat="1" ht="33.75" hidden="1" outlineLevel="1" x14ac:dyDescent="0.25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122"/>
      <c r="V19" s="122"/>
      <c r="W19" s="123"/>
      <c r="X19" s="165" t="str">
        <f ca="1">IF(ISNA(X18),"Vous ne pouvez plus gagner"&amp;CHAR(10)&amp;"autant de rangs",IF(COUNTIF($X16:$AD16,"&gt;&lt;")&gt;=1,HLOOKUP(1,$X15:$AD16,2,FALSE),""))</f>
        <v>2 PRODUIT 1
 &amp; 0 PRODUIT 2</v>
      </c>
      <c r="Y19" s="165" t="str">
        <f ca="1">IF(COUNTIF($X16:$AD16,"&gt;&lt;")&gt;=2,HLOOKUP(2,$X15:$AD16,2,FALSE),"")</f>
        <v>1 PRODUIT 1
 &amp; 1 PRODUIT 2</v>
      </c>
      <c r="Z19" s="165" t="str">
        <f ca="1">IF(COUNTIF($X16:$AD16,"&gt;&lt;")&gt;=3,HLOOKUP(3,$X15:$AD16,2,FALSE),"")</f>
        <v>0 PRODUIT 1
 &amp; 2 PRODUIT 2</v>
      </c>
      <c r="AA19" s="165" t="str">
        <f ca="1">IF(COUNTIF($X16:$AD16,"&gt;&lt;")&gt;=4,HLOOKUP(4,$X15:$AD16,2,FALSE),"")</f>
        <v/>
      </c>
      <c r="AB19" s="165" t="str">
        <f ca="1">IF(COUNTIF($X16:$AD16,"&gt;&lt;")&gt;=5,HLOOKUP(5,$X15:$AD16,2,FALSE),"")</f>
        <v/>
      </c>
      <c r="AC19" s="165" t="str">
        <f ca="1">IF(COUNTIF($X16:$AD16,"&gt;&lt;")&gt;=6,HLOOKUP(6,$X15:$AD16,2,FALSE),"")</f>
        <v/>
      </c>
      <c r="AD19" s="165" t="str">
        <f ca="1">IF(COUNTIF($X16:$AD16,"&gt;&lt;")&gt;=7,HLOOKUP(7,$X15:$AD16,2,FALSE),"")</f>
        <v/>
      </c>
      <c r="AE19" s="142"/>
    </row>
    <row r="20" spans="1:31" s="28" customFormat="1" collapsed="1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140"/>
      <c r="L20" s="140"/>
      <c r="M20" s="140"/>
      <c r="N20" s="140"/>
      <c r="O20" s="27"/>
      <c r="P20" s="27"/>
      <c r="Q20" s="27"/>
      <c r="R20" s="27"/>
      <c r="S20" s="27"/>
      <c r="T20" s="27"/>
      <c r="U20" s="122"/>
      <c r="V20" s="122"/>
      <c r="W20" s="123"/>
      <c r="X20" s="141"/>
      <c r="Y20" s="141"/>
      <c r="Z20" s="141"/>
      <c r="AA20" s="142"/>
      <c r="AB20" s="142"/>
      <c r="AC20" s="142"/>
      <c r="AD20" s="142"/>
      <c r="AE20" s="142"/>
    </row>
    <row r="21" spans="1:31" s="28" customFormat="1" ht="15" customHeight="1" x14ac:dyDescent="0.25">
      <c r="A21" s="27"/>
      <c r="B21" s="144" t="s">
        <v>37</v>
      </c>
      <c r="C21" s="129"/>
      <c r="D21" s="145">
        <f>VLOOKUP($B7,'[1]Fil Rouge 2'!$A$1:$BI$65536,3,FALSE)</f>
        <v>1988</v>
      </c>
      <c r="E21" s="145">
        <f>D21*$F$3</f>
        <v>874.72</v>
      </c>
      <c r="F21" s="145">
        <f>ROUNDUP(D21*$F$2,0)</f>
        <v>577</v>
      </c>
      <c r="G21" s="146">
        <f>ROUND(VLOOKUP($B7,'[1]Fil Rouge 2'!$A$1:$BI$65536,6,FALSE),0)</f>
        <v>194</v>
      </c>
      <c r="H21" s="147">
        <f>ROUND(VLOOKUP($B7,'[1]Fil Rouge 2'!$A$1:$BI$65536,5,FALSE),0)</f>
        <v>6</v>
      </c>
      <c r="I21" s="133"/>
      <c r="J21" s="148">
        <f>ROUND(VLOOKUP($B7,'[1]Fil Rouge 2'!$A$1:$BI$65536,7,FALSE),3)</f>
        <v>9.8000000000000004E-2</v>
      </c>
      <c r="K21" s="140">
        <f>IF(F21-G21&lt;0,0,F21-G21)</f>
        <v>383</v>
      </c>
      <c r="L21" s="140">
        <f>ROUND(F21/Paramètres!$H$7,0)</f>
        <v>44</v>
      </c>
      <c r="M21" s="140">
        <f ca="1">MAX(ROUND(50%*L21,0),ROUND(K21/Paramètres!$H$8,0))</f>
        <v>64</v>
      </c>
      <c r="N21" s="149">
        <f>IF((G21-D21*$F$4)&lt;0,ROUNDUP(G21-D21*$F$4,0),IF((G21-D21*$F$4)&gt;0,ROUNDDOWN(G21-D21*$F$4,0),(G21-D21*$F$4)))</f>
        <v>-59</v>
      </c>
      <c r="O21" s="129"/>
      <c r="P21" s="199">
        <f>ROUND(VLOOKUP($B7,'[1]Fil Rouge 2'!$A$1:$BI$65536,17,FALSE),4)</f>
        <v>9.7199999999999995E-2</v>
      </c>
      <c r="Q21" s="200" t="str">
        <f>"1 "&amp;LEFT(B22,19)&amp;CHAR(10)&amp;" = "&amp;ROUND(F21/(F22),0)&amp;"ke de "&amp;LEFT(B21,14)</f>
        <v>1 PRODUIT 4
 = 5ke de PRODUIT 3</v>
      </c>
      <c r="R21" s="138"/>
      <c r="S21" s="210" t="str">
        <f>VLOOKUP($B$7,'Synthèse Magasins'!$B$61:$U$84:'Synthèse Magasins'!$B$40:$U$59:'Synthèse Magasins'!$B$7:$U$38,6,FALSE)&amp;CHAR(10)&amp;LEFT(T7,6)</f>
        <v>9
sur 24</v>
      </c>
      <c r="T21" s="206" t="s">
        <v>48</v>
      </c>
      <c r="U21" s="204">
        <f ca="1">IF(VLOOKUP($B$7,Paramètres!$A$2:$D$183,2,FALSE)="A",OFFSET('Synthèse Magasins'!$F$60,MATCH(VLOOKUP($B$7,'Synthèse Magasins'!$B$61:$U$84,6,FALSE)-VLOOKUP($T$10,Paramètres!$J$2:$K$21,2,FALSE),'Synthèse Magasins'!$G$61:$G$84,0),0),IF(VLOOKUP($B$7,Paramètres!$A$2:$D$183,2,FALSE)="B",OFFSET('Synthèse Magasins'!$F$39,MATCH(VLOOKUP($B$7,'Synthèse Magasins'!$B$40:$U$59,6,FALSE)-VLOOKUP($T$10,Paramètres!$J$2:$K$21,2,FALSE),'Synthèse Magasins'!$G$40:$G$59,0),0),IF(VLOOKUP($B$7,Paramètres!$A$2:$D$183,2,FALSE)="C",OFFSET('Synthèse Magasins'!$F$6,MATCH(VLOOKUP($B$7,'Synthèse Magasins'!$B$7:$U$38,6,FALSE)-VLOOKUP($T$10,Paramètres!$J$2:$K$21,2,FALSE),'Synthèse Magasins'!$G$7:$G$38,0),0),"erreur")))</f>
        <v>0.11641494069202876</v>
      </c>
      <c r="V21" s="203">
        <f ca="1">U21-P21</f>
        <v>1.9214940692028767E-2</v>
      </c>
      <c r="W21" s="175">
        <v>0.5</v>
      </c>
      <c r="X21" s="141">
        <f t="shared" ref="X21:AD21" ca="1" si="6">ROUNDUP(MIN($V21/$W21*$D21*X$11,IF($E21-$G21&lt;0,0,$E21-$G21)),0)</f>
        <v>77</v>
      </c>
      <c r="Y21" s="141">
        <f t="shared" ca="1" si="6"/>
        <v>64</v>
      </c>
      <c r="Z21" s="141">
        <f t="shared" ca="1" si="6"/>
        <v>51</v>
      </c>
      <c r="AA21" s="141">
        <f t="shared" ca="1" si="6"/>
        <v>39</v>
      </c>
      <c r="AB21" s="141">
        <f t="shared" ca="1" si="6"/>
        <v>26</v>
      </c>
      <c r="AC21" s="141">
        <f t="shared" ca="1" si="6"/>
        <v>13</v>
      </c>
      <c r="AD21" s="141">
        <f t="shared" ca="1" si="6"/>
        <v>0</v>
      </c>
      <c r="AE21" s="142"/>
    </row>
    <row r="22" spans="1:31" s="28" customFormat="1" ht="15" customHeight="1" x14ac:dyDescent="0.25">
      <c r="A22" s="27"/>
      <c r="B22" s="144" t="s">
        <v>38</v>
      </c>
      <c r="C22" s="129"/>
      <c r="D22" s="145">
        <f>VLOOKUP($B7,'[1]Fil Rouge 2'!$A$1:$BI$65536,10,FALSE)</f>
        <v>372</v>
      </c>
      <c r="E22" s="145">
        <f>D22*$F$3</f>
        <v>163.68</v>
      </c>
      <c r="F22" s="145">
        <f>ROUNDUP(D22*$F$2,0)</f>
        <v>108</v>
      </c>
      <c r="G22" s="146">
        <f>ROUND(VLOOKUP($B7,'[1]Fil Rouge 2'!$A$1:$BI$65536,13,FALSE),0)</f>
        <v>36</v>
      </c>
      <c r="H22" s="147">
        <f>ROUND(VLOOKUP($B7,'[1]Fil Rouge 2'!$A$1:$BI$65536,12,FALSE),0)</f>
        <v>5</v>
      </c>
      <c r="I22" s="133"/>
      <c r="J22" s="148">
        <f>ROUND(VLOOKUP($B7,'[1]Fil Rouge 2'!$A$1:$BI$65536,14,FALSE),3)</f>
        <v>9.7000000000000003E-2</v>
      </c>
      <c r="K22" s="140">
        <f>IF(F22-G22&lt;0,0,F22-G22)</f>
        <v>72</v>
      </c>
      <c r="L22" s="140">
        <f>ROUND(F22/Paramètres!$H$7,0)</f>
        <v>8</v>
      </c>
      <c r="M22" s="140">
        <f ca="1">MAX(ROUND(50%*L22,0),ROUND(K22/Paramètres!$H$8,0))</f>
        <v>12</v>
      </c>
      <c r="N22" s="149">
        <f>IF((G22-D22*$F$4)&lt;0,ROUNDUP(G22-D22*$F$4,0),IF((G22-D22*$F$4)&gt;0,ROUNDDOWN(G22-D22*$F$4,0),(G22-D22*$F$4)))</f>
        <v>-12</v>
      </c>
      <c r="O22" s="129"/>
      <c r="P22" s="199"/>
      <c r="Q22" s="200"/>
      <c r="R22" s="138"/>
      <c r="S22" s="210"/>
      <c r="T22" s="206"/>
      <c r="U22" s="204"/>
      <c r="V22" s="203"/>
      <c r="W22" s="175">
        <v>0.5</v>
      </c>
      <c r="X22" s="141">
        <f t="shared" ref="X22:AD22" ca="1" si="7">ROUNDUP(IF(($V21/$W21*$D21-X21)&lt;0,0,MIN($E22-$G22,($V21/$W21*$D21-X21)/$D21*$D22)),0)</f>
        <v>0</v>
      </c>
      <c r="Y22" s="141">
        <f t="shared" ca="1" si="7"/>
        <v>3</v>
      </c>
      <c r="Z22" s="141">
        <f t="shared" ca="1" si="7"/>
        <v>5</v>
      </c>
      <c r="AA22" s="141">
        <f t="shared" ca="1" si="7"/>
        <v>7</v>
      </c>
      <c r="AB22" s="141">
        <f t="shared" ca="1" si="7"/>
        <v>10</v>
      </c>
      <c r="AC22" s="141">
        <f t="shared" ca="1" si="7"/>
        <v>12</v>
      </c>
      <c r="AD22" s="141">
        <f t="shared" ca="1" si="7"/>
        <v>15</v>
      </c>
      <c r="AE22" s="142"/>
    </row>
    <row r="23" spans="1:31" ht="45" hidden="1" outlineLevel="1" x14ac:dyDescent="0.25">
      <c r="A23" s="103"/>
      <c r="B23" s="104"/>
      <c r="C23" s="104"/>
      <c r="D23" s="104"/>
      <c r="E23" s="104"/>
      <c r="F23" s="104"/>
      <c r="G23" s="104"/>
      <c r="H23" s="104"/>
      <c r="I23" s="104"/>
      <c r="J23" s="112"/>
      <c r="K23" s="140"/>
      <c r="L23" s="140"/>
      <c r="M23" s="140"/>
      <c r="N23" s="140"/>
      <c r="O23" s="104"/>
      <c r="P23" s="104"/>
      <c r="Q23" s="104"/>
      <c r="R23" s="104"/>
      <c r="S23" s="104"/>
      <c r="T23" s="104"/>
      <c r="U23" s="122"/>
      <c r="V23" s="122"/>
      <c r="W23" s="123"/>
      <c r="X23" s="159" t="str">
        <f t="shared" ref="X23:AD23" ca="1" si="8">IF((X21/$D21+X22/$D22)/2&gt;$V21,X21&amp;" "&amp;$B21&amp;CHAR(10)&amp;" &amp; "&amp;X22&amp;" "&amp;$B22,"")</f>
        <v>77 PRODUIT 3
 &amp; 0 PRODUIT 4</v>
      </c>
      <c r="Y23" s="159" t="str">
        <f t="shared" ca="1" si="8"/>
        <v>64 PRODUIT 3
 &amp; 3 PRODUIT 4</v>
      </c>
      <c r="Z23" s="159" t="str">
        <f t="shared" ca="1" si="8"/>
        <v>51 PRODUIT 3
 &amp; 5 PRODUIT 4</v>
      </c>
      <c r="AA23" s="159" t="str">
        <f t="shared" ca="1" si="8"/>
        <v>39 PRODUIT 3
 &amp; 7 PRODUIT 4</v>
      </c>
      <c r="AB23" s="159" t="str">
        <f t="shared" ca="1" si="8"/>
        <v>26 PRODUIT 3
 &amp; 10 PRODUIT 4</v>
      </c>
      <c r="AC23" s="159" t="str">
        <f t="shared" ca="1" si="8"/>
        <v>13 PRODUIT 3
 &amp; 12 PRODUIT 4</v>
      </c>
      <c r="AD23" s="159" t="str">
        <f t="shared" ca="1" si="8"/>
        <v>0 PRODUIT 3
 &amp; 15 PRODUIT 4</v>
      </c>
      <c r="AE23" s="142"/>
    </row>
    <row r="24" spans="1:31" s="28" customFormat="1" hidden="1" outlineLevel="1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22"/>
      <c r="V24" s="122"/>
      <c r="W24" s="123"/>
      <c r="X24" s="160">
        <f t="shared" ref="X24:AD24" ca="1" si="9">IF(X27=W27,"",X27)</f>
        <v>1</v>
      </c>
      <c r="Y24" s="160">
        <f t="shared" ca="1" si="9"/>
        <v>2</v>
      </c>
      <c r="Z24" s="160">
        <f t="shared" ca="1" si="9"/>
        <v>3</v>
      </c>
      <c r="AA24" s="160">
        <f t="shared" ca="1" si="9"/>
        <v>4</v>
      </c>
      <c r="AB24" s="160">
        <f t="shared" ca="1" si="9"/>
        <v>5</v>
      </c>
      <c r="AC24" s="160">
        <f t="shared" ca="1" si="9"/>
        <v>6</v>
      </c>
      <c r="AD24" s="160">
        <f t="shared" ca="1" si="9"/>
        <v>7</v>
      </c>
      <c r="AE24" s="142"/>
    </row>
    <row r="25" spans="1:31" s="28" customFormat="1" ht="45" hidden="1" outlineLevel="1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122"/>
      <c r="V25" s="122"/>
      <c r="W25" s="123"/>
      <c r="X25" s="161" t="str">
        <f t="shared" ref="X25:AD25" ca="1" si="10">IF(X23&lt;&gt;Y23,X23,"")</f>
        <v>77 PRODUIT 3
 &amp; 0 PRODUIT 4</v>
      </c>
      <c r="Y25" s="161" t="str">
        <f t="shared" ca="1" si="10"/>
        <v>64 PRODUIT 3
 &amp; 3 PRODUIT 4</v>
      </c>
      <c r="Z25" s="161" t="str">
        <f t="shared" ca="1" si="10"/>
        <v>51 PRODUIT 3
 &amp; 5 PRODUIT 4</v>
      </c>
      <c r="AA25" s="161" t="str">
        <f t="shared" ca="1" si="10"/>
        <v>39 PRODUIT 3
 &amp; 7 PRODUIT 4</v>
      </c>
      <c r="AB25" s="161" t="str">
        <f t="shared" ca="1" si="10"/>
        <v>26 PRODUIT 3
 &amp; 10 PRODUIT 4</v>
      </c>
      <c r="AC25" s="161" t="str">
        <f t="shared" ca="1" si="10"/>
        <v>13 PRODUIT 3
 &amp; 12 PRODUIT 4</v>
      </c>
      <c r="AD25" s="161" t="str">
        <f t="shared" ca="1" si="10"/>
        <v>0 PRODUIT 3
 &amp; 15 PRODUIT 4</v>
      </c>
      <c r="AE25" s="142"/>
    </row>
    <row r="26" spans="1:31" s="28" customFormat="1" hidden="1" outlineLevel="1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122"/>
      <c r="V26" s="122"/>
      <c r="W26" s="123"/>
      <c r="X26" s="163">
        <f t="shared" ref="X26:AD26" ca="1" si="11">IF(X25&lt;&gt;"",1,"")</f>
        <v>1</v>
      </c>
      <c r="Y26" s="163">
        <f t="shared" ca="1" si="11"/>
        <v>1</v>
      </c>
      <c r="Z26" s="163">
        <f t="shared" ca="1" si="11"/>
        <v>1</v>
      </c>
      <c r="AA26" s="163">
        <f t="shared" ca="1" si="11"/>
        <v>1</v>
      </c>
      <c r="AB26" s="163">
        <f t="shared" ca="1" si="11"/>
        <v>1</v>
      </c>
      <c r="AC26" s="163">
        <f t="shared" ca="1" si="11"/>
        <v>1</v>
      </c>
      <c r="AD26" s="163">
        <f t="shared" ca="1" si="11"/>
        <v>1</v>
      </c>
      <c r="AE26" s="142"/>
    </row>
    <row r="27" spans="1:31" s="28" customFormat="1" hidden="1" outlineLevel="1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122"/>
      <c r="V27" s="164"/>
      <c r="W27" s="123"/>
      <c r="X27" s="163">
        <f ca="1">IF(X26=0,"",X26)</f>
        <v>1</v>
      </c>
      <c r="Y27" s="163">
        <f ca="1">SUM($X26:Y26)</f>
        <v>2</v>
      </c>
      <c r="Z27" s="163">
        <f ca="1">SUM($X26:Z26)</f>
        <v>3</v>
      </c>
      <c r="AA27" s="163">
        <f ca="1">SUM($X26:AA26)</f>
        <v>4</v>
      </c>
      <c r="AB27" s="163">
        <f ca="1">SUM($X26:AB26)</f>
        <v>5</v>
      </c>
      <c r="AC27" s="163">
        <f ca="1">SUM($X26:AC26)</f>
        <v>6</v>
      </c>
      <c r="AD27" s="163">
        <f ca="1">SUM($X26:AD26)</f>
        <v>7</v>
      </c>
      <c r="AE27" s="142"/>
    </row>
    <row r="28" spans="1:31" s="28" customFormat="1" ht="45" hidden="1" outlineLevel="1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122"/>
      <c r="V28" s="122"/>
      <c r="W28" s="123"/>
      <c r="X28" s="165" t="str">
        <f ca="1">IF(ISNA(X27),"Vous ne pouvez plus gagner"&amp;CHAR(10)&amp;"autant de rangs",IF(COUNTIF($X25:$AD25,"&gt;&lt;")&gt;=1,HLOOKUP(1,$X24:$AD25,2,FALSE),""))</f>
        <v>77 PRODUIT 3
 &amp; 0 PRODUIT 4</v>
      </c>
      <c r="Y28" s="165" t="str">
        <f ca="1">IF(COUNTIF($X25:$AD25,"&gt;&lt;")&gt;=2,HLOOKUP(2,$X24:$AD25,2,FALSE),"")</f>
        <v>64 PRODUIT 3
 &amp; 3 PRODUIT 4</v>
      </c>
      <c r="Z28" s="165" t="str">
        <f ca="1">IF(COUNTIF($X25:$AD25,"&gt;&lt;")&gt;=3,HLOOKUP(3,$X24:$AD25,2,FALSE),"")</f>
        <v>51 PRODUIT 3
 &amp; 5 PRODUIT 4</v>
      </c>
      <c r="AA28" s="165" t="str">
        <f ca="1">IF(COUNTIF($X25:$AD25,"&gt;&lt;")&gt;=4,HLOOKUP(4,$X24:$AD25,2,FALSE),"")</f>
        <v>39 PRODUIT 3
 &amp; 7 PRODUIT 4</v>
      </c>
      <c r="AB28" s="165" t="str">
        <f ca="1">IF(COUNTIF($X25:$AD25,"&gt;&lt;")&gt;=5,HLOOKUP(5,$X24:$AD25,2,FALSE),"")</f>
        <v>26 PRODUIT 3
 &amp; 10 PRODUIT 4</v>
      </c>
      <c r="AC28" s="165" t="str">
        <f ca="1">IF(COUNTIF($X25:$AD25,"&gt;&lt;")&gt;=6,HLOOKUP(6,$X24:$AD25,2,FALSE),"")</f>
        <v>13 PRODUIT 3
 &amp; 12 PRODUIT 4</v>
      </c>
      <c r="AD28" s="165" t="str">
        <f ca="1">IF(COUNTIF($X25:$AD25,"&gt;&lt;")&gt;=7,HLOOKUP(7,$X24:$AD25,2,FALSE),"")</f>
        <v>0 PRODUIT 3
 &amp; 15 PRODUIT 4</v>
      </c>
      <c r="AE28" s="142"/>
    </row>
    <row r="29" spans="1:31" collapsed="1" x14ac:dyDescent="0.25">
      <c r="A29" s="103"/>
      <c r="B29" s="104"/>
      <c r="C29" s="104"/>
      <c r="D29" s="104"/>
      <c r="E29" s="104"/>
      <c r="F29" s="104"/>
      <c r="G29" s="104"/>
      <c r="H29" s="104"/>
      <c r="I29" s="104"/>
      <c r="J29" s="112"/>
      <c r="K29" s="140"/>
      <c r="L29" s="140"/>
      <c r="M29" s="140"/>
      <c r="N29" s="140"/>
      <c r="O29" s="104"/>
      <c r="P29" s="104"/>
      <c r="Q29" s="104"/>
      <c r="R29" s="104"/>
      <c r="S29" s="104"/>
      <c r="T29" s="104"/>
      <c r="U29" s="122"/>
      <c r="V29" s="122"/>
      <c r="W29" s="123"/>
      <c r="X29" s="141"/>
      <c r="Y29" s="141"/>
      <c r="Z29" s="141"/>
      <c r="AA29" s="142"/>
      <c r="AB29" s="142"/>
      <c r="AC29" s="142"/>
      <c r="AD29" s="142"/>
      <c r="AE29" s="142"/>
    </row>
    <row r="30" spans="1:31" ht="15" customHeight="1" x14ac:dyDescent="0.25">
      <c r="A30" s="103"/>
      <c r="B30" s="144" t="s">
        <v>39</v>
      </c>
      <c r="C30" s="129"/>
      <c r="D30" s="145">
        <f>VLOOKUP($B7,'[1]Fil Rouge 3'!$A$1:$BI$65536,3,FALSE)</f>
        <v>192</v>
      </c>
      <c r="E30" s="145">
        <f>D30*$F$3</f>
        <v>84.48</v>
      </c>
      <c r="F30" s="145">
        <f>ROUNDUP(D30*$F$2,0)</f>
        <v>56</v>
      </c>
      <c r="G30" s="146">
        <f>ROUND(VLOOKUP($B7,'[1]Fil Rouge 3'!$A$1:$BI$65536,6,FALSE),0)</f>
        <v>17</v>
      </c>
      <c r="H30" s="147">
        <f>ROUND(VLOOKUP($B7,'[1]Fil Rouge 3'!$A$1:$BI$65536,5,FALSE),0)</f>
        <v>2</v>
      </c>
      <c r="I30" s="133"/>
      <c r="J30" s="148">
        <f>ROUND(VLOOKUP($B7,'[1]Fil Rouge 3'!$A$1:$BI$65536,7,FALSE),3)</f>
        <v>8.8999999999999996E-2</v>
      </c>
      <c r="K30" s="140">
        <f>IF(F30-G30&lt;0,0,F30-G30)</f>
        <v>39</v>
      </c>
      <c r="L30" s="140">
        <f>ROUND(F30/Paramètres!$H$7,0)</f>
        <v>4</v>
      </c>
      <c r="M30" s="140">
        <f ca="1">MAX(ROUND(50%*L30,0),ROUND(K30/Paramètres!$H$8,0))</f>
        <v>7</v>
      </c>
      <c r="N30" s="149">
        <f>IF((G30-D30*$F$4)&lt;0,ROUNDUP(G30-D30*$F$4,0),IF((G30-D30*$F$4)&gt;0,ROUNDDOWN(G30-D30*$F$4,0),(G30-D30*$F$4)))</f>
        <v>-8</v>
      </c>
      <c r="O30" s="129"/>
      <c r="P30" s="199">
        <f>ROUND(VLOOKUP($B7,'[1]Fil Rouge 3'!$A$1:$BI$65536,17,FALSE),4)</f>
        <v>9.0899999999999995E-2</v>
      </c>
      <c r="Q30" s="200" t="str">
        <f>"1 "&amp;B31&amp;CHAR(10)&amp;" = "&amp;ROUND(F30/F31,0)&amp;" "&amp;B30</f>
        <v>1 PRODUIT 6
 = 3 PRODUIT 5</v>
      </c>
      <c r="R30" s="138"/>
      <c r="S30" s="210" t="str">
        <f>VLOOKUP($B$7,'Synthèse Magasins'!$B$61:$U$84:'Synthèse Magasins'!$B$40:$U$59:'Synthèse Magasins'!$B$7:$U$38,8,FALSE)&amp;CHAR(10)&amp;LEFT(T7,6)</f>
        <v>9
sur 24</v>
      </c>
      <c r="T30" s="206" t="s">
        <v>49</v>
      </c>
      <c r="U30" s="204">
        <f ca="1">IF(VLOOKUP($B$7,Paramètres!$A$2:$D$183,2,FALSE)="A",OFFSET('Synthèse Magasins'!$H$60,MATCH(VLOOKUP($B$7,'Synthèse Magasins'!$B$61:$U$84,8,FALSE)-VLOOKUP($T$10,Paramètres!$J$2:$K$21,2,FALSE),'Synthèse Magasins'!$I$61:$I$84,0),0),IF(VLOOKUP($B$7,Paramètres!$A$2:$D$183,2,FALSE)="B",OFFSET('Synthèse Magasins'!$H$39,MATCH(VLOOKUP($B$7,'Synthèse Magasins'!$B$40:$U$59,8,FALSE)-VLOOKUP($T$10,Paramètres!$J$2:$K$21,2,FALSE),'Synthèse Magasins'!$I$40:$I$59,0),0),IF(VLOOKUP($B$7,Paramètres!$A$2:$D$183,2,FALSE)="C",OFFSET('Synthèse Magasins'!$H$6,MATCH(VLOOKUP($B$7,'Synthèse Magasins'!$B$7:$U$38,8,FALSE)-VLOOKUP($T$10,Paramètres!$J$2:$K$21,2,FALSE),'Synthèse Magasins'!$I$7:$I$38,0),0),"erreur")))</f>
        <v>0.10559079163730326</v>
      </c>
      <c r="V30" s="203">
        <f ca="1">U30-P30</f>
        <v>1.469079163730326E-2</v>
      </c>
      <c r="W30" s="175">
        <v>0.5</v>
      </c>
      <c r="X30" s="141">
        <f t="shared" ref="X30:AD30" ca="1" si="12">ROUNDUP(MIN($V30/$W30*$D30*X$11,IF($E30-$G30&lt;0,0,$E30-$G30)),0)</f>
        <v>6</v>
      </c>
      <c r="Y30" s="141">
        <f t="shared" ca="1" si="12"/>
        <v>5</v>
      </c>
      <c r="Z30" s="141">
        <f t="shared" ca="1" si="12"/>
        <v>4</v>
      </c>
      <c r="AA30" s="141">
        <f t="shared" ca="1" si="12"/>
        <v>3</v>
      </c>
      <c r="AB30" s="141">
        <f t="shared" ca="1" si="12"/>
        <v>2</v>
      </c>
      <c r="AC30" s="141">
        <f t="shared" ca="1" si="12"/>
        <v>1</v>
      </c>
      <c r="AD30" s="141">
        <f t="shared" ca="1" si="12"/>
        <v>0</v>
      </c>
      <c r="AE30" s="142"/>
    </row>
    <row r="31" spans="1:31" x14ac:dyDescent="0.25">
      <c r="A31" s="103"/>
      <c r="B31" s="144" t="s">
        <v>41</v>
      </c>
      <c r="C31" s="129"/>
      <c r="D31" s="145">
        <f>VLOOKUP($B7,'[1]Fil Rouge 3'!$A$1:$BI$65536,10,FALSE)</f>
        <v>75</v>
      </c>
      <c r="E31" s="145">
        <f>D31*$F$3</f>
        <v>33</v>
      </c>
      <c r="F31" s="145">
        <f>ROUNDUP(D31*$F$2,0)</f>
        <v>22</v>
      </c>
      <c r="G31" s="146">
        <f>ROUND(VLOOKUP($B7,'[1]Fil Rouge 3'!$A$1:$BI$65536,13,FALSE),0)</f>
        <v>7</v>
      </c>
      <c r="H31" s="147">
        <f>ROUND(VLOOKUP($B7,'[1]Fil Rouge 3'!$A$1:$BI$65536,12,FALSE),0)</f>
        <v>0</v>
      </c>
      <c r="I31" s="133"/>
      <c r="J31" s="148">
        <f>ROUND(VLOOKUP($B7,'[1]Fil Rouge 3'!$A$1:$BI$65536,14,FALSE),3)</f>
        <v>9.2999999999999999E-2</v>
      </c>
      <c r="K31" s="140">
        <f>IF(F31-G31&lt;0,0,F31-G31)</f>
        <v>15</v>
      </c>
      <c r="L31" s="140">
        <f>ROUND(F31/Paramètres!$H$7,0)</f>
        <v>2</v>
      </c>
      <c r="M31" s="140">
        <f ca="1">MAX(ROUND(50%*L31,0),ROUND(K31/Paramètres!$H$8,0))</f>
        <v>3</v>
      </c>
      <c r="N31" s="149">
        <f>IF((G31-D31*$F$4)&lt;0,ROUNDUP(G31-D31*$F$4,0),IF((G31-D31*$F$4)&gt;0,ROUNDDOWN(G31-D31*$F$4,0),(G31-D31*$F$4)))</f>
        <v>-3</v>
      </c>
      <c r="O31" s="129"/>
      <c r="P31" s="199"/>
      <c r="Q31" s="200"/>
      <c r="R31" s="138"/>
      <c r="S31" s="210"/>
      <c r="T31" s="206"/>
      <c r="U31" s="204"/>
      <c r="V31" s="203"/>
      <c r="W31" s="175">
        <v>0.5</v>
      </c>
      <c r="X31" s="141">
        <f t="shared" ref="X31:AD31" ca="1" si="13">ROUNDUP(IF(($V30/$W30*$D30-X30)&lt;0,0,MIN($E31-$G31,($V30/$W30*$D30-X30)/$D30*$D31)),0)</f>
        <v>0</v>
      </c>
      <c r="Y31" s="141">
        <f t="shared" ca="1" si="13"/>
        <v>1</v>
      </c>
      <c r="Z31" s="141">
        <f t="shared" ca="1" si="13"/>
        <v>1</v>
      </c>
      <c r="AA31" s="141">
        <f t="shared" ca="1" si="13"/>
        <v>2</v>
      </c>
      <c r="AB31" s="141">
        <f t="shared" ca="1" si="13"/>
        <v>2</v>
      </c>
      <c r="AC31" s="141">
        <f t="shared" ca="1" si="13"/>
        <v>2</v>
      </c>
      <c r="AD31" s="141">
        <f t="shared" ca="1" si="13"/>
        <v>3</v>
      </c>
      <c r="AE31" s="142"/>
    </row>
    <row r="32" spans="1:31" ht="45" hidden="1" outlineLevel="1" x14ac:dyDescent="0.25">
      <c r="A32" s="103"/>
      <c r="B32" s="104"/>
      <c r="C32" s="104"/>
      <c r="D32" s="104"/>
      <c r="E32" s="104"/>
      <c r="F32" s="104"/>
      <c r="G32" s="104"/>
      <c r="H32" s="104"/>
      <c r="I32" s="104"/>
      <c r="J32" s="112"/>
      <c r="K32" s="140"/>
      <c r="L32" s="140"/>
      <c r="M32" s="140"/>
      <c r="N32" s="140"/>
      <c r="O32" s="104"/>
      <c r="P32" s="104"/>
      <c r="Q32" s="104"/>
      <c r="R32" s="104"/>
      <c r="S32" s="104"/>
      <c r="T32" s="104"/>
      <c r="U32" s="122"/>
      <c r="V32" s="122"/>
      <c r="W32" s="123"/>
      <c r="X32" s="159" t="str">
        <f t="shared" ref="X32:AD32" ca="1" si="14">IF((X30/$D30+X31/$D31)/2&gt;$V30,X30&amp;" "&amp;$B30&amp;CHAR(10)&amp;" &amp; "&amp;X31&amp;" "&amp;$B31,"")</f>
        <v>6 PRODUIT 5
 &amp; 0 PRODUIT 6</v>
      </c>
      <c r="Y32" s="159" t="str">
        <f t="shared" ca="1" si="14"/>
        <v>5 PRODUIT 5
 &amp; 1 PRODUIT 6</v>
      </c>
      <c r="Z32" s="159" t="str">
        <f t="shared" ca="1" si="14"/>
        <v>4 PRODUIT 5
 &amp; 1 PRODUIT 6</v>
      </c>
      <c r="AA32" s="159" t="str">
        <f t="shared" ca="1" si="14"/>
        <v>3 PRODUIT 5
 &amp; 2 PRODUIT 6</v>
      </c>
      <c r="AB32" s="159" t="str">
        <f t="shared" ca="1" si="14"/>
        <v>2 PRODUIT 5
 &amp; 2 PRODUIT 6</v>
      </c>
      <c r="AC32" s="159" t="str">
        <f t="shared" ca="1" si="14"/>
        <v>1 PRODUIT 5
 &amp; 2 PRODUIT 6</v>
      </c>
      <c r="AD32" s="159" t="str">
        <f t="shared" ca="1" si="14"/>
        <v>0 PRODUIT 5
 &amp; 3 PRODUIT 6</v>
      </c>
      <c r="AE32" s="142"/>
    </row>
    <row r="33" spans="1:31" s="28" customFormat="1" hidden="1" outlineLevel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122"/>
      <c r="V33" s="122"/>
      <c r="W33" s="123"/>
      <c r="X33" s="160">
        <f t="shared" ref="X33:AD33" ca="1" si="15">IF(X36=W36,"",X36)</f>
        <v>1</v>
      </c>
      <c r="Y33" s="160">
        <f t="shared" ca="1" si="15"/>
        <v>2</v>
      </c>
      <c r="Z33" s="160">
        <f t="shared" ca="1" si="15"/>
        <v>3</v>
      </c>
      <c r="AA33" s="160">
        <f t="shared" ca="1" si="15"/>
        <v>4</v>
      </c>
      <c r="AB33" s="160">
        <f t="shared" ca="1" si="15"/>
        <v>5</v>
      </c>
      <c r="AC33" s="160">
        <f t="shared" ca="1" si="15"/>
        <v>6</v>
      </c>
      <c r="AD33" s="160">
        <f t="shared" ca="1" si="15"/>
        <v>7</v>
      </c>
      <c r="AE33" s="142"/>
    </row>
    <row r="34" spans="1:31" s="28" customFormat="1" ht="45" hidden="1" outlineLevel="1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122"/>
      <c r="V34" s="122"/>
      <c r="W34" s="123"/>
      <c r="X34" s="161" t="str">
        <f t="shared" ref="X34:AD34" ca="1" si="16">IF(X32&lt;&gt;Y32,X32,"")</f>
        <v>6 PRODUIT 5
 &amp; 0 PRODUIT 6</v>
      </c>
      <c r="Y34" s="161" t="str">
        <f t="shared" ca="1" si="16"/>
        <v>5 PRODUIT 5
 &amp; 1 PRODUIT 6</v>
      </c>
      <c r="Z34" s="161" t="str">
        <f t="shared" ca="1" si="16"/>
        <v>4 PRODUIT 5
 &amp; 1 PRODUIT 6</v>
      </c>
      <c r="AA34" s="161" t="str">
        <f t="shared" ca="1" si="16"/>
        <v>3 PRODUIT 5
 &amp; 2 PRODUIT 6</v>
      </c>
      <c r="AB34" s="161" t="str">
        <f t="shared" ca="1" si="16"/>
        <v>2 PRODUIT 5
 &amp; 2 PRODUIT 6</v>
      </c>
      <c r="AC34" s="161" t="str">
        <f t="shared" ca="1" si="16"/>
        <v>1 PRODUIT 5
 &amp; 2 PRODUIT 6</v>
      </c>
      <c r="AD34" s="161" t="str">
        <f t="shared" ca="1" si="16"/>
        <v>0 PRODUIT 5
 &amp; 3 PRODUIT 6</v>
      </c>
      <c r="AE34" s="142"/>
    </row>
    <row r="35" spans="1:31" s="28" customFormat="1" hidden="1" outlineLevel="1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122"/>
      <c r="V35" s="122"/>
      <c r="W35" s="123"/>
      <c r="X35" s="163">
        <f t="shared" ref="X35:AD35" ca="1" si="17">IF(X34&lt;&gt;"",1,"")</f>
        <v>1</v>
      </c>
      <c r="Y35" s="163">
        <f t="shared" ca="1" si="17"/>
        <v>1</v>
      </c>
      <c r="Z35" s="163">
        <f t="shared" ca="1" si="17"/>
        <v>1</v>
      </c>
      <c r="AA35" s="163">
        <f t="shared" ca="1" si="17"/>
        <v>1</v>
      </c>
      <c r="AB35" s="163">
        <f t="shared" ca="1" si="17"/>
        <v>1</v>
      </c>
      <c r="AC35" s="163">
        <f t="shared" ca="1" si="17"/>
        <v>1</v>
      </c>
      <c r="AD35" s="163">
        <f t="shared" ca="1" si="17"/>
        <v>1</v>
      </c>
      <c r="AE35" s="142"/>
    </row>
    <row r="36" spans="1:31" s="28" customFormat="1" hidden="1" outlineLevel="1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122"/>
      <c r="V36" s="164"/>
      <c r="W36" s="123"/>
      <c r="X36" s="163">
        <f ca="1">IF(X35=0,"",X35)</f>
        <v>1</v>
      </c>
      <c r="Y36" s="163">
        <f ca="1">SUM($X35:Y35)</f>
        <v>2</v>
      </c>
      <c r="Z36" s="163">
        <f ca="1">SUM($X35:Z35)</f>
        <v>3</v>
      </c>
      <c r="AA36" s="163">
        <f ca="1">SUM($X35:AA35)</f>
        <v>4</v>
      </c>
      <c r="AB36" s="163">
        <f ca="1">SUM($X35:AB35)</f>
        <v>5</v>
      </c>
      <c r="AC36" s="163">
        <f ca="1">SUM($X35:AC35)</f>
        <v>6</v>
      </c>
      <c r="AD36" s="163">
        <f ca="1">SUM($X35:AD35)</f>
        <v>7</v>
      </c>
      <c r="AE36" s="142"/>
    </row>
    <row r="37" spans="1:31" s="28" customFormat="1" ht="45" hidden="1" outlineLevel="1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122"/>
      <c r="V37" s="122"/>
      <c r="W37" s="123"/>
      <c r="X37" s="165" t="str">
        <f ca="1">IF(ISNA(X36),"Vous ne pouvez plus gagner"&amp;CHAR(10)&amp;"autant de rangs",IF(COUNTIF($X34:$AD34,"&gt;&lt;")&gt;=1,HLOOKUP(1,$X33:$AD34,2,FALSE),""))</f>
        <v>6 PRODUIT 5
 &amp; 0 PRODUIT 6</v>
      </c>
      <c r="Y37" s="165" t="str">
        <f ca="1">IF(COUNTIF($X34:$AD34,"&gt;&lt;")&gt;=2,HLOOKUP(2,$X33:$AD34,2,FALSE),"")</f>
        <v>5 PRODUIT 5
 &amp; 1 PRODUIT 6</v>
      </c>
      <c r="Z37" s="165" t="str">
        <f ca="1">IF(COUNTIF($X34:$AD34,"&gt;&lt;")&gt;=3,HLOOKUP(3,$X33:$AD34,2,FALSE),"")</f>
        <v>4 PRODUIT 5
 &amp; 1 PRODUIT 6</v>
      </c>
      <c r="AA37" s="165" t="str">
        <f ca="1">IF(COUNTIF($X34:$AD34,"&gt;&lt;")&gt;=4,HLOOKUP(4,$X33:$AD34,2,FALSE),"")</f>
        <v>3 PRODUIT 5
 &amp; 2 PRODUIT 6</v>
      </c>
      <c r="AB37" s="165" t="str">
        <f ca="1">IF(COUNTIF($X34:$AD34,"&gt;&lt;")&gt;=5,HLOOKUP(5,$X33:$AD34,2,FALSE),"")</f>
        <v>2 PRODUIT 5
 &amp; 2 PRODUIT 6</v>
      </c>
      <c r="AC37" s="165" t="str">
        <f ca="1">IF(COUNTIF($X34:$AD34,"&gt;&lt;")&gt;=6,HLOOKUP(6,$X33:$AD34,2,FALSE),"")</f>
        <v>1 PRODUIT 5
 &amp; 2 PRODUIT 6</v>
      </c>
      <c r="AD37" s="165" t="str">
        <f ca="1">IF(COUNTIF($X34:$AD34,"&gt;&lt;")&gt;=7,HLOOKUP(7,$X33:$AD34,2,FALSE),"")</f>
        <v>0 PRODUIT 5
 &amp; 3 PRODUIT 6</v>
      </c>
      <c r="AE37" s="142"/>
    </row>
    <row r="38" spans="1:31" collapsed="1" x14ac:dyDescent="0.25">
      <c r="A38" s="103"/>
      <c r="B38" s="104"/>
      <c r="C38" s="104"/>
      <c r="D38" s="104"/>
      <c r="E38" s="104"/>
      <c r="F38" s="104"/>
      <c r="G38" s="104"/>
      <c r="H38" s="104"/>
      <c r="I38" s="104"/>
      <c r="J38" s="112"/>
      <c r="K38" s="140"/>
      <c r="L38" s="140"/>
      <c r="M38" s="140"/>
      <c r="N38" s="140"/>
      <c r="O38" s="104"/>
      <c r="P38" s="104"/>
      <c r="Q38" s="104"/>
      <c r="R38" s="104"/>
      <c r="S38" s="104"/>
      <c r="T38" s="104"/>
      <c r="U38" s="122"/>
      <c r="V38" s="122"/>
      <c r="W38" s="123"/>
      <c r="X38" s="141"/>
      <c r="Y38" s="141"/>
      <c r="Z38" s="141"/>
      <c r="AA38" s="141"/>
      <c r="AB38" s="141"/>
      <c r="AC38" s="141"/>
      <c r="AD38" s="141"/>
      <c r="AE38" s="142"/>
    </row>
    <row r="39" spans="1:31" ht="15" customHeight="1" x14ac:dyDescent="0.25">
      <c r="A39" s="103"/>
      <c r="B39" s="144" t="s">
        <v>40</v>
      </c>
      <c r="C39" s="129"/>
      <c r="D39" s="145">
        <f>VLOOKUP($B7,'[1]Fil Rouge 4'!$A$1:$BI$65536,3,FALSE)</f>
        <v>2859</v>
      </c>
      <c r="E39" s="145">
        <f>D39*$F$3</f>
        <v>1257.96</v>
      </c>
      <c r="F39" s="145">
        <f>ROUNDUP(D39*$F$2,0)</f>
        <v>830</v>
      </c>
      <c r="G39" s="146">
        <f>ROUND(VLOOKUP($B7,'[1]Fil Rouge 4'!$A$1:$BI$65536,6,FALSE),0)</f>
        <v>277</v>
      </c>
      <c r="H39" s="147">
        <f>ROUND(VLOOKUP($B7,'[1]Fil Rouge 4'!$A$1:$BI$65536,5,FALSE),0)</f>
        <v>31</v>
      </c>
      <c r="I39" s="133"/>
      <c r="J39" s="148">
        <f>ROUND(VLOOKUP($B7,'[1]Fil Rouge 4'!$A$1:$BI$65536,7,FALSE),3)</f>
        <v>9.7000000000000003E-2</v>
      </c>
      <c r="K39" s="140">
        <f>IF(F39-G39&lt;0,0,F39-G39)</f>
        <v>553</v>
      </c>
      <c r="L39" s="140">
        <f>ROUND(F39/Paramètres!$H$7,0)</f>
        <v>64</v>
      </c>
      <c r="M39" s="140">
        <f ca="1">MAX(ROUND(50%*L39,0),ROUND(K39/Paramètres!$H$8,0))</f>
        <v>92</v>
      </c>
      <c r="N39" s="149">
        <f>IF((G39-D39*$F$4)&lt;0,ROUNDUP(G39-D39*$F$4,0),IF((G39-D39*$F$4)&gt;0,ROUNDDOWN(G39-D39*$F$4,0),(G39-D39*$F$4)))</f>
        <v>-87</v>
      </c>
      <c r="O39" s="129"/>
      <c r="P39" s="199">
        <f>ROUND(VLOOKUP($B7,'[1]Fil Rouge 4'!$A$1:$BI$65536,17,FALSE),4)</f>
        <v>0.15079999999999999</v>
      </c>
      <c r="Q39" s="200" t="str">
        <f>"1 VR (nb) = "&amp;ROUND(F39/(F40),0)&amp;"ke de "&amp;B39</f>
        <v>1 VR (nb) = 32ke de PRODUIT 7</v>
      </c>
      <c r="R39" s="176"/>
      <c r="S39" s="210" t="str">
        <f>VLOOKUP($B$7,'Synthèse Magasins'!$B$61:$U$84:'Synthèse Magasins'!$B$40:$U$59:'Synthèse Magasins'!$B$7:$U$38,10,FALSE)&amp;CHAR(10)&amp;LEFT(T7,6)</f>
        <v>8
sur 24</v>
      </c>
      <c r="T39" s="206" t="s">
        <v>50</v>
      </c>
      <c r="U39" s="204">
        <f ca="1">IF(VLOOKUP($B$7,Paramètres!$A$2:$D$183,2,FALSE)="A",OFFSET('Synthèse Magasins'!$J$60,MATCH(VLOOKUP($B$7,'Synthèse Magasins'!$B$61:$U$84,10,FALSE)-VLOOKUP($T$10,Paramètres!$J$2:$K$21,2,FALSE),'Synthèse Magasins'!$K$61:$K$84,0),0),IF(VLOOKUP($B$7,Paramètres!$A$2:$D$183,2,FALSE)="B",OFFSET('Synthèse Magasins'!$J$39,MATCH(VLOOKUP($B$7,'Synthèse Magasins'!$B$40:$U$59,10,FALSE)-VLOOKUP($T$10,Paramètres!$J$2:$K$21,2,FALSE),'Synthèse Magasins'!$K$40:$K$59,0),0),IF(VLOOKUP($B$7,Paramètres!$A$2:$D$183,2,FALSE)="C",OFFSET('Synthèse Magasins'!$J$6,MATCH(VLOOKUP($B$7,'Synthèse Magasins'!$B$7:$U$38,10,FALSE)-VLOOKUP($T$10,Paramètres!$J$2:$K$21,2,FALSE),'Synthèse Magasins'!$K$7:$K$38,0),0),"erreur")))</f>
        <v>0.17122077028885832</v>
      </c>
      <c r="V39" s="203">
        <f ca="1">U39-P39</f>
        <v>2.0420770288858331E-2</v>
      </c>
      <c r="W39" s="175">
        <v>0.5</v>
      </c>
      <c r="X39" s="141">
        <f t="shared" ref="X39:AD39" ca="1" si="18">ROUNDUP(MIN($V39/$W39*$D39*X$11,IF($E39-$G39&lt;0,0,$E39-$G39)),0)</f>
        <v>117</v>
      </c>
      <c r="Y39" s="141">
        <f t="shared" ca="1" si="18"/>
        <v>98</v>
      </c>
      <c r="Z39" s="141">
        <f t="shared" ca="1" si="18"/>
        <v>78</v>
      </c>
      <c r="AA39" s="141">
        <f t="shared" ca="1" si="18"/>
        <v>59</v>
      </c>
      <c r="AB39" s="141">
        <f t="shared" ca="1" si="18"/>
        <v>39</v>
      </c>
      <c r="AC39" s="141">
        <f t="shared" ca="1" si="18"/>
        <v>20</v>
      </c>
      <c r="AD39" s="141">
        <f t="shared" ca="1" si="18"/>
        <v>0</v>
      </c>
      <c r="AE39" s="142"/>
    </row>
    <row r="40" spans="1:31" ht="15" customHeight="1" x14ac:dyDescent="0.25">
      <c r="A40" s="103"/>
      <c r="B40" s="144" t="s">
        <v>42</v>
      </c>
      <c r="C40" s="129"/>
      <c r="D40" s="145">
        <f>VLOOKUP($B7,'[1]Fil Rouge 4'!$A$1:$BI$65536,10,FALSE)</f>
        <v>88</v>
      </c>
      <c r="E40" s="145">
        <f>D40*$F$3</f>
        <v>38.72</v>
      </c>
      <c r="F40" s="145">
        <f>ROUNDUP(D40*$F$2,0)</f>
        <v>26</v>
      </c>
      <c r="G40" s="146">
        <f>ROUND(VLOOKUP($B7,'[1]Fil Rouge 4'!$A$1:$BI$65536,13,FALSE),0)</f>
        <v>18</v>
      </c>
      <c r="H40" s="147">
        <f>ROUND(VLOOKUP($B7,'[1]Fil Rouge 4'!$A$1:$BI$65536,12,FALSE),0)</f>
        <v>1</v>
      </c>
      <c r="I40" s="133"/>
      <c r="J40" s="148">
        <f>ROUND(VLOOKUP($B7,'[1]Fil Rouge 4'!$A$1:$BI$65536,14,FALSE),3)</f>
        <v>0.20499999999999999</v>
      </c>
      <c r="K40" s="140">
        <f>IF(F40-G40&lt;0,0,F40-G40)</f>
        <v>8</v>
      </c>
      <c r="L40" s="140">
        <f>ROUND(F40/Paramètres!$H$7,0)</f>
        <v>2</v>
      </c>
      <c r="M40" s="140">
        <f ca="1">MAX(ROUND(50%*L40,0),ROUND(K40/Paramètres!$H$8,0))</f>
        <v>1</v>
      </c>
      <c r="N40" s="149">
        <f>IF((G40-D40*$F$4)&lt;0,ROUNDUP(G40-D40*$F$4,0),IF((G40-D40*$F$4)&gt;0,ROUNDDOWN(G40-D40*$F$4,0),(G40-D40*$F$4)))</f>
        <v>6</v>
      </c>
      <c r="O40" s="129"/>
      <c r="P40" s="199"/>
      <c r="Q40" s="200"/>
      <c r="R40" s="176"/>
      <c r="S40" s="210"/>
      <c r="T40" s="206"/>
      <c r="U40" s="204"/>
      <c r="V40" s="203"/>
      <c r="W40" s="175">
        <v>0.5</v>
      </c>
      <c r="X40" s="141">
        <f t="shared" ref="X40:AD40" ca="1" si="19">ROUNDUP(IF(($V39/$W39*$D39-X39)&lt;0,0,MIN($E40-$G40,($V39/$W39*$D39-X39)/$D39*$D40)),0)</f>
        <v>0</v>
      </c>
      <c r="Y40" s="141">
        <f t="shared" ca="1" si="19"/>
        <v>1</v>
      </c>
      <c r="Z40" s="141">
        <f t="shared" ca="1" si="19"/>
        <v>2</v>
      </c>
      <c r="AA40" s="141">
        <f t="shared" ca="1" si="19"/>
        <v>2</v>
      </c>
      <c r="AB40" s="141">
        <f t="shared" ca="1" si="19"/>
        <v>3</v>
      </c>
      <c r="AC40" s="141">
        <f t="shared" ca="1" si="19"/>
        <v>3</v>
      </c>
      <c r="AD40" s="141">
        <f t="shared" ca="1" si="19"/>
        <v>4</v>
      </c>
      <c r="AE40" s="142"/>
    </row>
    <row r="41" spans="1:31" ht="67.5" hidden="1" outlineLevel="1" x14ac:dyDescent="0.25">
      <c r="A41" s="103"/>
      <c r="B41" s="103"/>
      <c r="C41" s="104"/>
      <c r="D41" s="103"/>
      <c r="E41" s="103"/>
      <c r="F41" s="103"/>
      <c r="G41" s="103"/>
      <c r="H41" s="104"/>
      <c r="I41" s="104"/>
      <c r="J41" s="27"/>
      <c r="K41" s="139"/>
      <c r="L41" s="140"/>
      <c r="M41" s="140"/>
      <c r="N41" s="140"/>
      <c r="O41" s="104"/>
      <c r="P41" s="104"/>
      <c r="Q41" s="104"/>
      <c r="R41" s="104"/>
      <c r="S41" s="104"/>
      <c r="T41" s="104"/>
      <c r="U41" s="122"/>
      <c r="V41" s="122"/>
      <c r="W41" s="123"/>
      <c r="X41" s="159" t="str">
        <f t="shared" ref="X41:AD41" ca="1" si="20">IF((X39/$D39+X40/$D40)/2&gt;$V39,X39&amp;" "&amp;$B39&amp;CHAR(10)&amp;" &amp; "&amp;X40&amp;" "&amp;$B40,"")</f>
        <v>117 PRODUIT 7
 &amp; 0 PRODUIT 8</v>
      </c>
      <c r="Y41" s="159" t="str">
        <f t="shared" ca="1" si="20"/>
        <v>98 PRODUIT 7
 &amp; 1 PRODUIT 8</v>
      </c>
      <c r="Z41" s="159" t="str">
        <f t="shared" ca="1" si="20"/>
        <v>78 PRODUIT 7
 &amp; 2 PRODUIT 8</v>
      </c>
      <c r="AA41" s="159" t="str">
        <f t="shared" ca="1" si="20"/>
        <v>59 PRODUIT 7
 &amp; 2 PRODUIT 8</v>
      </c>
      <c r="AB41" s="159" t="str">
        <f t="shared" ca="1" si="20"/>
        <v>39 PRODUIT 7
 &amp; 3 PRODUIT 8</v>
      </c>
      <c r="AC41" s="159" t="str">
        <f t="shared" ca="1" si="20"/>
        <v>20 PRODUIT 7
 &amp; 3 PRODUIT 8</v>
      </c>
      <c r="AD41" s="159" t="str">
        <f t="shared" ca="1" si="20"/>
        <v>0 PRODUIT 7
 &amp; 4 PRODUIT 8</v>
      </c>
      <c r="AE41" s="142"/>
    </row>
    <row r="42" spans="1:31" s="28" customFormat="1" ht="22.5" hidden="1" customHeight="1" outlineLevel="1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122"/>
      <c r="V42" s="122"/>
      <c r="W42" s="123"/>
      <c r="X42" s="160">
        <f t="shared" ref="X42:AD42" ca="1" si="21">IF(X45=W45,"",X45)</f>
        <v>1</v>
      </c>
      <c r="Y42" s="160">
        <f t="shared" ca="1" si="21"/>
        <v>2</v>
      </c>
      <c r="Z42" s="160">
        <f t="shared" ca="1" si="21"/>
        <v>3</v>
      </c>
      <c r="AA42" s="160">
        <f t="shared" ca="1" si="21"/>
        <v>4</v>
      </c>
      <c r="AB42" s="160">
        <f t="shared" ca="1" si="21"/>
        <v>5</v>
      </c>
      <c r="AC42" s="160">
        <f t="shared" ca="1" si="21"/>
        <v>6</v>
      </c>
      <c r="AD42" s="160">
        <f t="shared" ca="1" si="21"/>
        <v>7</v>
      </c>
      <c r="AE42" s="142"/>
    </row>
    <row r="43" spans="1:31" s="28" customFormat="1" ht="22.5" hidden="1" customHeight="1" outlineLevel="1" x14ac:dyDescent="0.2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122"/>
      <c r="V43" s="122"/>
      <c r="W43" s="123"/>
      <c r="X43" s="161" t="str">
        <f t="shared" ref="X43:AD43" ca="1" si="22">IF(X41&lt;&gt;Y41,X41,"")</f>
        <v>117 PRODUIT 7
 &amp; 0 PRODUIT 8</v>
      </c>
      <c r="Y43" s="161" t="str">
        <f t="shared" ca="1" si="22"/>
        <v>98 PRODUIT 7
 &amp; 1 PRODUIT 8</v>
      </c>
      <c r="Z43" s="161" t="str">
        <f t="shared" ca="1" si="22"/>
        <v>78 PRODUIT 7
 &amp; 2 PRODUIT 8</v>
      </c>
      <c r="AA43" s="161" t="str">
        <f t="shared" ca="1" si="22"/>
        <v>59 PRODUIT 7
 &amp; 2 PRODUIT 8</v>
      </c>
      <c r="AB43" s="161" t="str">
        <f t="shared" ca="1" si="22"/>
        <v>39 PRODUIT 7
 &amp; 3 PRODUIT 8</v>
      </c>
      <c r="AC43" s="161" t="str">
        <f t="shared" ca="1" si="22"/>
        <v>20 PRODUIT 7
 &amp; 3 PRODUIT 8</v>
      </c>
      <c r="AD43" s="161" t="str">
        <f t="shared" ca="1" si="22"/>
        <v>0 PRODUIT 7
 &amp; 4 PRODUIT 8</v>
      </c>
      <c r="AE43" s="142"/>
    </row>
    <row r="44" spans="1:31" s="28" customFormat="1" ht="22.5" hidden="1" customHeight="1" outlineLevel="1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122"/>
      <c r="V44" s="122"/>
      <c r="W44" s="123"/>
      <c r="X44" s="163">
        <f t="shared" ref="X44:AD44" ca="1" si="23">IF(X43&lt;&gt;"",1,"")</f>
        <v>1</v>
      </c>
      <c r="Y44" s="163">
        <f t="shared" ca="1" si="23"/>
        <v>1</v>
      </c>
      <c r="Z44" s="163">
        <f t="shared" ca="1" si="23"/>
        <v>1</v>
      </c>
      <c r="AA44" s="163">
        <f t="shared" ca="1" si="23"/>
        <v>1</v>
      </c>
      <c r="AB44" s="163">
        <f t="shared" ca="1" si="23"/>
        <v>1</v>
      </c>
      <c r="AC44" s="163">
        <f t="shared" ca="1" si="23"/>
        <v>1</v>
      </c>
      <c r="AD44" s="163">
        <f t="shared" ca="1" si="23"/>
        <v>1</v>
      </c>
      <c r="AE44" s="142"/>
    </row>
    <row r="45" spans="1:31" s="28" customFormat="1" ht="22.5" hidden="1" customHeight="1" outlineLevel="1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122"/>
      <c r="V45" s="164"/>
      <c r="W45" s="123"/>
      <c r="X45" s="163">
        <f ca="1">IF(X44=0,"",X44)</f>
        <v>1</v>
      </c>
      <c r="Y45" s="163">
        <f ca="1">SUM($X44:Y44)</f>
        <v>2</v>
      </c>
      <c r="Z45" s="163">
        <f ca="1">SUM($X44:Z44)</f>
        <v>3</v>
      </c>
      <c r="AA45" s="163">
        <f ca="1">SUM($X44:AA44)</f>
        <v>4</v>
      </c>
      <c r="AB45" s="163">
        <f ca="1">SUM($X44:AB44)</f>
        <v>5</v>
      </c>
      <c r="AC45" s="163">
        <f ca="1">SUM($X44:AC44)</f>
        <v>6</v>
      </c>
      <c r="AD45" s="163">
        <f ca="1">SUM($X44:AD44)</f>
        <v>7</v>
      </c>
      <c r="AE45" s="142"/>
    </row>
    <row r="46" spans="1:31" s="28" customFormat="1" ht="67.5" hidden="1" outlineLevel="1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122"/>
      <c r="V46" s="122"/>
      <c r="W46" s="123"/>
      <c r="X46" s="165" t="str">
        <f ca="1">IF(ISNA(X45),"Vous ne pouvez plus gagner"&amp;CHAR(10)&amp;"autant de rangs",IF(COUNTIF($X43:$AD43,"&gt;&lt;")&gt;=1,HLOOKUP(1,$X42:$AD43,2,FALSE),""))</f>
        <v>117 PRODUIT 7
 &amp; 0 PRODUIT 8</v>
      </c>
      <c r="Y46" s="165" t="str">
        <f ca="1">IF(COUNTIF($X43:$AD43,"&gt;&lt;")&gt;=2,HLOOKUP(2,$X42:$AD43,2,FALSE),"")</f>
        <v>98 PRODUIT 7
 &amp; 1 PRODUIT 8</v>
      </c>
      <c r="Z46" s="165" t="str">
        <f ca="1">IF(COUNTIF($X43:$AD43,"&gt;&lt;")&gt;=3,HLOOKUP(3,$X42:$AD43,2,FALSE),"")</f>
        <v>78 PRODUIT 7
 &amp; 2 PRODUIT 8</v>
      </c>
      <c r="AA46" s="165" t="str">
        <f ca="1">IF(COUNTIF($X43:$AD43,"&gt;&lt;")&gt;=4,HLOOKUP(4,$X42:$AD43,2,FALSE),"")</f>
        <v>59 PRODUIT 7
 &amp; 2 PRODUIT 8</v>
      </c>
      <c r="AB46" s="165" t="str">
        <f ca="1">IF(COUNTIF($X43:$AD43,"&gt;&lt;")&gt;=5,HLOOKUP(5,$X42:$AD43,2,FALSE),"")</f>
        <v>39 PRODUIT 7
 &amp; 3 PRODUIT 8</v>
      </c>
      <c r="AC46" s="165" t="str">
        <f ca="1">IF(COUNTIF($X43:$AD43,"&gt;&lt;")&gt;=6,HLOOKUP(6,$X42:$AD43,2,FALSE),"")</f>
        <v>20 PRODUIT 7
 &amp; 3 PRODUIT 8</v>
      </c>
      <c r="AD46" s="165" t="str">
        <f ca="1">IF(COUNTIF($X43:$AD43,"&gt;&lt;")&gt;=7,HLOOKUP(7,$X42:$AD43,2,FALSE),"")</f>
        <v>0 PRODUIT 7
 &amp; 4 PRODUIT 8</v>
      </c>
      <c r="AE46" s="142"/>
    </row>
    <row r="47" spans="1:31" collapsed="1" x14ac:dyDescent="0.25">
      <c r="A47" s="103"/>
      <c r="B47" s="103"/>
      <c r="C47" s="104"/>
      <c r="D47" s="103"/>
      <c r="E47" s="103"/>
      <c r="F47" s="103"/>
      <c r="G47" s="103"/>
      <c r="H47" s="104"/>
      <c r="I47" s="104"/>
      <c r="J47" s="27"/>
      <c r="K47" s="139"/>
      <c r="L47" s="140"/>
      <c r="M47" s="140"/>
      <c r="N47" s="140"/>
      <c r="O47" s="104"/>
      <c r="P47" s="104"/>
      <c r="Q47" s="104"/>
      <c r="R47" s="104"/>
      <c r="S47" s="104"/>
      <c r="T47" s="104"/>
      <c r="U47" s="122"/>
      <c r="V47" s="122"/>
      <c r="W47" s="123"/>
      <c r="X47" s="141"/>
      <c r="Y47" s="141"/>
      <c r="Z47" s="141"/>
      <c r="AA47" s="142"/>
      <c r="AB47" s="142"/>
      <c r="AC47" s="142"/>
      <c r="AD47" s="142"/>
      <c r="AE47" s="142"/>
    </row>
    <row r="48" spans="1:31" hidden="1" outlineLevel="1" x14ac:dyDescent="0.25">
      <c r="A48" s="103"/>
      <c r="B48" s="103"/>
      <c r="C48" s="104"/>
      <c r="D48" s="103"/>
      <c r="E48" s="103"/>
      <c r="F48" s="103"/>
      <c r="G48" s="103"/>
      <c r="H48" s="104"/>
      <c r="I48" s="104"/>
      <c r="J48" s="27"/>
      <c r="K48" s="139"/>
      <c r="L48" s="140"/>
      <c r="M48" s="140"/>
      <c r="N48" s="140"/>
      <c r="O48" s="104"/>
      <c r="P48" s="104"/>
      <c r="Q48" s="104"/>
      <c r="R48" s="104"/>
      <c r="S48" s="104"/>
      <c r="T48" s="104"/>
      <c r="U48" s="122"/>
      <c r="V48" s="122"/>
      <c r="W48" s="123"/>
      <c r="X48" s="143">
        <v>1</v>
      </c>
      <c r="Y48" s="143">
        <v>0</v>
      </c>
      <c r="Z48" s="143">
        <v>0</v>
      </c>
      <c r="AA48" s="143">
        <f>1/3</f>
        <v>0.33333333333333331</v>
      </c>
      <c r="AB48" s="143">
        <f>2/3</f>
        <v>0.66666666666666663</v>
      </c>
      <c r="AC48" s="143">
        <v>0</v>
      </c>
      <c r="AD48" s="143">
        <f>1/3</f>
        <v>0.33333333333333331</v>
      </c>
      <c r="AE48" s="142"/>
    </row>
    <row r="49" spans="1:31" hidden="1" outlineLevel="1" x14ac:dyDescent="0.25">
      <c r="A49" s="103"/>
      <c r="B49" s="103"/>
      <c r="C49" s="104"/>
      <c r="D49" s="103"/>
      <c r="E49" s="103"/>
      <c r="F49" s="103"/>
      <c r="G49" s="103"/>
      <c r="H49" s="104"/>
      <c r="I49" s="104"/>
      <c r="J49" s="27"/>
      <c r="K49" s="139"/>
      <c r="L49" s="140"/>
      <c r="M49" s="140"/>
      <c r="N49" s="140"/>
      <c r="O49" s="104"/>
      <c r="P49" s="104"/>
      <c r="Q49" s="104"/>
      <c r="R49" s="104"/>
      <c r="S49" s="104"/>
      <c r="T49" s="104"/>
      <c r="U49" s="122"/>
      <c r="V49" s="122"/>
      <c r="W49" s="123"/>
      <c r="X49" s="143">
        <v>0</v>
      </c>
      <c r="Y49" s="143">
        <v>1</v>
      </c>
      <c r="Z49" s="143">
        <v>0</v>
      </c>
      <c r="AA49" s="143">
        <f>1/3</f>
        <v>0.33333333333333331</v>
      </c>
      <c r="AB49" s="143">
        <f>1/3</f>
        <v>0.33333333333333331</v>
      </c>
      <c r="AC49" s="143">
        <v>0.67</v>
      </c>
      <c r="AD49" s="143">
        <v>0</v>
      </c>
      <c r="AE49" s="142"/>
    </row>
    <row r="50" spans="1:31" hidden="1" outlineLevel="1" x14ac:dyDescent="0.25">
      <c r="A50" s="103"/>
      <c r="B50" s="103"/>
      <c r="C50" s="104"/>
      <c r="D50" s="103"/>
      <c r="E50" s="103"/>
      <c r="F50" s="103"/>
      <c r="G50" s="103"/>
      <c r="H50" s="104"/>
      <c r="I50" s="104"/>
      <c r="J50" s="27"/>
      <c r="K50" s="139"/>
      <c r="L50" s="140"/>
      <c r="M50" s="140"/>
      <c r="N50" s="140"/>
      <c r="O50" s="104"/>
      <c r="P50" s="104"/>
      <c r="Q50" s="104"/>
      <c r="R50" s="104"/>
      <c r="S50" s="104"/>
      <c r="T50" s="104"/>
      <c r="U50" s="122"/>
      <c r="V50" s="122"/>
      <c r="W50" s="123"/>
      <c r="X50" s="143">
        <v>0</v>
      </c>
      <c r="Y50" s="143">
        <v>0</v>
      </c>
      <c r="Z50" s="143">
        <v>1</v>
      </c>
      <c r="AA50" s="143">
        <f>1/3</f>
        <v>0.33333333333333331</v>
      </c>
      <c r="AB50" s="143">
        <v>0</v>
      </c>
      <c r="AC50" s="143">
        <f>1/3</f>
        <v>0.33333333333333331</v>
      </c>
      <c r="AD50" s="143">
        <f>2/3</f>
        <v>0.66666666666666663</v>
      </c>
      <c r="AE50" s="142"/>
    </row>
    <row r="51" spans="1:31" ht="15" customHeight="1" collapsed="1" x14ac:dyDescent="0.25">
      <c r="A51" s="103"/>
      <c r="B51" s="144" t="s">
        <v>43</v>
      </c>
      <c r="C51" s="129"/>
      <c r="D51" s="145">
        <f>VLOOKUP($B8,'[1]Fil Rouge 5'!$A$1:$BI$65536,3,FALSE)</f>
        <v>155</v>
      </c>
      <c r="E51" s="145">
        <f>ROUNDUP(D51*$F$2,0)</f>
        <v>45</v>
      </c>
      <c r="F51" s="145">
        <f>D51*$F$3</f>
        <v>68.2</v>
      </c>
      <c r="G51" s="146">
        <f>ROUND(VLOOKUP($B8,'[1]Fil Rouge 5'!$A$1:$BI$65536,6,FALSE),0)</f>
        <v>19</v>
      </c>
      <c r="H51" s="147">
        <f>ROUND(VLOOKUP($B8,'[1]Fil Rouge 5'!$A$1:$BI$65536,5,FALSE),0)</f>
        <v>3</v>
      </c>
      <c r="I51" s="133"/>
      <c r="J51" s="148">
        <f>ROUND(VLOOKUP($B8,'[1]Fil Rouge 5'!$A$1:$BI$65536,7,FALSE),3)</f>
        <v>0.123</v>
      </c>
      <c r="K51" s="140">
        <f>IF(E51-G51&lt;0,0,E51-G51)</f>
        <v>26</v>
      </c>
      <c r="L51" s="140">
        <f>ROUND(E51/Paramètres!$H$7,0)</f>
        <v>3</v>
      </c>
      <c r="M51" s="140">
        <f ca="1">MAX(ROUND(50%*L51,0),ROUND(K51/Paramètres!$H$8,0))</f>
        <v>4</v>
      </c>
      <c r="N51" s="149">
        <f>IF((G51-D51*$F$4)&lt;0,ROUNDUP(G51-D51*$F$4,0),IF((G51-D51*$F$4)&gt;0,ROUNDDOWN(G51-D51*$F$4,0),(G51-D51*$F$4)))</f>
        <v>-1</v>
      </c>
      <c r="O51" s="129"/>
      <c r="P51" s="196">
        <f>ROUND(VLOOKUP($B8,'[1]Fil Rouge 5'!$A$1:$BI$65536,24,FALSE),4)</f>
        <v>0.1363</v>
      </c>
      <c r="Q51" s="200" t="str">
        <f>"1 "&amp;LEFT(B53,14)&amp;CHAR(10)&amp;"= "&amp;ROUND(E52/E53,0)&amp;" "&amp;B52&amp;CHAR(10)&amp;"= "&amp;ROUND(E51/E53,0)&amp;" "&amp;B51</f>
        <v>1 PRODUIT 11
= 6 PRODUIT 10
= 3 PRODUIT 9</v>
      </c>
      <c r="R51" s="138"/>
      <c r="S51" s="211" t="str">
        <f>VLOOKUP($B$7,'Synthèse Magasins'!$B$61:$U$84:'Synthèse Magasins'!$B$40:$U$59:'Synthèse Magasins'!$B$7:$U$38,12,FALSE)&amp;CHAR(10)&amp;LEFT(T7,6)</f>
        <v>15
sur 24</v>
      </c>
      <c r="T51" s="207" t="s">
        <v>51</v>
      </c>
      <c r="U51" s="204">
        <f ca="1">IF(VLOOKUP($B$7,Paramètres!$A$2:$D$183,2,FALSE)="A",OFFSET('Synthèse Magasins'!$L$60,MATCH(VLOOKUP($B$7,'Synthèse Magasins'!$B$61:$U$84,12,FALSE)-VLOOKUP($T$10,Paramètres!$J$2:$K$21,2,FALSE),'Synthèse Magasins'!$M$61:$M$84,0),0),IF(VLOOKUP($B$7,Paramètres!$A$2:$D$183,2,FALSE)="B",OFFSET('Synthèse Magasins'!$L$39,MATCH(VLOOKUP($B$7,'Synthèse Magasins'!$B$40:$U$59,12,FALSE)-VLOOKUP($T$10,Paramètres!$J$2:$K$21,2,FALSE),'Synthèse Magasins'!$M$40:$M$59,0),0),IF(VLOOKUP($B$7,Paramètres!$A$2:$D$183,2,FALSE)="C",OFFSET('Synthèse Magasins'!$L$6,MATCH(VLOOKUP($B$7,'Synthèse Magasins'!$B$7:$U$38,12,FALSE)-VLOOKUP($T$10,Paramètres!$J$2:$K$21,2,FALSE),'Synthèse Magasins'!$M$7:$M$38,0),0),"erreur")))</f>
        <v>0.1367224311386748</v>
      </c>
      <c r="V51" s="203">
        <f ca="1">U51-P51</f>
        <v>4.2243113867479476E-4</v>
      </c>
      <c r="W51" s="122">
        <f>1/3</f>
        <v>0.33333333333333331</v>
      </c>
      <c r="X51" s="141">
        <f t="shared" ref="X51:AD53" ca="1" si="24">ROUNDUP($V$51/$W51*X48*$D51,0)</f>
        <v>1</v>
      </c>
      <c r="Y51" s="141">
        <f t="shared" ca="1" si="24"/>
        <v>0</v>
      </c>
      <c r="Z51" s="141">
        <f t="shared" ca="1" si="24"/>
        <v>0</v>
      </c>
      <c r="AA51" s="141">
        <f t="shared" ca="1" si="24"/>
        <v>1</v>
      </c>
      <c r="AB51" s="141">
        <f t="shared" ca="1" si="24"/>
        <v>1</v>
      </c>
      <c r="AC51" s="141">
        <f t="shared" ca="1" si="24"/>
        <v>0</v>
      </c>
      <c r="AD51" s="141">
        <f t="shared" ca="1" si="24"/>
        <v>1</v>
      </c>
      <c r="AE51" s="142"/>
    </row>
    <row r="52" spans="1:31" x14ac:dyDescent="0.25">
      <c r="A52" s="103"/>
      <c r="B52" s="144" t="s">
        <v>44</v>
      </c>
      <c r="C52" s="129"/>
      <c r="D52" s="145">
        <f>VLOOKUP($B8,'[1]Fil Rouge 5'!$A$1:$BI$65536,10,FALSE)</f>
        <v>258</v>
      </c>
      <c r="E52" s="145">
        <f>ROUNDUP(D52*$F$2,0)</f>
        <v>75</v>
      </c>
      <c r="F52" s="145">
        <f>D52*$F$3</f>
        <v>113.52</v>
      </c>
      <c r="G52" s="146">
        <f>ROUND(VLOOKUP($B8,'[1]Fil Rouge 5'!$A$1:$BI$65536,13,FALSE),0)</f>
        <v>27</v>
      </c>
      <c r="H52" s="147">
        <f>ROUND(VLOOKUP($B8,'[1]Fil Rouge 5'!$A$1:$BI$65536,12,FALSE),0)</f>
        <v>0</v>
      </c>
      <c r="I52" s="133"/>
      <c r="J52" s="150">
        <f>ROUND(VLOOKUP($B8,'[1]Fil Rouge 5'!$A$1:$BI$65536,14,FALSE),3)</f>
        <v>0.105</v>
      </c>
      <c r="K52" s="140">
        <f>IF(E52-G52&lt;0,0,E52-G52)</f>
        <v>48</v>
      </c>
      <c r="L52" s="140">
        <f>ROUND(E52/Paramètres!$H$7,0)</f>
        <v>6</v>
      </c>
      <c r="M52" s="140">
        <f ca="1">MAX(ROUND(50%*L52,0),ROUND(K52/Paramètres!$H$8,0))</f>
        <v>8</v>
      </c>
      <c r="N52" s="149">
        <f>IF((G52-D52*$F$4)&lt;0,ROUNDUP(G52-D52*$F$4,0),IF((G52-D52*$F$4)&gt;0,ROUNDDOWN(G52-D52*$F$4,0),(G52-D52*$F$4)))</f>
        <v>-6</v>
      </c>
      <c r="O52" s="129"/>
      <c r="P52" s="196"/>
      <c r="Q52" s="200"/>
      <c r="R52" s="138"/>
      <c r="S52" s="211"/>
      <c r="T52" s="207"/>
      <c r="U52" s="204"/>
      <c r="V52" s="203"/>
      <c r="W52" s="122">
        <f>1/3</f>
        <v>0.33333333333333331</v>
      </c>
      <c r="X52" s="141">
        <f t="shared" ca="1" si="24"/>
        <v>0</v>
      </c>
      <c r="Y52" s="141">
        <f t="shared" ca="1" si="24"/>
        <v>1</v>
      </c>
      <c r="Z52" s="141">
        <f t="shared" ca="1" si="24"/>
        <v>0</v>
      </c>
      <c r="AA52" s="141">
        <f t="shared" ca="1" si="24"/>
        <v>1</v>
      </c>
      <c r="AB52" s="141">
        <f t="shared" ca="1" si="24"/>
        <v>1</v>
      </c>
      <c r="AC52" s="141">
        <f t="shared" ca="1" si="24"/>
        <v>1</v>
      </c>
      <c r="AD52" s="141">
        <f t="shared" ca="1" si="24"/>
        <v>0</v>
      </c>
      <c r="AE52" s="142"/>
    </row>
    <row r="53" spans="1:31" ht="15.75" thickBot="1" x14ac:dyDescent="0.3">
      <c r="A53" s="103"/>
      <c r="B53" s="151" t="s">
        <v>45</v>
      </c>
      <c r="C53" s="129"/>
      <c r="D53" s="152">
        <f>VLOOKUP($B8,'[1]Fil Rouge 5'!$A$1:$BI$65536,17,FALSE)</f>
        <v>44</v>
      </c>
      <c r="E53" s="153">
        <f>ROUNDUP(D53*$F$2,0)</f>
        <v>13</v>
      </c>
      <c r="F53" s="153">
        <f>D53*$F$3</f>
        <v>19.36</v>
      </c>
      <c r="G53" s="154">
        <f>ROUND(VLOOKUP($B8,'[1]Fil Rouge 5'!$A$1:$BI$65536,20,FALSE),0)</f>
        <v>8</v>
      </c>
      <c r="H53" s="155">
        <f>ROUND(VLOOKUP($B8,'[1]Fil Rouge 5'!$A$1:$BI$65536,19,FALSE),0)</f>
        <v>1</v>
      </c>
      <c r="I53" s="133"/>
      <c r="J53" s="156">
        <f>ROUND(VLOOKUP($B8,'[1]Fil Rouge 5'!$A$1:$BI$65536,21,FALSE),3)</f>
        <v>0.182</v>
      </c>
      <c r="K53" s="157">
        <f>IF(E53-G53&lt;0,0,E53-G53)</f>
        <v>5</v>
      </c>
      <c r="L53" s="157">
        <f>ROUND(E53/Paramètres!$H$7,0)</f>
        <v>1</v>
      </c>
      <c r="M53" s="157">
        <f ca="1">MAX(ROUND(50%*L53,0),ROUND(K53/Paramètres!$H$8,0))</f>
        <v>1</v>
      </c>
      <c r="N53" s="158">
        <f>IF((G53-D53*$F$4)&lt;0,ROUNDUP(G53-D53*$F$4,0),IF((G53-D53*$F$4)&gt;0,ROUNDDOWN(G53-D53*$F$4,0),(G53-D53*$F$4)))</f>
        <v>2</v>
      </c>
      <c r="O53" s="129"/>
      <c r="P53" s="197"/>
      <c r="Q53" s="209"/>
      <c r="R53" s="138"/>
      <c r="S53" s="212"/>
      <c r="T53" s="208"/>
      <c r="U53" s="204"/>
      <c r="V53" s="203"/>
      <c r="W53" s="122">
        <f>1/3</f>
        <v>0.33333333333333331</v>
      </c>
      <c r="X53" s="141">
        <f t="shared" ca="1" si="24"/>
        <v>0</v>
      </c>
      <c r="Y53" s="141">
        <f t="shared" ca="1" si="24"/>
        <v>0</v>
      </c>
      <c r="Z53" s="141">
        <f t="shared" ca="1" si="24"/>
        <v>1</v>
      </c>
      <c r="AA53" s="141">
        <f t="shared" ca="1" si="24"/>
        <v>1</v>
      </c>
      <c r="AB53" s="141">
        <f t="shared" ca="1" si="24"/>
        <v>0</v>
      </c>
      <c r="AC53" s="141">
        <f t="shared" ca="1" si="24"/>
        <v>1</v>
      </c>
      <c r="AD53" s="141">
        <f t="shared" ca="1" si="24"/>
        <v>1</v>
      </c>
      <c r="AE53" s="142"/>
    </row>
    <row r="54" spans="1:31" ht="78.75" hidden="1" outlineLevel="1" x14ac:dyDescent="0.25">
      <c r="A54" s="103"/>
      <c r="B54" s="103"/>
      <c r="C54" s="104"/>
      <c r="D54" s="103"/>
      <c r="E54" s="103"/>
      <c r="F54" s="103"/>
      <c r="G54" s="103"/>
      <c r="H54" s="104"/>
      <c r="I54" s="104"/>
      <c r="J54" s="27"/>
      <c r="K54" s="139"/>
      <c r="L54" s="140"/>
      <c r="M54" s="140"/>
      <c r="N54" s="140"/>
      <c r="O54" s="104"/>
      <c r="P54" s="104"/>
      <c r="Q54" s="104"/>
      <c r="R54" s="104"/>
      <c r="S54" s="104"/>
      <c r="T54" s="104"/>
      <c r="U54" s="122"/>
      <c r="V54" s="122"/>
      <c r="W54" s="123"/>
      <c r="X54" s="159" t="str">
        <f t="shared" ref="X54:AD54" ca="1" si="25">IF((X52/$D52+X53/$D53+X51/$D51)*$W51&gt;$V51,X51&amp;" "&amp;$B51&amp;CHAR(10)&amp;" &amp; "&amp;X52&amp;" "&amp;$B52&amp;CHAR(10)&amp;" &amp; "&amp;X53&amp;" "&amp;LEFT($B53,14),"")</f>
        <v>1 PRODUIT 9
 &amp; 0 PRODUIT 10
 &amp; 0 PRODUIT 11</v>
      </c>
      <c r="Y54" s="159" t="str">
        <f t="shared" ca="1" si="25"/>
        <v>0 PRODUIT 9
 &amp; 1 PRODUIT 10
 &amp; 0 PRODUIT 11</v>
      </c>
      <c r="Z54" s="159" t="str">
        <f t="shared" ca="1" si="25"/>
        <v>0 PRODUIT 9
 &amp; 0 PRODUIT 10
 &amp; 1 PRODUIT 11</v>
      </c>
      <c r="AA54" s="159" t="str">
        <f t="shared" ca="1" si="25"/>
        <v>1 PRODUIT 9
 &amp; 1 PRODUIT 10
 &amp; 1 PRODUIT 11</v>
      </c>
      <c r="AB54" s="159" t="str">
        <f t="shared" ca="1" si="25"/>
        <v>1 PRODUIT 9
 &amp; 1 PRODUIT 10
 &amp; 0 PRODUIT 11</v>
      </c>
      <c r="AC54" s="159" t="str">
        <f t="shared" ca="1" si="25"/>
        <v>0 PRODUIT 9
 &amp; 1 PRODUIT 10
 &amp; 1 PRODUIT 11</v>
      </c>
      <c r="AD54" s="159" t="str">
        <f t="shared" ca="1" si="25"/>
        <v>1 PRODUIT 9
 &amp; 0 PRODUIT 10
 &amp; 1 PRODUIT 11</v>
      </c>
      <c r="AE54" s="142"/>
    </row>
    <row r="55" spans="1:31" s="28" customFormat="1" hidden="1" outlineLevel="1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122"/>
      <c r="V55" s="122"/>
      <c r="W55" s="123"/>
      <c r="X55" s="160">
        <f t="shared" ref="X55:AD55" ca="1" si="26">IF(X58=W58,"",X58)</f>
        <v>1</v>
      </c>
      <c r="Y55" s="160">
        <f t="shared" ca="1" si="26"/>
        <v>2</v>
      </c>
      <c r="Z55" s="160">
        <f t="shared" ca="1" si="26"/>
        <v>3</v>
      </c>
      <c r="AA55" s="160">
        <f t="shared" ca="1" si="26"/>
        <v>4</v>
      </c>
      <c r="AB55" s="160">
        <f t="shared" ca="1" si="26"/>
        <v>5</v>
      </c>
      <c r="AC55" s="160">
        <f t="shared" ca="1" si="26"/>
        <v>6</v>
      </c>
      <c r="AD55" s="160">
        <f t="shared" ca="1" si="26"/>
        <v>7</v>
      </c>
      <c r="AE55" s="142"/>
    </row>
    <row r="56" spans="1:31" s="28" customFormat="1" ht="78.75" hidden="1" outlineLevel="1" x14ac:dyDescent="0.2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122"/>
      <c r="V56" s="122"/>
      <c r="W56" s="123"/>
      <c r="X56" s="161" t="str">
        <f t="shared" ref="X56:AD56" ca="1" si="27">IF(X54&lt;&gt;Y54,X54,"")</f>
        <v>1 PRODUIT 9
 &amp; 0 PRODUIT 10
 &amp; 0 PRODUIT 11</v>
      </c>
      <c r="Y56" s="161" t="str">
        <f t="shared" ca="1" si="27"/>
        <v>0 PRODUIT 9
 &amp; 1 PRODUIT 10
 &amp; 0 PRODUIT 11</v>
      </c>
      <c r="Z56" s="161" t="str">
        <f t="shared" ca="1" si="27"/>
        <v>0 PRODUIT 9
 &amp; 0 PRODUIT 10
 &amp; 1 PRODUIT 11</v>
      </c>
      <c r="AA56" s="161" t="str">
        <f t="shared" ca="1" si="27"/>
        <v>1 PRODUIT 9
 &amp; 1 PRODUIT 10
 &amp; 1 PRODUIT 11</v>
      </c>
      <c r="AB56" s="161" t="str">
        <f t="shared" ca="1" si="27"/>
        <v>1 PRODUIT 9
 &amp; 1 PRODUIT 10
 &amp; 0 PRODUIT 11</v>
      </c>
      <c r="AC56" s="161" t="str">
        <f t="shared" ca="1" si="27"/>
        <v>0 PRODUIT 9
 &amp; 1 PRODUIT 10
 &amp; 1 PRODUIT 11</v>
      </c>
      <c r="AD56" s="161" t="str">
        <f t="shared" ca="1" si="27"/>
        <v>1 PRODUIT 9
 &amp; 0 PRODUIT 10
 &amp; 1 PRODUIT 11</v>
      </c>
      <c r="AE56" s="142"/>
    </row>
    <row r="57" spans="1:31" s="28" customFormat="1" hidden="1" outlineLevel="1" x14ac:dyDescent="0.2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122"/>
      <c r="V57" s="122"/>
      <c r="W57" s="123"/>
      <c r="X57" s="163">
        <f t="shared" ref="X57:AD57" ca="1" si="28">IF(X56&lt;&gt;"",1,"")</f>
        <v>1</v>
      </c>
      <c r="Y57" s="163">
        <f t="shared" ca="1" si="28"/>
        <v>1</v>
      </c>
      <c r="Z57" s="163">
        <f t="shared" ca="1" si="28"/>
        <v>1</v>
      </c>
      <c r="AA57" s="163">
        <f t="shared" ca="1" si="28"/>
        <v>1</v>
      </c>
      <c r="AB57" s="163">
        <f t="shared" ca="1" si="28"/>
        <v>1</v>
      </c>
      <c r="AC57" s="163">
        <f t="shared" ca="1" si="28"/>
        <v>1</v>
      </c>
      <c r="AD57" s="163">
        <f t="shared" ca="1" si="28"/>
        <v>1</v>
      </c>
      <c r="AE57" s="142"/>
    </row>
    <row r="58" spans="1:31" s="28" customFormat="1" hidden="1" outlineLevel="1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122"/>
      <c r="V58" s="164"/>
      <c r="W58" s="123"/>
      <c r="X58" s="163">
        <f ca="1">IF(X57=0,"",X57)</f>
        <v>1</v>
      </c>
      <c r="Y58" s="163">
        <f ca="1">SUM($X57:Y57)</f>
        <v>2</v>
      </c>
      <c r="Z58" s="163">
        <f ca="1">SUM($X57:Z57)</f>
        <v>3</v>
      </c>
      <c r="AA58" s="163">
        <f ca="1">SUM($X57:AA57)</f>
        <v>4</v>
      </c>
      <c r="AB58" s="163">
        <f ca="1">SUM($X57:AB57)</f>
        <v>5</v>
      </c>
      <c r="AC58" s="163">
        <f ca="1">SUM($X57:AC57)</f>
        <v>6</v>
      </c>
      <c r="AD58" s="163">
        <f ca="1">SUM($X57:AD57)</f>
        <v>7</v>
      </c>
      <c r="AE58" s="142"/>
    </row>
    <row r="59" spans="1:31" s="28" customFormat="1" ht="78.75" hidden="1" outlineLevel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122"/>
      <c r="V59" s="122"/>
      <c r="W59" s="123"/>
      <c r="X59" s="165" t="str">
        <f ca="1">IF(ISNA(X58),"Choisissez uniquement"&amp;CHAR(10)&amp;" un rang avec *",IF(COUNTIF($X56:$AD56,"&gt;&lt;")&gt;=1,HLOOKUP(1,$X55:$AD56,2,FALSE),""))</f>
        <v>1 PRODUIT 9
 &amp; 0 PRODUIT 10
 &amp; 0 PRODUIT 11</v>
      </c>
      <c r="Y59" s="165" t="str">
        <f ca="1">IF(COUNTIF($X56:$AD56,"&gt;&lt;")&gt;=2,HLOOKUP(2,$X55:$AD56,2,FALSE),"")</f>
        <v>0 PRODUIT 9
 &amp; 1 PRODUIT 10
 &amp; 0 PRODUIT 11</v>
      </c>
      <c r="Z59" s="165" t="str">
        <f ca="1">IF(COUNTIF($X56:$AD56,"&gt;&lt;")&gt;=3,HLOOKUP(3,$X55:$AD56,2,FALSE),"")</f>
        <v>0 PRODUIT 9
 &amp; 0 PRODUIT 10
 &amp; 1 PRODUIT 11</v>
      </c>
      <c r="AA59" s="165" t="str">
        <f ca="1">IF(COUNTIF($X56:$AD56,"&gt;&lt;")&gt;=4,HLOOKUP(4,$X55:$AD56,2,FALSE),"")</f>
        <v>1 PRODUIT 9
 &amp; 1 PRODUIT 10
 &amp; 1 PRODUIT 11</v>
      </c>
      <c r="AB59" s="165" t="str">
        <f ca="1">IF(COUNTIF($X56:$AD56,"&gt;&lt;")&gt;=5,HLOOKUP(5,$X55:$AD56,2,FALSE),"")</f>
        <v>1 PRODUIT 9
 &amp; 1 PRODUIT 10
 &amp; 0 PRODUIT 11</v>
      </c>
      <c r="AC59" s="165" t="str">
        <f ca="1">IF(COUNTIF($X56:$AD56,"&gt;&lt;")&gt;=6,HLOOKUP(6,$X55:$AD56,2,FALSE),"")</f>
        <v>0 PRODUIT 9
 &amp; 1 PRODUIT 10
 &amp; 1 PRODUIT 11</v>
      </c>
      <c r="AD59" s="165" t="str">
        <f ca="1">IF(COUNTIF($X56:$AD56,"&gt;&lt;")&gt;=7,HLOOKUP(7,$X55:$AD56,2,FALSE),"")</f>
        <v>1 PRODUIT 9
 &amp; 0 PRODUIT 10
 &amp; 1 PRODUIT 11</v>
      </c>
      <c r="AE59" s="142"/>
    </row>
    <row r="60" spans="1:31" collapsed="1" x14ac:dyDescent="0.25">
      <c r="A60" s="103"/>
      <c r="B60" s="205"/>
      <c r="C60" s="205"/>
      <c r="D60" s="205"/>
      <c r="E60" s="205"/>
      <c r="F60" s="177"/>
      <c r="G60" s="104"/>
      <c r="H60" s="104"/>
      <c r="I60" s="104"/>
      <c r="J60" s="104"/>
      <c r="K60" s="103"/>
      <c r="L60" s="103"/>
      <c r="M60" s="103"/>
      <c r="N60" s="103"/>
      <c r="O60" s="104"/>
      <c r="P60" s="104"/>
      <c r="Q60" s="104"/>
      <c r="R60" s="104"/>
      <c r="S60" s="104"/>
      <c r="T60" s="104"/>
      <c r="U60" s="119"/>
      <c r="V60" s="119"/>
      <c r="W60" s="120"/>
      <c r="X60" s="120"/>
      <c r="Y60" s="120"/>
      <c r="Z60" s="120"/>
      <c r="AA60" s="120"/>
      <c r="AB60" s="120"/>
      <c r="AC60" s="120"/>
      <c r="AD60" s="120"/>
      <c r="AE60" s="120"/>
    </row>
    <row r="61" spans="1:31" ht="15.75" thickBot="1" x14ac:dyDescent="0.3">
      <c r="A61" s="103"/>
      <c r="B61" s="177"/>
      <c r="C61" s="177"/>
      <c r="D61" s="177"/>
      <c r="E61" s="177"/>
      <c r="F61" s="177"/>
      <c r="G61" s="104"/>
      <c r="H61" s="104"/>
      <c r="I61" s="104"/>
      <c r="J61" s="104"/>
      <c r="K61" s="103"/>
      <c r="L61" s="103"/>
      <c r="M61" s="103"/>
      <c r="N61" s="103"/>
      <c r="O61" s="104"/>
      <c r="P61" s="104"/>
      <c r="Q61" s="104"/>
      <c r="R61" s="104"/>
      <c r="S61" s="104"/>
      <c r="T61" s="104"/>
      <c r="U61" s="119"/>
      <c r="V61" s="119"/>
      <c r="W61" s="120"/>
      <c r="X61" s="120"/>
      <c r="Y61" s="178"/>
      <c r="Z61" s="120"/>
      <c r="AA61" s="120"/>
      <c r="AB61" s="120"/>
      <c r="AC61" s="120"/>
      <c r="AD61" s="120"/>
      <c r="AE61" s="120"/>
    </row>
    <row r="62" spans="1:31" ht="18.75" x14ac:dyDescent="0.3">
      <c r="A62" s="103"/>
      <c r="B62" s="162"/>
      <c r="C62" s="162"/>
      <c r="D62" s="162"/>
      <c r="E62" s="104"/>
      <c r="F62" s="104"/>
      <c r="G62" s="104"/>
      <c r="H62" s="104"/>
      <c r="I62" s="104"/>
      <c r="J62" s="104"/>
      <c r="K62" s="103"/>
      <c r="L62" s="103"/>
      <c r="M62" s="103"/>
      <c r="N62" s="103"/>
      <c r="O62" s="104"/>
      <c r="P62" s="104"/>
      <c r="Q62" s="104"/>
      <c r="R62" s="104"/>
      <c r="S62" s="188" t="s">
        <v>29</v>
      </c>
      <c r="T62" s="189"/>
      <c r="U62" s="119"/>
      <c r="V62" s="119"/>
      <c r="W62" s="120"/>
      <c r="X62" s="120"/>
      <c r="Y62" s="120"/>
      <c r="Z62" s="120"/>
      <c r="AA62" s="120"/>
      <c r="AB62" s="120"/>
      <c r="AC62" s="120"/>
      <c r="AD62" s="120"/>
      <c r="AE62" s="120"/>
    </row>
    <row r="63" spans="1:31" ht="15" customHeight="1" x14ac:dyDescent="0.25">
      <c r="A63" s="103"/>
      <c r="B63" s="162"/>
      <c r="C63" s="162"/>
      <c r="D63" s="162"/>
      <c r="E63" s="104"/>
      <c r="F63" s="104"/>
      <c r="G63" s="104"/>
      <c r="H63" s="104"/>
      <c r="I63" s="104"/>
      <c r="J63" s="104"/>
      <c r="K63" s="103"/>
      <c r="L63" s="103"/>
      <c r="M63" s="103"/>
      <c r="N63" s="103"/>
      <c r="O63" s="104"/>
      <c r="P63" s="104"/>
      <c r="Q63" s="104"/>
      <c r="R63" s="104"/>
      <c r="S63" s="190" t="str">
        <f>Paramètres!T2&amp;IF(Paramètres!T2&lt;&gt;"",IF(Paramètres!T2=1,"er","ème"),"NC")</f>
        <v>3ème</v>
      </c>
      <c r="T63" s="191"/>
      <c r="U63" s="119"/>
      <c r="V63" s="119"/>
      <c r="W63" s="120"/>
      <c r="X63" s="120"/>
      <c r="Y63" s="120"/>
      <c r="Z63" s="120"/>
      <c r="AA63" s="120"/>
      <c r="AB63" s="120"/>
      <c r="AC63" s="120"/>
      <c r="AD63" s="120"/>
      <c r="AE63" s="120"/>
    </row>
    <row r="64" spans="1:31" ht="15.75" customHeight="1" thickBot="1" x14ac:dyDescent="0.3">
      <c r="A64" s="103"/>
      <c r="B64" s="162"/>
      <c r="C64" s="162"/>
      <c r="D64" s="162"/>
      <c r="E64" s="104"/>
      <c r="F64" s="104"/>
      <c r="G64" s="104"/>
      <c r="H64" s="104"/>
      <c r="I64" s="104"/>
      <c r="J64" s="104"/>
      <c r="K64" s="103"/>
      <c r="L64" s="103"/>
      <c r="M64" s="103"/>
      <c r="N64" s="103"/>
      <c r="O64" s="104"/>
      <c r="P64" s="104"/>
      <c r="Q64" s="104"/>
      <c r="R64" s="104"/>
      <c r="S64" s="192"/>
      <c r="T64" s="193"/>
      <c r="U64" s="119"/>
      <c r="V64" s="119"/>
      <c r="W64" s="120"/>
      <c r="X64" s="120"/>
      <c r="Y64" s="120"/>
      <c r="Z64" s="120"/>
      <c r="AA64" s="120"/>
      <c r="AB64" s="120"/>
      <c r="AC64" s="120"/>
      <c r="AD64" s="120"/>
      <c r="AE64" s="120"/>
    </row>
    <row r="65" spans="1:31" x14ac:dyDescent="0.25">
      <c r="A65" s="103"/>
      <c r="B65" s="104"/>
      <c r="C65" s="104"/>
      <c r="D65" s="104"/>
      <c r="E65" s="104"/>
      <c r="F65" s="104"/>
      <c r="G65" s="104"/>
      <c r="H65" s="104"/>
      <c r="I65" s="104"/>
      <c r="J65" s="104"/>
      <c r="K65" s="103"/>
      <c r="L65" s="103"/>
      <c r="M65" s="103"/>
      <c r="N65" s="103"/>
      <c r="O65" s="104"/>
      <c r="P65" s="104"/>
      <c r="Q65" s="194" t="s">
        <v>21</v>
      </c>
      <c r="R65" s="195"/>
      <c r="S65" s="195"/>
      <c r="T65" s="195"/>
      <c r="U65" s="119"/>
      <c r="V65" s="119"/>
      <c r="W65" s="120"/>
      <c r="X65" s="120"/>
      <c r="Y65" s="120"/>
      <c r="Z65" s="120"/>
      <c r="AA65" s="120"/>
      <c r="AB65" s="120"/>
      <c r="AC65" s="120"/>
      <c r="AD65" s="120"/>
      <c r="AE65" s="120"/>
    </row>
    <row r="66" spans="1:31" x14ac:dyDescent="0.25">
      <c r="A66" s="103"/>
      <c r="B66" s="104"/>
      <c r="C66" s="104"/>
      <c r="D66" s="104"/>
      <c r="E66" s="104"/>
      <c r="F66" s="104"/>
      <c r="G66" s="104"/>
      <c r="H66" s="104"/>
      <c r="I66" s="104"/>
      <c r="J66" s="104"/>
      <c r="K66" s="103"/>
      <c r="L66" s="103"/>
      <c r="M66" s="103"/>
      <c r="N66" s="103"/>
      <c r="O66" s="104"/>
      <c r="P66" s="104"/>
      <c r="Q66" s="179"/>
      <c r="R66" s="180"/>
      <c r="S66" s="180"/>
      <c r="T66" s="180"/>
      <c r="U66" s="119"/>
      <c r="V66" s="119"/>
      <c r="W66" s="120"/>
      <c r="X66" s="120"/>
      <c r="Y66" s="120"/>
      <c r="Z66" s="120"/>
      <c r="AA66" s="120"/>
      <c r="AB66" s="120"/>
      <c r="AC66" s="120"/>
      <c r="AD66" s="120"/>
      <c r="AE66" s="120"/>
    </row>
    <row r="67" spans="1:31" ht="15.75" thickBot="1" x14ac:dyDescent="0.3">
      <c r="A67" s="181"/>
      <c r="B67" s="182"/>
      <c r="C67" s="182"/>
      <c r="D67" s="182"/>
      <c r="E67" s="182"/>
      <c r="F67" s="182"/>
      <c r="G67" s="182"/>
      <c r="H67" s="182"/>
      <c r="I67" s="182"/>
      <c r="J67" s="182"/>
      <c r="K67" s="181"/>
      <c r="L67" s="181"/>
      <c r="M67" s="181"/>
      <c r="N67" s="181"/>
      <c r="O67" s="182"/>
      <c r="P67" s="182"/>
      <c r="Q67" s="183"/>
      <c r="R67" s="184"/>
      <c r="S67" s="184"/>
      <c r="T67" s="184"/>
      <c r="U67" s="185"/>
      <c r="V67" s="185"/>
      <c r="W67" s="186"/>
      <c r="X67" s="186"/>
      <c r="Y67" s="186"/>
      <c r="Z67" s="186"/>
      <c r="AA67" s="186"/>
      <c r="AB67" s="186"/>
      <c r="AC67" s="186"/>
      <c r="AD67" s="186"/>
      <c r="AE67" s="186"/>
    </row>
  </sheetData>
  <sheetProtection selectLockedCells="1"/>
  <mergeCells count="38">
    <mergeCell ref="P39:P40"/>
    <mergeCell ref="S12:S13"/>
    <mergeCell ref="S21:S22"/>
    <mergeCell ref="Q12:Q13"/>
    <mergeCell ref="Q21:Q22"/>
    <mergeCell ref="Q39:Q40"/>
    <mergeCell ref="V12:V13"/>
    <mergeCell ref="U12:U13"/>
    <mergeCell ref="B60:E60"/>
    <mergeCell ref="T12:T13"/>
    <mergeCell ref="T21:T22"/>
    <mergeCell ref="T30:T31"/>
    <mergeCell ref="T39:T40"/>
    <mergeCell ref="T51:T53"/>
    <mergeCell ref="U21:U22"/>
    <mergeCell ref="U30:U31"/>
    <mergeCell ref="U39:U40"/>
    <mergeCell ref="U51:U53"/>
    <mergeCell ref="V21:V22"/>
    <mergeCell ref="V30:V31"/>
    <mergeCell ref="V39:V40"/>
    <mergeCell ref="V51:V53"/>
    <mergeCell ref="S62:T62"/>
    <mergeCell ref="S63:T64"/>
    <mergeCell ref="Q65:T65"/>
    <mergeCell ref="P51:P53"/>
    <mergeCell ref="Q1:T2"/>
    <mergeCell ref="P30:P31"/>
    <mergeCell ref="P12:P13"/>
    <mergeCell ref="P21:P22"/>
    <mergeCell ref="Q30:Q31"/>
    <mergeCell ref="D8:S8"/>
    <mergeCell ref="B6:S6"/>
    <mergeCell ref="Q51:Q53"/>
    <mergeCell ref="D7:S7"/>
    <mergeCell ref="S30:S31"/>
    <mergeCell ref="S39:S40"/>
    <mergeCell ref="S51:S53"/>
  </mergeCells>
  <conditionalFormatting sqref="K51:N53 K30:N31 K39:N40 K12:N13">
    <cfRule type="expression" dxfId="24" priority="35">
      <formula>$N12&lt;0</formula>
    </cfRule>
  </conditionalFormatting>
  <conditionalFormatting sqref="S10:AE53 Q60:AE64">
    <cfRule type="expression" dxfId="23" priority="15">
      <formula>$B$7=$B$8</formula>
    </cfRule>
  </conditionalFormatting>
  <conditionalFormatting sqref="K21:N22">
    <cfRule type="expression" dxfId="22" priority="36">
      <formula>$N21&lt;0</formula>
    </cfRule>
  </conditionalFormatting>
  <conditionalFormatting sqref="J12:J13 J21:J22 J30:J31 J39:J40 J51:J53 P12 P21 P30 P39 P51">
    <cfRule type="expression" dxfId="21" priority="37">
      <formula>OR(J12&gt;$F$4,J12=$F$4)</formula>
    </cfRule>
    <cfRule type="expression" dxfId="20" priority="38">
      <formula>OR(J12&gt;$F$4*90%,J12=$F$4*90%)</formula>
    </cfRule>
  </conditionalFormatting>
  <conditionalFormatting sqref="S12 S21 S30 S39 S51">
    <cfRule type="expression" dxfId="19" priority="57">
      <formula>OR(P12&gt;$F$4,P12=$F$4)</formula>
    </cfRule>
    <cfRule type="expression" dxfId="18" priority="58">
      <formula>OR(P12&gt;$F$4*90%,P12=$F$4*90%)</formula>
    </cfRule>
  </conditionalFormatting>
  <conditionalFormatting sqref="T21">
    <cfRule type="expression" dxfId="17" priority="13">
      <formula>$B$7=$B$8</formula>
    </cfRule>
  </conditionalFormatting>
  <conditionalFormatting sqref="T30">
    <cfRule type="expression" dxfId="16" priority="12">
      <formula>$B$7=$B$8</formula>
    </cfRule>
  </conditionalFormatting>
  <conditionalFormatting sqref="T39">
    <cfRule type="expression" dxfId="15" priority="11">
      <formula>$B$7=$B$8</formula>
    </cfRule>
  </conditionalFormatting>
  <conditionalFormatting sqref="S54:T54">
    <cfRule type="expression" dxfId="14" priority="10">
      <formula>$B$7=$B$8</formula>
    </cfRule>
  </conditionalFormatting>
  <conditionalFormatting sqref="S14:T14">
    <cfRule type="expression" dxfId="13" priority="9">
      <formula>$B$7=$B$8</formula>
    </cfRule>
  </conditionalFormatting>
  <dataValidations count="3">
    <dataValidation type="list" showInputMessage="1" showErrorMessage="1" sqref="T30:T31 T39:T40">
      <formula1>OFFSET(X37,,,,COUNTIF(X37:AD37,"&gt;&lt;"))</formula1>
    </dataValidation>
    <dataValidation type="list" showInputMessage="1" showErrorMessage="1" sqref="T51:T53">
      <formula1>OFFSET(X59,,,,COUNTIF(X59:AD59,"&gt;&lt;"))</formula1>
    </dataValidation>
    <dataValidation type="list" allowBlank="1" showInputMessage="1" showErrorMessage="1" sqref="T21:T22 T12:T13">
      <formula1>OFFSET(X19,,,,COUNTIF(X19:AD19,"&gt;&lt;"))</formula1>
    </dataValidation>
  </dataValidations>
  <pageMargins left="0.7" right="0.7" top="0.75" bottom="0.75" header="0.3" footer="0.3"/>
  <pageSetup paperSize="9" scale="44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Indicatif" error="Fichier exclusivement conçu pour les agences de la DGA Sud Gironde_x000a_">
          <x14:formula1>
            <xm:f>Paramètres!$F$19:$F$29</xm:f>
          </x14:formula1>
          <xm:sqref>B7</xm:sqref>
        </x14:dataValidation>
        <x14:dataValidation type="list" allowBlank="1" showInputMessage="1" showErrorMessage="1">
          <x14:formula1>
            <xm:f>Paramètres!$J$2:$J$21</xm:f>
          </x14:formula1>
          <xm:sqref>T10:T11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83"/>
  <sheetViews>
    <sheetView workbookViewId="0">
      <selection activeCell="G20" sqref="G20"/>
    </sheetView>
  </sheetViews>
  <sheetFormatPr baseColWidth="10" defaultRowHeight="15" x14ac:dyDescent="0.25"/>
  <cols>
    <col min="2" max="2" width="11.140625" style="1" customWidth="1"/>
    <col min="6" max="6" width="16.140625" bestFit="1" customWidth="1"/>
    <col min="10" max="10" width="17.5703125" bestFit="1" customWidth="1"/>
    <col min="12" max="12" width="20" bestFit="1" customWidth="1"/>
  </cols>
  <sheetData>
    <row r="1" spans="1:20" x14ac:dyDescent="0.25">
      <c r="A1" s="1" t="s">
        <v>138</v>
      </c>
      <c r="B1" s="1" t="s">
        <v>15</v>
      </c>
      <c r="C1" s="1" t="s">
        <v>139</v>
      </c>
      <c r="D1" s="1" t="s">
        <v>140</v>
      </c>
      <c r="G1" s="1" t="s">
        <v>19</v>
      </c>
      <c r="H1" s="1" t="s">
        <v>141</v>
      </c>
      <c r="K1" s="1" t="s">
        <v>22</v>
      </c>
      <c r="L1" s="1" t="s">
        <v>142</v>
      </c>
      <c r="M1" s="1" t="s">
        <v>23</v>
      </c>
      <c r="N1" s="1" t="s">
        <v>24</v>
      </c>
      <c r="O1" s="1" t="s">
        <v>25</v>
      </c>
      <c r="P1" s="28"/>
      <c r="Q1" s="87" t="s">
        <v>26</v>
      </c>
      <c r="R1" s="87" t="s">
        <v>27</v>
      </c>
      <c r="S1" s="87" t="s">
        <v>28</v>
      </c>
      <c r="T1" s="87" t="s">
        <v>30</v>
      </c>
    </row>
    <row r="2" spans="1:20" x14ac:dyDescent="0.25">
      <c r="A2" s="15">
        <v>51800</v>
      </c>
      <c r="B2" s="19" t="s">
        <v>16</v>
      </c>
      <c r="C2" s="2">
        <v>43703</v>
      </c>
      <c r="D2" s="2">
        <v>43700</v>
      </c>
      <c r="G2" s="18" t="s">
        <v>18</v>
      </c>
      <c r="H2" s="18">
        <f>COUNTIF(B:B,G2)</f>
        <v>24</v>
      </c>
      <c r="J2" t="str">
        <f>"GAGNER 1 RANG"&amp;IF(VLOOKUP(VLOOKUP('Anim Commerciale'!$B$7,Paramètres!$A$2:$D$183,2,FALSE),Paramètres!$G$2:$H$5,1,FALSE)="A",M2,IF(VLOOKUP(VLOOKUP('Anim Commerciale'!$B$7,Paramètres!$A$2:$D$183,2,FALSE),Paramètres!$G$2:$H$5,1,FALSE)="B",N2,IF(VLOOKUP(VLOOKUP('Anim Commerciale'!$B$7,Paramètres!$A$2:$D$183,2,FALSE),Paramètres!$G$2:$H$5,1,FALSE)="C",O2,"")))</f>
        <v>GAGNER 1 RANG</v>
      </c>
      <c r="K2">
        <v>1</v>
      </c>
      <c r="L2">
        <f>VLOOKUP('Anim Commerciale'!$B$7,'Synthèse Magasins'!$B$61:$U$84:'Synthèse Magasins'!$B$40:$U$59:'Synthèse Magasins'!$B$7:$U$38,12,FALSE)-K2</f>
        <v>14</v>
      </c>
      <c r="M2" s="1" t="str">
        <f t="array" ref="M2">IF(OR($L2=RANGPROA),"*","")</f>
        <v/>
      </c>
      <c r="N2" s="1" t="str">
        <f t="array" ref="N2">IF(OR($L2=RANGPROB),"*","")</f>
        <v>*</v>
      </c>
      <c r="O2" s="1" t="str">
        <f t="array" ref="O2">IF(OR($L2=RANGPROC),"*","")</f>
        <v>*</v>
      </c>
      <c r="Q2" s="88">
        <f>VLOOKUP('Anim Commerciale'!$B$7,'Synthèse Magasins'!$B$61:$U$84:'Synthèse Magasins'!$B$40:$U$59:'Synthèse Magasins'!$B$7:$U$38,19,FALSE)</f>
        <v>59</v>
      </c>
      <c r="R2" s="88">
        <f>(IF(VLOOKUP('Anim Commerciale'!$B$7,'Synthèse Magasins'!$B$61:$U$84:'Synthèse Magasins'!$B$40:$U$59:'Synthèse Magasins'!$B$7:$U$38,4,FALSE)-VLOOKUP('Anim Commerciale'!T10,Paramètres!$J$2:$K$21,2,FALSE)&lt;=0,0,1)+IF(VLOOKUP('Anim Commerciale'!$B$7,'Synthèse Magasins'!$B$61:$U$84:'Synthèse Magasins'!$B$40:$U$59:'Synthèse Magasins'!$B$7:$U$38,6,FALSE)-VLOOKUP('Anim Commerciale'!T10,Paramètres!$J$2:$K$21,2,FALSE)&lt;=0,0,1)+IF(VLOOKUP('Anim Commerciale'!$B$7,'Synthèse Magasins'!$B$61:$U$84:'Synthèse Magasins'!$B$40:$U$59:'Synthèse Magasins'!$B$7:$U$38,8,FALSE)-VLOOKUP('Anim Commerciale'!T10,Paramètres!$J$2:$K$21,2,FALSE)&lt;=0,0,1)+IF(VLOOKUP('Anim Commerciale'!$B$7,'Synthèse Magasins'!$B$61:$U$84:'Synthèse Magasins'!$B$40:$U$59:'Synthèse Magasins'!$B$7:$U$38,10,FALSE)-VLOOKUP('Anim Commerciale'!T10,Paramètres!$J$2:$K$21,2,FALSE)&lt;=0,0,1)+IF(VLOOKUP('Anim Commerciale'!$B$7,'Synthèse Magasins'!$B$61:$U$84:'Synthèse Magasins'!$B$40:$U$59:'Synthèse Magasins'!$B$7:$U$38,12,FALSE)-VLOOKUP('Anim Commerciale'!T10,Paramètres!$J$2:$K$21,2,FALSE)&lt;=0,0,1))*VLOOKUP('Anim Commerciale'!T10,Paramètres!$J$2:$K$21,2,FALSE)</f>
        <v>15</v>
      </c>
      <c r="S2" s="88">
        <f>Q2-R2</f>
        <v>44</v>
      </c>
      <c r="T2" s="89">
        <f>IF(VLOOKUP(VLOOKUP('Anim Commerciale'!$B$7,Paramètres!$A$2:$D$183,2,FALSE),Paramètres!$G$2:$H$5,1,FALSE)="A",VLOOKUP(S2,'Synthèse Magasins'!W5:Z165,2,FALSE),IF(VLOOKUP(VLOOKUP('Anim Commerciale'!$B$7,Paramètres!$A$2:$D$183,2,FALSE),Paramètres!$G$2:$H$5,1,FALSE)="B",VLOOKUP(S2,'Synthèse Magasins'!W5:Z165,3,FALSE),IF(VLOOKUP(VLOOKUP('Anim Commerciale'!$B$7,Paramètres!$A$2:$D$183,2,FALSE),Paramètres!$G$2:$H$5,1,FALSE)="C",VLOOKUP(S2,'Synthèse Magasins'!W5:Z165,4,FALSE),"")))</f>
        <v>3</v>
      </c>
    </row>
    <row r="3" spans="1:20" x14ac:dyDescent="0.25">
      <c r="A3" s="16">
        <v>1800</v>
      </c>
      <c r="B3" s="19">
        <v>0</v>
      </c>
      <c r="C3" s="2">
        <v>43703</v>
      </c>
      <c r="D3" s="2">
        <v>43700</v>
      </c>
      <c r="G3" s="18" t="s">
        <v>17</v>
      </c>
      <c r="H3" s="18">
        <f>COUNTIF(B:B,G3)</f>
        <v>18</v>
      </c>
      <c r="J3" t="str">
        <f>"GAGNER 2 RANGS"&amp;IF(VLOOKUP(VLOOKUP('Anim Commerciale'!$B$7,Paramètres!$A$2:$D$183,2,FALSE),Paramètres!$G$2:$H$5,1,FALSE)="A",M3,IF(VLOOKUP(VLOOKUP('Anim Commerciale'!$B$7,Paramètres!$A$2:$D$183,2,FALSE),Paramètres!$G$2:$H$5,1,FALSE)="B",N3,IF(VLOOKUP(VLOOKUP('Anim Commerciale'!$B$7,Paramètres!$A$2:$D$183,2,FALSE),Paramètres!$G$2:$H$5,1,FALSE)="C",O3,"")))</f>
        <v>GAGNER 2 RANGS</v>
      </c>
      <c r="K3">
        <v>2</v>
      </c>
      <c r="L3">
        <f>VLOOKUP('Anim Commerciale'!$B$7,'Synthèse Magasins'!$B$61:$U$84:'Synthèse Magasins'!$B$40:$U$59:'Synthèse Magasins'!$B$7:$U$38,12,FALSE)-K3</f>
        <v>13</v>
      </c>
      <c r="M3" s="1" t="str">
        <f t="array" ref="M3">IF(OR($L3=RANGPROA),"*","")</f>
        <v/>
      </c>
      <c r="N3" s="1" t="str">
        <f t="array" ref="N3">IF(OR($L3=RANGPROB),"*","")</f>
        <v/>
      </c>
      <c r="O3" s="1" t="str">
        <f t="array" ref="O3">IF(OR($L3=RANGPROC),"*","")</f>
        <v/>
      </c>
    </row>
    <row r="4" spans="1:20" x14ac:dyDescent="0.25">
      <c r="A4" s="16">
        <v>1866</v>
      </c>
      <c r="B4" s="19">
        <v>0</v>
      </c>
      <c r="C4" s="2">
        <v>43703</v>
      </c>
      <c r="D4" s="2">
        <v>43700</v>
      </c>
      <c r="G4" s="18" t="s">
        <v>16</v>
      </c>
      <c r="H4" s="18">
        <f>COUNTIF(B:B,G4)</f>
        <v>34</v>
      </c>
      <c r="J4" t="str">
        <f>"GAGNER 3 RANGS"&amp;IF(VLOOKUP(VLOOKUP('Anim Commerciale'!$B$7,Paramètres!$A$2:$D$183,2,FALSE),Paramètres!$G$2:$H$5,1,FALSE)="A",M4,IF(VLOOKUP(VLOOKUP('Anim Commerciale'!$B$7,Paramètres!$A$2:$D$183,2,FALSE),Paramètres!$G$2:$H$5,1,FALSE)="B",N4,IF(VLOOKUP(VLOOKUP('Anim Commerciale'!$B$7,Paramètres!$A$2:$D$183,2,FALSE),Paramètres!$G$2:$H$5,1,FALSE)="C",O4,"")))</f>
        <v>GAGNER 3 RANGS*</v>
      </c>
      <c r="K4">
        <v>3</v>
      </c>
      <c r="L4">
        <f>VLOOKUP('Anim Commerciale'!$B$7,'Synthèse Magasins'!$B$61:$U$84:'Synthèse Magasins'!$B$40:$U$59:'Synthèse Magasins'!$B$7:$U$38,12,FALSE)-K4</f>
        <v>12</v>
      </c>
      <c r="M4" s="1" t="str">
        <f t="array" ref="M4">IF(OR($L4=RANGPROA),"*","")</f>
        <v>*</v>
      </c>
      <c r="N4" s="1" t="str">
        <f t="array" ref="N4">IF(OR($L4=RANGPROB),"*","")</f>
        <v>*</v>
      </c>
      <c r="O4" s="1" t="str">
        <f t="array" ref="O4">IF(OR($L4=RANGPROC),"*","")</f>
        <v>*</v>
      </c>
    </row>
    <row r="5" spans="1:20" x14ac:dyDescent="0.25">
      <c r="A5" s="16">
        <v>1868</v>
      </c>
      <c r="B5" s="19">
        <v>0</v>
      </c>
      <c r="C5" s="2">
        <v>43703</v>
      </c>
      <c r="D5" s="2">
        <v>43700</v>
      </c>
      <c r="G5" s="18">
        <v>0</v>
      </c>
      <c r="H5" s="18" t="str">
        <f>""</f>
        <v/>
      </c>
      <c r="J5" t="str">
        <f>"GAGNER 4 RANGS"&amp;IF(VLOOKUP(VLOOKUP('Anim Commerciale'!$B$7,Paramètres!$A$2:$D$183,2,FALSE),Paramètres!$G$2:$H$5,1,FALSE)="A",M5,IF(VLOOKUP(VLOOKUP('Anim Commerciale'!$B$7,Paramètres!$A$2:$D$183,2,FALSE),Paramètres!$G$2:$H$5,1,FALSE)="B",N5,IF(VLOOKUP(VLOOKUP('Anim Commerciale'!$B$7,Paramètres!$A$2:$D$183,2,FALSE),Paramètres!$G$2:$H$5,1,FALSE)="C",O5,"")))</f>
        <v>GAGNER 4 RANGS</v>
      </c>
      <c r="K5">
        <v>4</v>
      </c>
      <c r="L5">
        <f>VLOOKUP('Anim Commerciale'!$B$7,'Synthèse Magasins'!$B$61:$U$84:'Synthèse Magasins'!$B$40:$U$59:'Synthèse Magasins'!$B$7:$U$38,12,FALSE)-K5</f>
        <v>11</v>
      </c>
      <c r="M5" s="1" t="str">
        <f t="array" ref="M5">IF(OR($L5=RANGPROA),"*","")</f>
        <v/>
      </c>
      <c r="N5" s="1" t="str">
        <f t="array" ref="N5">IF(OR($L5=RANGPROB),"*","")</f>
        <v>*</v>
      </c>
      <c r="O5" s="1" t="str">
        <f t="array" ref="O5">IF(OR($L5=RANGPROC),"*","")</f>
        <v/>
      </c>
    </row>
    <row r="6" spans="1:20" x14ac:dyDescent="0.25">
      <c r="A6" s="15">
        <v>1802</v>
      </c>
      <c r="B6" s="19" t="s">
        <v>18</v>
      </c>
      <c r="C6" s="2">
        <v>43703</v>
      </c>
      <c r="D6" s="2">
        <v>43700</v>
      </c>
      <c r="J6" t="str">
        <f>"GAGNER 5 RANGS"&amp;IF(VLOOKUP(VLOOKUP('Anim Commerciale'!$B$7,Paramètres!$A$2:$D$183,2,FALSE),Paramètres!$G$2:$H$5,1,FALSE)="A",M6,IF(VLOOKUP(VLOOKUP('Anim Commerciale'!$B$7,Paramètres!$A$2:$D$183,2,FALSE),Paramètres!$G$2:$H$5,1,FALSE)="B",N6,IF(VLOOKUP(VLOOKUP('Anim Commerciale'!$B$7,Paramètres!$A$2:$D$183,2,FALSE),Paramètres!$G$2:$H$5,1,FALSE)="C",O6,"")))</f>
        <v>GAGNER 5 RANGS</v>
      </c>
      <c r="K6">
        <v>5</v>
      </c>
      <c r="L6">
        <f>VLOOKUP('Anim Commerciale'!$B$7,'Synthèse Magasins'!$B$61:$U$84:'Synthèse Magasins'!$B$40:$U$59:'Synthèse Magasins'!$B$7:$U$38,12,FALSE)-K6</f>
        <v>10</v>
      </c>
      <c r="M6" s="1" t="str">
        <f t="array" ref="M6">IF(OR($L6=RANGPROA),"*","")</f>
        <v/>
      </c>
      <c r="N6" s="1" t="str">
        <f t="array" ref="N6">IF(OR($L6=RANGPROB),"*","")</f>
        <v/>
      </c>
      <c r="O6" s="1" t="str">
        <f t="array" ref="O6">IF(OR($L6=RANGPROC),"*","")</f>
        <v>*</v>
      </c>
    </row>
    <row r="7" spans="1:20" x14ac:dyDescent="0.25">
      <c r="A7" s="15">
        <v>51832</v>
      </c>
      <c r="B7" s="19" t="s">
        <v>16</v>
      </c>
      <c r="C7" s="2">
        <v>43703</v>
      </c>
      <c r="D7" s="2">
        <v>43700</v>
      </c>
      <c r="F7" s="214" t="s">
        <v>13</v>
      </c>
      <c r="G7" s="214"/>
      <c r="H7" s="86">
        <v>13</v>
      </c>
      <c r="J7" t="str">
        <f>"GAGNER 6 RANGS"&amp;IF(VLOOKUP(VLOOKUP('Anim Commerciale'!$B$7,Paramètres!$A$2:$D$183,2,FALSE),Paramètres!$G$2:$H$5,1,FALSE)="A",M7,IF(VLOOKUP(VLOOKUP('Anim Commerciale'!$B$7,Paramètres!$A$2:$D$183,2,FALSE),Paramètres!$G$2:$H$5,1,FALSE)="B",N7,IF(VLOOKUP(VLOOKUP('Anim Commerciale'!$B$7,Paramètres!$A$2:$D$183,2,FALSE),Paramètres!$G$2:$H$5,1,FALSE)="C",O7,"")))</f>
        <v>GAGNER 6 RANGS*</v>
      </c>
      <c r="K7">
        <v>6</v>
      </c>
      <c r="L7">
        <f>VLOOKUP('Anim Commerciale'!$B$7,'Synthèse Magasins'!$B$61:$U$84:'Synthèse Magasins'!$B$40:$U$59:'Synthèse Magasins'!$B$7:$U$38,12,FALSE)-K7</f>
        <v>9</v>
      </c>
      <c r="M7" s="1" t="str">
        <f t="array" ref="M7">IF(OR($L7=RANGPROA),"*","")</f>
        <v>*</v>
      </c>
      <c r="N7" s="1" t="str">
        <f t="array" ref="N7">IF(OR($L7=RANGPROB),"*","")</f>
        <v>*</v>
      </c>
      <c r="O7" s="1" t="str">
        <f t="array" ref="O7">IF(OR($L7=RANGPROC),"*","")</f>
        <v>*</v>
      </c>
    </row>
    <row r="8" spans="1:20" x14ac:dyDescent="0.25">
      <c r="A8" s="16">
        <v>1830</v>
      </c>
      <c r="B8" s="19">
        <v>0</v>
      </c>
      <c r="C8" s="2">
        <v>43703</v>
      </c>
      <c r="D8" s="2">
        <v>43700</v>
      </c>
      <c r="F8" s="215" t="s">
        <v>14</v>
      </c>
      <c r="G8" s="215"/>
      <c r="H8" s="86">
        <f ca="1">H7-WEEKNUM(TODAY())</f>
        <v>6</v>
      </c>
      <c r="J8" t="str">
        <f>"GAGNER 7 RANGS"&amp;IF(VLOOKUP(VLOOKUP('Anim Commerciale'!$B$7,Paramètres!$A$2:$D$183,2,FALSE),Paramètres!$G$2:$H$5,1,FALSE)="A",M8,IF(VLOOKUP(VLOOKUP('Anim Commerciale'!$B$7,Paramètres!$A$2:$D$183,2,FALSE),Paramètres!$G$2:$H$5,1,FALSE)="B",N8,IF(VLOOKUP(VLOOKUP('Anim Commerciale'!$B$7,Paramètres!$A$2:$D$183,2,FALSE),Paramètres!$G$2:$H$5,1,FALSE)="C",O8,"")))</f>
        <v>GAGNER 7 RANGS*</v>
      </c>
      <c r="K8">
        <v>7</v>
      </c>
      <c r="L8">
        <f>VLOOKUP('Anim Commerciale'!$B$7,'Synthèse Magasins'!$B$61:$U$84:'Synthèse Magasins'!$B$40:$U$59:'Synthèse Magasins'!$B$7:$U$38,12,FALSE)-K8</f>
        <v>8</v>
      </c>
      <c r="M8" s="1" t="str">
        <f t="array" ref="M8">IF(OR($L8=RANGPROA),"*","")</f>
        <v>*</v>
      </c>
      <c r="N8" s="1" t="str">
        <f t="array" ref="N8">IF(OR($L8=RANGPROB),"*","")</f>
        <v>*</v>
      </c>
      <c r="O8" s="1" t="str">
        <f t="array" ref="O8">IF(OR($L8=RANGPROC),"*","")</f>
        <v/>
      </c>
    </row>
    <row r="9" spans="1:20" x14ac:dyDescent="0.25">
      <c r="A9" s="16">
        <v>1832</v>
      </c>
      <c r="B9" s="19">
        <v>0</v>
      </c>
      <c r="C9" s="2">
        <v>43703</v>
      </c>
      <c r="D9" s="2">
        <v>43700</v>
      </c>
      <c r="J9" t="str">
        <f>"GAGNER 8 RANGS"&amp;IF(VLOOKUP(VLOOKUP('Anim Commerciale'!$B$7,Paramètres!$A$2:$D$183,2,FALSE),Paramètres!$G$2:$H$5,1,FALSE)="A",M9,IF(VLOOKUP(VLOOKUP('Anim Commerciale'!$B$7,Paramètres!$A$2:$D$183,2,FALSE),Paramètres!$G$2:$H$5,1,FALSE)="B",N9,IF(VLOOKUP(VLOOKUP('Anim Commerciale'!$B$7,Paramètres!$A$2:$D$183,2,FALSE),Paramètres!$G$2:$H$5,1,FALSE)="C",O9,"")))</f>
        <v>GAGNER 8 RANGS*</v>
      </c>
      <c r="K9">
        <v>8</v>
      </c>
      <c r="L9">
        <f>VLOOKUP('Anim Commerciale'!$B$7,'Synthèse Magasins'!$B$61:$U$84:'Synthèse Magasins'!$B$40:$U$59:'Synthèse Magasins'!$B$7:$U$38,12,FALSE)-K9</f>
        <v>7</v>
      </c>
      <c r="M9" s="1" t="str">
        <f t="array" ref="M9">IF(OR($L9=RANGPROA),"*","")</f>
        <v>*</v>
      </c>
      <c r="N9" s="1" t="str">
        <f t="array" ref="N9">IF(OR($L9=RANGPROB),"*","")</f>
        <v/>
      </c>
      <c r="O9" s="1" t="str">
        <f t="array" ref="O9">IF(OR($L9=RANGPROC),"*","")</f>
        <v>*</v>
      </c>
    </row>
    <row r="10" spans="1:20" x14ac:dyDescent="0.25">
      <c r="A10" s="16">
        <v>1844</v>
      </c>
      <c r="B10" s="19">
        <v>0</v>
      </c>
      <c r="C10" s="2">
        <v>43703</v>
      </c>
      <c r="D10" s="2">
        <v>43700</v>
      </c>
      <c r="J10" t="str">
        <f>"GAGNER 9 RANGS"&amp;IF(VLOOKUP(VLOOKUP('Anim Commerciale'!$B$7,Paramètres!$A$2:$D$183,2,FALSE),Paramètres!$G$2:$H$5,1,FALSE)="A",M10,IF(VLOOKUP(VLOOKUP('Anim Commerciale'!$B$7,Paramètres!$A$2:$D$183,2,FALSE),Paramètres!$G$2:$H$5,1,FALSE)="B",N10,IF(VLOOKUP(VLOOKUP('Anim Commerciale'!$B$7,Paramètres!$A$2:$D$183,2,FALSE),Paramètres!$G$2:$H$5,1,FALSE)="C",O10,"")))</f>
        <v>GAGNER 9 RANGS*</v>
      </c>
      <c r="K10">
        <v>9</v>
      </c>
      <c r="L10">
        <f>VLOOKUP('Anim Commerciale'!$B$7,'Synthèse Magasins'!$B$61:$U$84:'Synthèse Magasins'!$B$40:$U$59:'Synthèse Magasins'!$B$7:$U$38,12,FALSE)-K10</f>
        <v>6</v>
      </c>
      <c r="M10" s="1" t="str">
        <f t="array" ref="M10">IF(OR($L10=RANGPROA),"*","")</f>
        <v>*</v>
      </c>
      <c r="N10" s="1" t="str">
        <f t="array" ref="N10">IF(OR($L10=RANGPROB),"*","")</f>
        <v>*</v>
      </c>
      <c r="O10" s="1" t="str">
        <f t="array" ref="O10">IF(OR($L10=RANGPROC),"*","")</f>
        <v>*</v>
      </c>
    </row>
    <row r="11" spans="1:20" x14ac:dyDescent="0.25">
      <c r="A11" s="15">
        <v>1833</v>
      </c>
      <c r="B11" s="19" t="s">
        <v>18</v>
      </c>
      <c r="C11" s="2">
        <v>43703</v>
      </c>
      <c r="D11" s="2">
        <v>43700</v>
      </c>
      <c r="J11" t="str">
        <f>"GAGNER 10 RANGS"&amp;IF(VLOOKUP(VLOOKUP('Anim Commerciale'!$B$7,Paramètres!$A$2:$D$183,2,FALSE),Paramètres!$G$2:$H$5,1,FALSE)="A",M11,IF(VLOOKUP(VLOOKUP('Anim Commerciale'!$B$7,Paramètres!$A$2:$D$183,2,FALSE),Paramètres!$G$2:$H$5,1,FALSE)="B",N11,IF(VLOOKUP(VLOOKUP('Anim Commerciale'!$B$7,Paramètres!$A$2:$D$183,2,FALSE),Paramètres!$G$2:$H$5,1,FALSE)="C",O11,"")))</f>
        <v>GAGNER 10 RANGS</v>
      </c>
      <c r="K11">
        <v>10</v>
      </c>
      <c r="L11">
        <f>VLOOKUP('Anim Commerciale'!$B$7,'Synthèse Magasins'!$B$61:$U$84:'Synthèse Magasins'!$B$40:$U$59:'Synthèse Magasins'!$B$7:$U$38,12,FALSE)-K11</f>
        <v>5</v>
      </c>
      <c r="M11" s="1" t="str">
        <f t="array" ref="M11">IF(OR($L11=RANGPROA),"*","")</f>
        <v/>
      </c>
      <c r="N11" s="1" t="str">
        <f t="array" ref="N11">IF(OR($L11=RANGPROB),"*","")</f>
        <v>*</v>
      </c>
      <c r="O11" s="1" t="str">
        <f t="array" ref="O11">IF(OR($L11=RANGPROC),"*","")</f>
        <v/>
      </c>
    </row>
    <row r="12" spans="1:20" x14ac:dyDescent="0.25">
      <c r="A12" s="15">
        <v>1841</v>
      </c>
      <c r="B12" s="19" t="s">
        <v>18</v>
      </c>
      <c r="C12" s="2">
        <v>43703</v>
      </c>
      <c r="D12" s="2">
        <v>43700</v>
      </c>
      <c r="J12" t="str">
        <f>"GAGNER 11 RANGS"&amp;IF(VLOOKUP(VLOOKUP('Anim Commerciale'!$B$7,Paramètres!$A$2:$D$183,2,FALSE),Paramètres!$G$2:$H$5,1,FALSE)="A",M12,IF(VLOOKUP(VLOOKUP('Anim Commerciale'!$B$7,Paramètres!$A$2:$D$183,2,FALSE),Paramètres!$G$2:$H$5,1,FALSE)="B",N12,IF(VLOOKUP(VLOOKUP('Anim Commerciale'!$B$7,Paramètres!$A$2:$D$183,2,FALSE),Paramètres!$G$2:$H$5,1,FALSE)="C",O12,"")))</f>
        <v>GAGNER 11 RANGS</v>
      </c>
      <c r="K12">
        <v>11</v>
      </c>
      <c r="L12">
        <f>VLOOKUP('Anim Commerciale'!$B$7,'Synthèse Magasins'!$B$61:$U$84:'Synthèse Magasins'!$B$40:$U$59:'Synthèse Magasins'!$B$7:$U$38,12,FALSE)-K12</f>
        <v>4</v>
      </c>
      <c r="M12" s="1" t="str">
        <f t="array" ref="M12">IF(OR($L12=RANGPROA),"*","")</f>
        <v/>
      </c>
      <c r="N12" s="1" t="str">
        <f t="array" ref="N12">IF(OR($L12=RANGPROB),"*","")</f>
        <v/>
      </c>
      <c r="O12" s="1" t="str">
        <f t="array" ref="O12">IF(OR($L12=RANGPROC),"*","")</f>
        <v/>
      </c>
    </row>
    <row r="13" spans="1:20" x14ac:dyDescent="0.25">
      <c r="A13" s="15">
        <v>51847</v>
      </c>
      <c r="B13" s="19" t="s">
        <v>17</v>
      </c>
      <c r="C13" s="2">
        <v>43703</v>
      </c>
      <c r="D13" s="2">
        <v>43700</v>
      </c>
      <c r="J13" t="str">
        <f>"GAGNER 12 RANGS"&amp;IF(VLOOKUP(VLOOKUP('Anim Commerciale'!$B$7,Paramètres!$A$2:$D$183,2,FALSE),Paramètres!$G$2:$H$5,1,FALSE)="A",M13,IF(VLOOKUP(VLOOKUP('Anim Commerciale'!$B$7,Paramètres!$A$2:$D$183,2,FALSE),Paramètres!$G$2:$H$5,1,FALSE)="B",N13,IF(VLOOKUP(VLOOKUP('Anim Commerciale'!$B$7,Paramètres!$A$2:$D$183,2,FALSE),Paramètres!$G$2:$H$5,1,FALSE)="C",O13,"")))</f>
        <v>GAGNER 12 RANGS*</v>
      </c>
      <c r="K13">
        <v>12</v>
      </c>
      <c r="L13">
        <f>VLOOKUP('Anim Commerciale'!$B$7,'Synthèse Magasins'!$B$61:$U$84:'Synthèse Magasins'!$B$40:$U$59:'Synthèse Magasins'!$B$7:$U$38,12,FALSE)-K13</f>
        <v>3</v>
      </c>
      <c r="M13" s="1" t="str">
        <f t="array" ref="M13">IF(OR($L13=RANGPROA),"*","")</f>
        <v>*</v>
      </c>
      <c r="N13" s="1" t="str">
        <f t="array" ref="N13">IF(OR($L13=RANGPROB),"*","")</f>
        <v>*</v>
      </c>
      <c r="O13" s="1" t="str">
        <f t="array" ref="O13">IF(OR($L13=RANGPROC),"*","")</f>
        <v/>
      </c>
    </row>
    <row r="14" spans="1:20" x14ac:dyDescent="0.25">
      <c r="A14" s="16">
        <v>1847</v>
      </c>
      <c r="B14" s="19">
        <v>0</v>
      </c>
      <c r="C14" s="2">
        <v>43703</v>
      </c>
      <c r="D14" s="2">
        <v>43700</v>
      </c>
      <c r="J14" t="str">
        <f>"GAGNER 13 RANGS"&amp;IF(VLOOKUP(VLOOKUP('Anim Commerciale'!$B$7,Paramètres!$A$2:$D$183,2,FALSE),Paramètres!$G$2:$H$5,1,FALSE)="A",M14,IF(VLOOKUP(VLOOKUP('Anim Commerciale'!$B$7,Paramètres!$A$2:$D$183,2,FALSE),Paramètres!$G$2:$H$5,1,FALSE)="B",N14,IF(VLOOKUP(VLOOKUP('Anim Commerciale'!$B$7,Paramètres!$A$2:$D$183,2,FALSE),Paramètres!$G$2:$H$5,1,FALSE)="C",O14,"")))</f>
        <v>GAGNER 13 RANGS</v>
      </c>
      <c r="K14">
        <v>13</v>
      </c>
      <c r="L14">
        <f>VLOOKUP('Anim Commerciale'!$B$7,'Synthèse Magasins'!$B$61:$U$84:'Synthèse Magasins'!$B$40:$U$59:'Synthèse Magasins'!$B$7:$U$38,12,FALSE)-K14</f>
        <v>2</v>
      </c>
      <c r="M14" s="1" t="str">
        <f t="array" ref="M14">IF(OR($L14=RANGPROA),"*","")</f>
        <v/>
      </c>
      <c r="N14" s="1" t="str">
        <f t="array" ref="N14">IF(OR($L14=RANGPROB),"*","")</f>
        <v/>
      </c>
      <c r="O14" s="1" t="str">
        <f t="array" ref="O14">IF(OR($L14=RANGPROC),"*","")</f>
        <v>*</v>
      </c>
    </row>
    <row r="15" spans="1:20" x14ac:dyDescent="0.25">
      <c r="A15" s="16">
        <v>1854</v>
      </c>
      <c r="B15" s="19">
        <v>0</v>
      </c>
      <c r="C15" s="2">
        <v>43703</v>
      </c>
      <c r="D15" s="2">
        <v>43700</v>
      </c>
      <c r="J15" t="str">
        <f>"GAGNER 14 RANGS"&amp;IF(VLOOKUP(VLOOKUP('Anim Commerciale'!$B$7,Paramètres!$A$2:$D$183,2,FALSE),Paramètres!$G$2:$H$5,1,FALSE)="A",M15,IF(VLOOKUP(VLOOKUP('Anim Commerciale'!$B$7,Paramètres!$A$2:$D$183,2,FALSE),Paramètres!$G$2:$H$5,1,FALSE)="B",N15,IF(VLOOKUP(VLOOKUP('Anim Commerciale'!$B$7,Paramètres!$A$2:$D$183,2,FALSE),Paramètres!$G$2:$H$5,1,FALSE)="C",O15,"")))</f>
        <v>GAGNER 14 RANGS*</v>
      </c>
      <c r="K15">
        <v>14</v>
      </c>
      <c r="L15">
        <f>VLOOKUP('Anim Commerciale'!$B$7,'Synthèse Magasins'!$B$61:$U$84:'Synthèse Magasins'!$B$40:$U$59:'Synthèse Magasins'!$B$7:$U$38,12,FALSE)-K15</f>
        <v>1</v>
      </c>
      <c r="M15" s="1" t="str">
        <f t="array" ref="M15">IF(OR($L15=RANGPROA),"*","")</f>
        <v>*</v>
      </c>
      <c r="N15" s="1" t="str">
        <f t="array" ref="N15">IF(OR($L15=RANGPROB),"*","")</f>
        <v>*</v>
      </c>
      <c r="O15" s="1" t="str">
        <f t="array" ref="O15">IF(OR($L15=RANGPROC),"*","")</f>
        <v>*</v>
      </c>
    </row>
    <row r="16" spans="1:20" x14ac:dyDescent="0.25">
      <c r="A16" s="15">
        <v>1837</v>
      </c>
      <c r="B16" s="19" t="s">
        <v>18</v>
      </c>
      <c r="C16" s="2">
        <v>43711</v>
      </c>
      <c r="D16" s="2">
        <v>43700</v>
      </c>
      <c r="J16" t="str">
        <f>"GAGNER 15 RANGS"&amp;IF(VLOOKUP(VLOOKUP('Anim Commerciale'!$B$7,Paramètres!$A$2:$D$183,2,FALSE),Paramètres!$G$2:$H$5,1,FALSE)="A",M16,IF(VLOOKUP(VLOOKUP('Anim Commerciale'!$B$7,Paramètres!$A$2:$D$183,2,FALSE),Paramètres!$G$2:$H$5,1,FALSE)="B",N16,IF(VLOOKUP(VLOOKUP('Anim Commerciale'!$B$7,Paramètres!$A$2:$D$183,2,FALSE),Paramètres!$G$2:$H$5,1,FALSE)="C",O16,"")))</f>
        <v>GAGNER 15 RANGS</v>
      </c>
      <c r="K16">
        <v>15</v>
      </c>
      <c r="L16">
        <f>VLOOKUP('Anim Commerciale'!$B$7,'Synthèse Magasins'!$B$61:$U$84:'Synthèse Magasins'!$B$40:$U$59:'Synthèse Magasins'!$B$7:$U$38,12,FALSE)-K16</f>
        <v>0</v>
      </c>
      <c r="M16" s="1" t="str">
        <f t="array" ref="M16">IF(OR($L16=RANGPROA),"*","")</f>
        <v/>
      </c>
      <c r="N16" s="1" t="str">
        <f t="array" ref="N16">IF(OR($L16=RANGPROB),"*","")</f>
        <v/>
      </c>
      <c r="O16" s="1" t="str">
        <f t="array" ref="O16">IF(OR($L16=RANGPROC),"*","")</f>
        <v/>
      </c>
    </row>
    <row r="17" spans="1:15" x14ac:dyDescent="0.25">
      <c r="A17" s="15">
        <v>1840</v>
      </c>
      <c r="B17" s="19" t="s">
        <v>16</v>
      </c>
      <c r="C17" s="2">
        <v>43711</v>
      </c>
      <c r="D17" s="2">
        <v>43700</v>
      </c>
      <c r="J17" t="str">
        <f>"GAGNER 16 RANGS"&amp;IF(VLOOKUP(VLOOKUP('Anim Commerciale'!$B$7,Paramètres!$A$2:$D$183,2,FALSE),Paramètres!$G$2:$H$5,1,FALSE)="A",M17,IF(VLOOKUP(VLOOKUP('Anim Commerciale'!$B$7,Paramètres!$A$2:$D$183,2,FALSE),Paramètres!$G$2:$H$5,1,FALSE)="B",N17,IF(VLOOKUP(VLOOKUP('Anim Commerciale'!$B$7,Paramètres!$A$2:$D$183,2,FALSE),Paramètres!$G$2:$H$5,1,FALSE)="C",O17,"")))</f>
        <v>GAGNER 16 RANGS</v>
      </c>
      <c r="K17">
        <v>16</v>
      </c>
      <c r="L17">
        <f>VLOOKUP('Anim Commerciale'!$B$7,'Synthèse Magasins'!$B$61:$U$84:'Synthèse Magasins'!$B$40:$U$59:'Synthèse Magasins'!$B$7:$U$38,12,FALSE)-K17</f>
        <v>-1</v>
      </c>
      <c r="M17" s="1" t="str">
        <f t="array" ref="M17">IF(OR($L17=RANGPROA),"*","")</f>
        <v/>
      </c>
      <c r="N17" s="1" t="str">
        <f t="array" ref="N17">IF(OR($L17=RANGPROB),"*","")</f>
        <v/>
      </c>
      <c r="O17" s="1" t="str">
        <f t="array" ref="O17">IF(OR($L17=RANGPROC),"*","")</f>
        <v/>
      </c>
    </row>
    <row r="18" spans="1:15" x14ac:dyDescent="0.25">
      <c r="A18" s="15">
        <v>1843</v>
      </c>
      <c r="B18" s="19" t="s">
        <v>17</v>
      </c>
      <c r="C18" s="2">
        <v>43711</v>
      </c>
      <c r="D18" s="2">
        <v>43700</v>
      </c>
      <c r="F18" s="92" t="s">
        <v>31</v>
      </c>
      <c r="J18" t="str">
        <f>"GAGNER 17 RANGS"&amp;IF(VLOOKUP(VLOOKUP('Anim Commerciale'!$B$7,Paramètres!$A$2:$D$183,2,FALSE),Paramètres!$G$2:$H$5,1,FALSE)="A",M18,IF(VLOOKUP(VLOOKUP('Anim Commerciale'!$B$7,Paramètres!$A$2:$D$183,2,FALSE),Paramètres!$G$2:$H$5,1,FALSE)="B",N18,IF(VLOOKUP(VLOOKUP('Anim Commerciale'!$B$7,Paramètres!$A$2:$D$183,2,FALSE),Paramètres!$G$2:$H$5,1,FALSE)="C",O18,"")))</f>
        <v>GAGNER 17 RANGS</v>
      </c>
      <c r="K18">
        <v>17</v>
      </c>
      <c r="L18">
        <f>VLOOKUP('Anim Commerciale'!$B$7,'Synthèse Magasins'!$B$61:$U$84:'Synthèse Magasins'!$B$40:$U$59:'Synthèse Magasins'!$B$7:$U$38,12,FALSE)-K18</f>
        <v>-2</v>
      </c>
      <c r="M18" s="1" t="str">
        <f t="array" ref="M18">IF(OR($L18=RANGPROA),"*","")</f>
        <v/>
      </c>
      <c r="N18" s="1" t="str">
        <f t="array" ref="N18">IF(OR($L18=RANGPROB),"*","")</f>
        <v/>
      </c>
      <c r="O18" s="1" t="str">
        <f t="array" ref="O18">IF(OR($L18=RANGPROC),"*","")</f>
        <v/>
      </c>
    </row>
    <row r="19" spans="1:15" x14ac:dyDescent="0.25">
      <c r="A19" s="15">
        <v>1850</v>
      </c>
      <c r="B19" s="19" t="s">
        <v>17</v>
      </c>
      <c r="C19" s="2">
        <v>43711</v>
      </c>
      <c r="D19" s="2">
        <v>43700</v>
      </c>
      <c r="F19" s="92">
        <v>43700</v>
      </c>
      <c r="J19" t="str">
        <f>"GAGNER 18 RANGS"&amp;IF(VLOOKUP(VLOOKUP('Anim Commerciale'!$B$7,Paramètres!$A$2:$D$183,2,FALSE),Paramètres!$G$2:$H$5,1,FALSE)="A",M19,IF(VLOOKUP(VLOOKUP('Anim Commerciale'!$B$7,Paramètres!$A$2:$D$183,2,FALSE),Paramètres!$G$2:$H$5,1,FALSE)="B",N19,IF(VLOOKUP(VLOOKUP('Anim Commerciale'!$B$7,Paramètres!$A$2:$D$183,2,FALSE),Paramètres!$G$2:$H$5,1,FALSE)="C",O19,"")))</f>
        <v>GAGNER 18 RANGS</v>
      </c>
      <c r="K19">
        <v>18</v>
      </c>
      <c r="L19">
        <f>VLOOKUP('Anim Commerciale'!$B$7,'Synthèse Magasins'!$B$61:$U$84:'Synthèse Magasins'!$B$40:$U$59:'Synthèse Magasins'!$B$7:$U$38,12,FALSE)-K19</f>
        <v>-3</v>
      </c>
      <c r="M19" s="1" t="str">
        <f t="array" ref="M19">IF(OR($L19=RANGPROA),"*","")</f>
        <v/>
      </c>
      <c r="N19" s="1" t="str">
        <f t="array" ref="N19">IF(OR($L19=RANGPROB),"*","")</f>
        <v/>
      </c>
      <c r="O19" s="1" t="str">
        <f t="array" ref="O19">IF(OR($L19=RANGPROC),"*","")</f>
        <v/>
      </c>
    </row>
    <row r="20" spans="1:15" x14ac:dyDescent="0.25">
      <c r="A20" s="15">
        <v>51851</v>
      </c>
      <c r="B20" s="19" t="s">
        <v>16</v>
      </c>
      <c r="C20" s="2">
        <v>43711</v>
      </c>
      <c r="D20" s="2">
        <v>43700</v>
      </c>
      <c r="F20" s="92">
        <v>43717</v>
      </c>
      <c r="J20" t="str">
        <f>"GAGNER 19 RANGS"&amp;IF(VLOOKUP(VLOOKUP('Anim Commerciale'!$B$7,Paramètres!$A$2:$D$183,2,FALSE),Paramètres!$G$2:$H$5,1,FALSE)="A",M20,IF(VLOOKUP(VLOOKUP('Anim Commerciale'!$B$7,Paramètres!$A$2:$D$183,2,FALSE),Paramètres!$G$2:$H$5,1,FALSE)="B",N20,IF(VLOOKUP(VLOOKUP('Anim Commerciale'!$B$7,Paramètres!$A$2:$D$183,2,FALSE),Paramètres!$G$2:$H$5,1,FALSE)="C",O20,"")))</f>
        <v>GAGNER 19 RANGS</v>
      </c>
      <c r="K20">
        <v>19</v>
      </c>
      <c r="L20">
        <f>VLOOKUP('Anim Commerciale'!$B$7,'Synthèse Magasins'!$B$61:$U$84:'Synthèse Magasins'!$B$40:$U$59:'Synthèse Magasins'!$B$7:$U$38,12,FALSE)-K20</f>
        <v>-4</v>
      </c>
      <c r="M20" s="1" t="str">
        <f t="array" ref="M20">IF(OR($L20=RANGPROA),"*","")</f>
        <v/>
      </c>
      <c r="N20" s="1" t="str">
        <f t="array" ref="N20">IF(OR($L20=RANGPROB),"*","")</f>
        <v/>
      </c>
      <c r="O20" s="1" t="str">
        <f t="array" ref="O20">IF(OR($L20=RANGPROC),"*","")</f>
        <v/>
      </c>
    </row>
    <row r="21" spans="1:15" x14ac:dyDescent="0.25">
      <c r="A21" s="16">
        <v>1851</v>
      </c>
      <c r="B21" s="19">
        <v>0</v>
      </c>
      <c r="C21" s="2">
        <v>43711</v>
      </c>
      <c r="D21" s="2">
        <v>43700</v>
      </c>
      <c r="F21" s="90">
        <v>1842</v>
      </c>
      <c r="J21" t="str">
        <f>"GAGNER 20 RANGS"&amp;IF(VLOOKUP(VLOOKUP('Anim Commerciale'!$B$7,Paramètres!$A$2:$D$183,2,FALSE),Paramètres!$G$2:$H$5,1,FALSE)="A",M21,IF(VLOOKUP(VLOOKUP('Anim Commerciale'!$B$7,Paramètres!$A$2:$D$183,2,FALSE),Paramètres!$G$2:$H$5,1,FALSE)="B",N21,IF(VLOOKUP(VLOOKUP('Anim Commerciale'!$B$7,Paramètres!$A$2:$D$183,2,FALSE),Paramètres!$G$2:$H$5,1,FALSE)="C",O21,"")))</f>
        <v>GAGNER 20 RANGS</v>
      </c>
      <c r="K21">
        <v>20</v>
      </c>
      <c r="L21">
        <f>VLOOKUP('Anim Commerciale'!$B$7,'Synthèse Magasins'!$B$61:$U$84:'Synthèse Magasins'!$B$40:$U$59:'Synthèse Magasins'!$B$7:$U$38,12,FALSE)-K21</f>
        <v>-5</v>
      </c>
      <c r="M21" s="1" t="str">
        <f t="array" ref="M21">IF(OR($L21=RANGPROA),"*","")</f>
        <v/>
      </c>
      <c r="N21" s="1" t="str">
        <f t="array" ref="N21">IF(OR($L21=RANGPROB),"*","")</f>
        <v/>
      </c>
      <c r="O21" s="1" t="str">
        <f t="array" ref="O21">IF(OR($L21=RANGPROC),"*","")</f>
        <v/>
      </c>
    </row>
    <row r="22" spans="1:15" x14ac:dyDescent="0.25">
      <c r="A22" s="16">
        <v>1864</v>
      </c>
      <c r="B22" s="19">
        <v>0</v>
      </c>
      <c r="C22" s="2">
        <v>43711</v>
      </c>
      <c r="D22" s="2">
        <v>43700</v>
      </c>
      <c r="F22" s="90">
        <v>51845</v>
      </c>
    </row>
    <row r="23" spans="1:15" x14ac:dyDescent="0.25">
      <c r="A23" s="16">
        <v>1838</v>
      </c>
      <c r="B23" s="19">
        <v>0</v>
      </c>
      <c r="C23" s="2">
        <v>43711</v>
      </c>
      <c r="D23" s="2">
        <v>43700</v>
      </c>
      <c r="F23" s="91">
        <v>1845</v>
      </c>
    </row>
    <row r="24" spans="1:15" x14ac:dyDescent="0.25">
      <c r="A24" s="15">
        <v>51859</v>
      </c>
      <c r="B24" s="19" t="s">
        <v>16</v>
      </c>
      <c r="C24" s="2">
        <v>43711</v>
      </c>
      <c r="D24" s="2">
        <v>43700</v>
      </c>
      <c r="F24" s="90">
        <v>1865</v>
      </c>
      <c r="L24" s="27"/>
    </row>
    <row r="25" spans="1:15" x14ac:dyDescent="0.25">
      <c r="A25" s="16">
        <v>1858</v>
      </c>
      <c r="B25" s="19">
        <v>0</v>
      </c>
      <c r="C25" s="2">
        <v>43711</v>
      </c>
      <c r="D25" s="2">
        <v>43700</v>
      </c>
      <c r="F25" s="90">
        <v>1846</v>
      </c>
    </row>
    <row r="26" spans="1:15" x14ac:dyDescent="0.25">
      <c r="A26" s="16">
        <v>1859</v>
      </c>
      <c r="B26" s="19">
        <v>0</v>
      </c>
      <c r="C26" s="2">
        <v>43711</v>
      </c>
      <c r="D26" s="2">
        <v>43700</v>
      </c>
      <c r="F26" s="90">
        <v>51855</v>
      </c>
    </row>
    <row r="27" spans="1:15" x14ac:dyDescent="0.25">
      <c r="A27" s="16">
        <v>1860</v>
      </c>
      <c r="B27" s="19">
        <v>0</v>
      </c>
      <c r="C27" s="2">
        <v>43711</v>
      </c>
      <c r="D27" s="2">
        <v>43700</v>
      </c>
      <c r="F27" s="90">
        <v>1855</v>
      </c>
    </row>
    <row r="28" spans="1:15" x14ac:dyDescent="0.25">
      <c r="A28" s="15">
        <v>1842</v>
      </c>
      <c r="B28" s="19" t="s">
        <v>18</v>
      </c>
      <c r="C28" s="2">
        <v>43717</v>
      </c>
      <c r="D28" s="2">
        <v>43700</v>
      </c>
      <c r="F28" s="90">
        <v>1857</v>
      </c>
    </row>
    <row r="29" spans="1:15" x14ac:dyDescent="0.25">
      <c r="A29" s="15">
        <v>51845</v>
      </c>
      <c r="B29" s="19" t="s">
        <v>16</v>
      </c>
      <c r="C29" s="2">
        <v>43717</v>
      </c>
      <c r="D29" s="2">
        <v>43700</v>
      </c>
      <c r="F29" s="90">
        <v>1856</v>
      </c>
    </row>
    <row r="30" spans="1:15" x14ac:dyDescent="0.25">
      <c r="A30" s="17">
        <v>1845</v>
      </c>
      <c r="B30" s="19">
        <v>0</v>
      </c>
      <c r="C30" s="2">
        <v>43717</v>
      </c>
      <c r="D30" s="2">
        <v>43700</v>
      </c>
    </row>
    <row r="31" spans="1:15" x14ac:dyDescent="0.25">
      <c r="A31" s="16">
        <v>1865</v>
      </c>
      <c r="B31" s="19">
        <v>0</v>
      </c>
      <c r="C31" s="2">
        <v>43717</v>
      </c>
      <c r="D31" s="2">
        <v>43700</v>
      </c>
    </row>
    <row r="32" spans="1:15" x14ac:dyDescent="0.25">
      <c r="A32" s="15">
        <v>1846</v>
      </c>
      <c r="B32" s="19" t="s">
        <v>18</v>
      </c>
      <c r="C32" s="2">
        <v>43717</v>
      </c>
      <c r="D32" s="2">
        <v>43700</v>
      </c>
    </row>
    <row r="33" spans="1:4" x14ac:dyDescent="0.25">
      <c r="A33" s="15">
        <v>51855</v>
      </c>
      <c r="B33" s="19" t="s">
        <v>16</v>
      </c>
      <c r="C33" s="2">
        <v>43717</v>
      </c>
      <c r="D33" s="2">
        <v>43700</v>
      </c>
    </row>
    <row r="34" spans="1:4" x14ac:dyDescent="0.25">
      <c r="A34" s="16">
        <v>1855</v>
      </c>
      <c r="B34" s="19">
        <v>0</v>
      </c>
      <c r="C34" s="2">
        <v>43717</v>
      </c>
      <c r="D34" s="2">
        <v>43700</v>
      </c>
    </row>
    <row r="35" spans="1:4" x14ac:dyDescent="0.25">
      <c r="A35" s="16">
        <v>1857</v>
      </c>
      <c r="B35" s="19">
        <v>0</v>
      </c>
      <c r="C35" s="2">
        <v>43717</v>
      </c>
      <c r="D35" s="2">
        <v>43700</v>
      </c>
    </row>
    <row r="36" spans="1:4" x14ac:dyDescent="0.25">
      <c r="A36" s="15">
        <v>1856</v>
      </c>
      <c r="B36" s="19" t="s">
        <v>18</v>
      </c>
      <c r="C36" s="2">
        <v>43717</v>
      </c>
      <c r="D36" s="2">
        <v>43700</v>
      </c>
    </row>
    <row r="37" spans="1:4" x14ac:dyDescent="0.25">
      <c r="A37" s="15">
        <v>1831</v>
      </c>
      <c r="B37" s="19" t="s">
        <v>17</v>
      </c>
      <c r="C37" s="2">
        <v>43739</v>
      </c>
      <c r="D37" s="2">
        <v>43700</v>
      </c>
    </row>
    <row r="38" spans="1:4" x14ac:dyDescent="0.25">
      <c r="A38" s="15">
        <v>51848</v>
      </c>
      <c r="B38" s="19" t="s">
        <v>16</v>
      </c>
      <c r="C38" s="2">
        <v>43739</v>
      </c>
      <c r="D38" s="2">
        <v>43700</v>
      </c>
    </row>
    <row r="39" spans="1:4" x14ac:dyDescent="0.25">
      <c r="A39" s="16">
        <v>1848</v>
      </c>
      <c r="B39" s="19">
        <v>0</v>
      </c>
      <c r="C39" s="2">
        <v>43739</v>
      </c>
      <c r="D39" s="2">
        <v>43700</v>
      </c>
    </row>
    <row r="40" spans="1:4" x14ac:dyDescent="0.25">
      <c r="A40" s="17">
        <v>1870</v>
      </c>
      <c r="B40" s="19">
        <v>0</v>
      </c>
      <c r="C40" s="2">
        <v>43739</v>
      </c>
      <c r="D40" s="2">
        <v>43700</v>
      </c>
    </row>
    <row r="41" spans="1:4" x14ac:dyDescent="0.25">
      <c r="A41" s="15">
        <v>51852</v>
      </c>
      <c r="B41" s="19" t="s">
        <v>16</v>
      </c>
      <c r="C41" s="2">
        <v>43739</v>
      </c>
      <c r="D41" s="2">
        <v>43700</v>
      </c>
    </row>
    <row r="42" spans="1:4" x14ac:dyDescent="0.25">
      <c r="A42" s="16">
        <v>1852</v>
      </c>
      <c r="B42" s="19">
        <v>0</v>
      </c>
      <c r="C42" s="2">
        <v>43739</v>
      </c>
      <c r="D42" s="2">
        <v>43700</v>
      </c>
    </row>
    <row r="43" spans="1:4" x14ac:dyDescent="0.25">
      <c r="A43" s="16">
        <v>1873</v>
      </c>
      <c r="B43" s="19">
        <v>0</v>
      </c>
      <c r="C43" s="2">
        <v>43739</v>
      </c>
      <c r="D43" s="2">
        <v>43700</v>
      </c>
    </row>
    <row r="44" spans="1:4" x14ac:dyDescent="0.25">
      <c r="A44" s="15">
        <v>1834</v>
      </c>
      <c r="B44" s="19" t="s">
        <v>17</v>
      </c>
      <c r="C44" s="2">
        <v>43741</v>
      </c>
      <c r="D44" s="2">
        <v>43700</v>
      </c>
    </row>
    <row r="45" spans="1:4" x14ac:dyDescent="0.25">
      <c r="A45" s="15">
        <v>51835</v>
      </c>
      <c r="B45" s="19" t="s">
        <v>16</v>
      </c>
      <c r="C45" s="2">
        <v>43741</v>
      </c>
      <c r="D45" s="2">
        <v>43700</v>
      </c>
    </row>
    <row r="46" spans="1:4" x14ac:dyDescent="0.25">
      <c r="A46" s="16">
        <v>1825</v>
      </c>
      <c r="B46" s="19">
        <v>0</v>
      </c>
      <c r="C46" s="2">
        <v>43741</v>
      </c>
      <c r="D46" s="2">
        <v>43700</v>
      </c>
    </row>
    <row r="47" spans="1:4" x14ac:dyDescent="0.25">
      <c r="A47" s="17">
        <v>1835</v>
      </c>
      <c r="B47" s="19">
        <v>0</v>
      </c>
      <c r="C47" s="2">
        <v>43741</v>
      </c>
      <c r="D47" s="2">
        <v>43700</v>
      </c>
    </row>
    <row r="48" spans="1:4" x14ac:dyDescent="0.25">
      <c r="A48" s="16">
        <v>1878</v>
      </c>
      <c r="B48" s="19">
        <v>0</v>
      </c>
      <c r="C48" s="2">
        <v>43741</v>
      </c>
      <c r="D48" s="2">
        <v>43700</v>
      </c>
    </row>
    <row r="49" spans="1:4" x14ac:dyDescent="0.25">
      <c r="A49" s="15">
        <v>1836</v>
      </c>
      <c r="B49" s="19" t="s">
        <v>17</v>
      </c>
      <c r="C49" s="2">
        <v>43741</v>
      </c>
      <c r="D49" s="2">
        <v>43700</v>
      </c>
    </row>
    <row r="50" spans="1:4" x14ac:dyDescent="0.25">
      <c r="A50" s="15">
        <v>51853</v>
      </c>
      <c r="B50" s="19" t="s">
        <v>16</v>
      </c>
      <c r="C50" s="2">
        <v>43741</v>
      </c>
      <c r="D50" s="2">
        <v>43700</v>
      </c>
    </row>
    <row r="51" spans="1:4" x14ac:dyDescent="0.25">
      <c r="A51" s="16">
        <v>1824</v>
      </c>
      <c r="B51" s="19">
        <v>0</v>
      </c>
      <c r="C51" s="2">
        <v>43741</v>
      </c>
      <c r="D51" s="2">
        <v>43700</v>
      </c>
    </row>
    <row r="52" spans="1:4" x14ac:dyDescent="0.25">
      <c r="A52" s="16">
        <v>1853</v>
      </c>
      <c r="B52" s="19">
        <v>0</v>
      </c>
      <c r="C52" s="2">
        <v>43741</v>
      </c>
      <c r="D52" s="2">
        <v>43700</v>
      </c>
    </row>
    <row r="53" spans="1:4" x14ac:dyDescent="0.25">
      <c r="A53" s="3">
        <v>51200</v>
      </c>
      <c r="B53" s="20" t="s">
        <v>16</v>
      </c>
      <c r="C53" s="21">
        <v>43733</v>
      </c>
      <c r="D53" s="21">
        <v>43780</v>
      </c>
    </row>
    <row r="54" spans="1:4" x14ac:dyDescent="0.25">
      <c r="A54" s="4">
        <v>1200</v>
      </c>
      <c r="B54" s="20">
        <v>0</v>
      </c>
      <c r="C54" s="21">
        <v>43733</v>
      </c>
      <c r="D54" s="21">
        <v>43780</v>
      </c>
    </row>
    <row r="55" spans="1:4" x14ac:dyDescent="0.25">
      <c r="A55" s="4">
        <v>1236</v>
      </c>
      <c r="B55" s="20">
        <v>0</v>
      </c>
      <c r="C55" s="21">
        <v>43733</v>
      </c>
      <c r="D55" s="21">
        <v>43780</v>
      </c>
    </row>
    <row r="56" spans="1:4" x14ac:dyDescent="0.25">
      <c r="A56" s="4">
        <v>1237</v>
      </c>
      <c r="B56" s="20">
        <v>0</v>
      </c>
      <c r="C56" s="21">
        <v>43733</v>
      </c>
      <c r="D56" s="21">
        <v>43780</v>
      </c>
    </row>
    <row r="57" spans="1:4" x14ac:dyDescent="0.25">
      <c r="A57" s="4">
        <v>1240</v>
      </c>
      <c r="B57" s="20">
        <v>0</v>
      </c>
      <c r="C57" s="21">
        <v>43733</v>
      </c>
      <c r="D57" s="21">
        <v>43780</v>
      </c>
    </row>
    <row r="58" spans="1:4" x14ac:dyDescent="0.25">
      <c r="A58" s="3">
        <v>51232</v>
      </c>
      <c r="B58" s="20" t="s">
        <v>17</v>
      </c>
      <c r="C58" s="21">
        <v>43733</v>
      </c>
      <c r="D58" s="21">
        <v>43780</v>
      </c>
    </row>
    <row r="59" spans="1:4" x14ac:dyDescent="0.25">
      <c r="A59" s="4">
        <v>1232</v>
      </c>
      <c r="B59" s="20">
        <v>0</v>
      </c>
      <c r="C59" s="21">
        <v>43733</v>
      </c>
      <c r="D59" s="21">
        <v>43780</v>
      </c>
    </row>
    <row r="60" spans="1:4" x14ac:dyDescent="0.25">
      <c r="A60" s="5">
        <v>1239</v>
      </c>
      <c r="B60" s="20">
        <v>0</v>
      </c>
      <c r="C60" s="21">
        <v>43733</v>
      </c>
      <c r="D60" s="21">
        <v>43780</v>
      </c>
    </row>
    <row r="61" spans="1:4" x14ac:dyDescent="0.25">
      <c r="A61" s="3">
        <v>1235</v>
      </c>
      <c r="B61" s="20" t="s">
        <v>18</v>
      </c>
      <c r="C61" s="21">
        <v>43733</v>
      </c>
      <c r="D61" s="21">
        <v>43780</v>
      </c>
    </row>
    <row r="62" spans="1:4" x14ac:dyDescent="0.25">
      <c r="A62" s="6">
        <v>51734</v>
      </c>
      <c r="B62" s="20" t="s">
        <v>16</v>
      </c>
      <c r="C62" s="21">
        <v>43763</v>
      </c>
      <c r="D62" s="21">
        <v>43780</v>
      </c>
    </row>
    <row r="63" spans="1:4" x14ac:dyDescent="0.25">
      <c r="A63" s="5">
        <v>1734</v>
      </c>
      <c r="B63" s="20">
        <v>0</v>
      </c>
      <c r="C63" s="21">
        <v>43763</v>
      </c>
      <c r="D63" s="21">
        <v>43780</v>
      </c>
    </row>
    <row r="64" spans="1:4" x14ac:dyDescent="0.25">
      <c r="A64" s="5">
        <v>1739</v>
      </c>
      <c r="B64" s="20">
        <v>0</v>
      </c>
      <c r="C64" s="21">
        <v>43763</v>
      </c>
      <c r="D64" s="21">
        <v>43780</v>
      </c>
    </row>
    <row r="65" spans="1:4" x14ac:dyDescent="0.25">
      <c r="A65" s="5">
        <v>1748</v>
      </c>
      <c r="B65" s="20">
        <v>0</v>
      </c>
      <c r="C65" s="21">
        <v>43763</v>
      </c>
      <c r="D65" s="21">
        <v>43780</v>
      </c>
    </row>
    <row r="66" spans="1:4" x14ac:dyDescent="0.25">
      <c r="A66" s="3">
        <v>51736</v>
      </c>
      <c r="B66" s="20" t="s">
        <v>17</v>
      </c>
      <c r="C66" s="21">
        <v>43763</v>
      </c>
      <c r="D66" s="21">
        <v>43780</v>
      </c>
    </row>
    <row r="67" spans="1:4" x14ac:dyDescent="0.25">
      <c r="A67" s="5">
        <v>1736</v>
      </c>
      <c r="B67" s="20">
        <v>0</v>
      </c>
      <c r="C67" s="21">
        <v>43763</v>
      </c>
      <c r="D67" s="21">
        <v>43780</v>
      </c>
    </row>
    <row r="68" spans="1:4" x14ac:dyDescent="0.25">
      <c r="A68" s="5">
        <v>1744</v>
      </c>
      <c r="B68" s="20">
        <v>0</v>
      </c>
      <c r="C68" s="21">
        <v>43763</v>
      </c>
      <c r="D68" s="21">
        <v>43780</v>
      </c>
    </row>
    <row r="69" spans="1:4" x14ac:dyDescent="0.25">
      <c r="A69" s="3">
        <v>1741</v>
      </c>
      <c r="B69" s="20" t="s">
        <v>18</v>
      </c>
      <c r="C69" s="21">
        <v>43763</v>
      </c>
      <c r="D69" s="21">
        <v>43780</v>
      </c>
    </row>
    <row r="70" spans="1:4" x14ac:dyDescent="0.25">
      <c r="A70" s="6">
        <v>53500</v>
      </c>
      <c r="B70" s="20" t="s">
        <v>16</v>
      </c>
      <c r="C70" s="21">
        <v>43765</v>
      </c>
      <c r="D70" s="21">
        <v>43780</v>
      </c>
    </row>
    <row r="71" spans="1:4" x14ac:dyDescent="0.25">
      <c r="A71" s="5">
        <v>3500</v>
      </c>
      <c r="B71" s="20">
        <v>0</v>
      </c>
      <c r="C71" s="21">
        <v>43765</v>
      </c>
      <c r="D71" s="21">
        <v>43780</v>
      </c>
    </row>
    <row r="72" spans="1:4" x14ac:dyDescent="0.25">
      <c r="A72" s="4">
        <v>3536</v>
      </c>
      <c r="B72" s="20">
        <v>0</v>
      </c>
      <c r="C72" s="21">
        <v>43765</v>
      </c>
      <c r="D72" s="21">
        <v>43780</v>
      </c>
    </row>
    <row r="73" spans="1:4" x14ac:dyDescent="0.25">
      <c r="A73" s="3">
        <v>3532</v>
      </c>
      <c r="B73" s="20" t="s">
        <v>18</v>
      </c>
      <c r="C73" s="21">
        <v>43765</v>
      </c>
      <c r="D73" s="21">
        <v>43780</v>
      </c>
    </row>
    <row r="74" spans="1:4" x14ac:dyDescent="0.25">
      <c r="A74" s="6">
        <v>53533</v>
      </c>
      <c r="B74" s="20" t="s">
        <v>16</v>
      </c>
      <c r="C74" s="21">
        <v>43765</v>
      </c>
      <c r="D74" s="21">
        <v>43780</v>
      </c>
    </row>
    <row r="75" spans="1:4" x14ac:dyDescent="0.25">
      <c r="A75" s="5">
        <v>3533</v>
      </c>
      <c r="B75" s="20">
        <v>0</v>
      </c>
      <c r="C75" s="21">
        <v>43765</v>
      </c>
      <c r="D75" s="21">
        <v>43780</v>
      </c>
    </row>
    <row r="76" spans="1:4" x14ac:dyDescent="0.25">
      <c r="A76" s="5">
        <v>3534</v>
      </c>
      <c r="B76" s="20">
        <v>0</v>
      </c>
      <c r="C76" s="21">
        <v>43765</v>
      </c>
      <c r="D76" s="21">
        <v>43780</v>
      </c>
    </row>
    <row r="77" spans="1:4" x14ac:dyDescent="0.25">
      <c r="A77" s="5">
        <v>3537</v>
      </c>
      <c r="B77" s="20">
        <v>0</v>
      </c>
      <c r="C77" s="21">
        <v>43765</v>
      </c>
      <c r="D77" s="21">
        <v>43780</v>
      </c>
    </row>
    <row r="78" spans="1:4" x14ac:dyDescent="0.25">
      <c r="A78" s="6">
        <v>3535</v>
      </c>
      <c r="B78" s="20" t="s">
        <v>17</v>
      </c>
      <c r="C78" s="21">
        <v>43765</v>
      </c>
      <c r="D78" s="21">
        <v>43780</v>
      </c>
    </row>
    <row r="79" spans="1:4" x14ac:dyDescent="0.25">
      <c r="A79" s="6">
        <v>53542</v>
      </c>
      <c r="B79" s="20" t="s">
        <v>17</v>
      </c>
      <c r="C79" s="21">
        <v>43765</v>
      </c>
      <c r="D79" s="21">
        <v>43780</v>
      </c>
    </row>
    <row r="80" spans="1:4" x14ac:dyDescent="0.25">
      <c r="A80" s="5">
        <v>3539</v>
      </c>
      <c r="B80" s="20">
        <v>0</v>
      </c>
      <c r="C80" s="21">
        <v>43765</v>
      </c>
      <c r="D80" s="21">
        <v>43780</v>
      </c>
    </row>
    <row r="81" spans="1:4" x14ac:dyDescent="0.25">
      <c r="A81" s="5">
        <v>3542</v>
      </c>
      <c r="B81" s="20">
        <v>0</v>
      </c>
      <c r="C81" s="21">
        <v>43765</v>
      </c>
      <c r="D81" s="21">
        <v>43780</v>
      </c>
    </row>
    <row r="82" spans="1:4" x14ac:dyDescent="0.25">
      <c r="A82" s="6">
        <v>53538</v>
      </c>
      <c r="B82" s="20" t="s">
        <v>16</v>
      </c>
      <c r="C82" s="21">
        <v>43765</v>
      </c>
      <c r="D82" s="21">
        <v>43780</v>
      </c>
    </row>
    <row r="83" spans="1:4" x14ac:dyDescent="0.25">
      <c r="A83" s="5">
        <v>3538</v>
      </c>
      <c r="B83" s="20">
        <v>0</v>
      </c>
      <c r="C83" s="21">
        <v>43765</v>
      </c>
      <c r="D83" s="21">
        <v>43780</v>
      </c>
    </row>
    <row r="84" spans="1:4" x14ac:dyDescent="0.25">
      <c r="A84" s="5">
        <v>3540</v>
      </c>
      <c r="B84" s="20">
        <v>0</v>
      </c>
      <c r="C84" s="21">
        <v>43765</v>
      </c>
      <c r="D84" s="21">
        <v>43780</v>
      </c>
    </row>
    <row r="85" spans="1:4" x14ac:dyDescent="0.25">
      <c r="A85" s="5">
        <v>3541</v>
      </c>
      <c r="B85" s="20">
        <v>0</v>
      </c>
      <c r="C85" s="21">
        <v>43765</v>
      </c>
      <c r="D85" s="21">
        <v>43780</v>
      </c>
    </row>
    <row r="86" spans="1:4" x14ac:dyDescent="0.25">
      <c r="A86" s="6">
        <v>51700</v>
      </c>
      <c r="B86" s="20" t="s">
        <v>16</v>
      </c>
      <c r="C86" s="21">
        <v>43783</v>
      </c>
      <c r="D86" s="21">
        <v>43780</v>
      </c>
    </row>
    <row r="87" spans="1:4" x14ac:dyDescent="0.25">
      <c r="A87" s="5">
        <v>1700</v>
      </c>
      <c r="B87" s="20">
        <v>0</v>
      </c>
      <c r="C87" s="21">
        <v>43783</v>
      </c>
      <c r="D87" s="21">
        <v>43780</v>
      </c>
    </row>
    <row r="88" spans="1:4" x14ac:dyDescent="0.25">
      <c r="A88" s="5">
        <v>1737</v>
      </c>
      <c r="B88" s="20">
        <v>0</v>
      </c>
      <c r="C88" s="21">
        <v>43783</v>
      </c>
      <c r="D88" s="21">
        <v>43780</v>
      </c>
    </row>
    <row r="89" spans="1:4" x14ac:dyDescent="0.25">
      <c r="A89" s="5">
        <v>1747</v>
      </c>
      <c r="B89" s="20">
        <v>0</v>
      </c>
      <c r="C89" s="21">
        <v>43783</v>
      </c>
      <c r="D89" s="21">
        <v>43780</v>
      </c>
    </row>
    <row r="90" spans="1:4" x14ac:dyDescent="0.25">
      <c r="A90" s="6">
        <v>51731</v>
      </c>
      <c r="B90" s="20" t="s">
        <v>17</v>
      </c>
      <c r="C90" s="21">
        <v>43783</v>
      </c>
      <c r="D90" s="21">
        <v>43780</v>
      </c>
    </row>
    <row r="91" spans="1:4" x14ac:dyDescent="0.25">
      <c r="A91" s="5">
        <v>1731</v>
      </c>
      <c r="B91" s="20">
        <v>0</v>
      </c>
      <c r="C91" s="21">
        <v>43783</v>
      </c>
      <c r="D91" s="21">
        <v>43780</v>
      </c>
    </row>
    <row r="92" spans="1:4" x14ac:dyDescent="0.25">
      <c r="A92" s="4">
        <v>1749</v>
      </c>
      <c r="B92" s="20">
        <v>0</v>
      </c>
      <c r="C92" s="21">
        <v>43783</v>
      </c>
      <c r="D92" s="21">
        <v>43780</v>
      </c>
    </row>
    <row r="93" spans="1:4" x14ac:dyDescent="0.25">
      <c r="A93" s="6">
        <v>51735</v>
      </c>
      <c r="B93" s="20" t="s">
        <v>16</v>
      </c>
      <c r="C93" s="21">
        <v>43783</v>
      </c>
      <c r="D93" s="21">
        <v>43780</v>
      </c>
    </row>
    <row r="94" spans="1:4" x14ac:dyDescent="0.25">
      <c r="A94" s="5">
        <v>1733</v>
      </c>
      <c r="B94" s="20">
        <v>0</v>
      </c>
      <c r="C94" s="21">
        <v>43783</v>
      </c>
      <c r="D94" s="21">
        <v>43780</v>
      </c>
    </row>
    <row r="95" spans="1:4" x14ac:dyDescent="0.25">
      <c r="A95" s="5">
        <v>1735</v>
      </c>
      <c r="B95" s="20">
        <v>0</v>
      </c>
      <c r="C95" s="21">
        <v>43783</v>
      </c>
      <c r="D95" s="21">
        <v>43780</v>
      </c>
    </row>
    <row r="96" spans="1:4" x14ac:dyDescent="0.25">
      <c r="A96" s="6">
        <v>51738</v>
      </c>
      <c r="B96" s="20" t="s">
        <v>16</v>
      </c>
      <c r="C96" s="21">
        <v>43783</v>
      </c>
      <c r="D96" s="21">
        <v>43780</v>
      </c>
    </row>
    <row r="97" spans="1:4" x14ac:dyDescent="0.25">
      <c r="A97" s="5">
        <v>1738</v>
      </c>
      <c r="B97" s="20">
        <v>0</v>
      </c>
      <c r="C97" s="21">
        <v>43783</v>
      </c>
      <c r="D97" s="21">
        <v>43780</v>
      </c>
    </row>
    <row r="98" spans="1:4" x14ac:dyDescent="0.25">
      <c r="A98" s="5">
        <v>1754</v>
      </c>
      <c r="B98" s="20">
        <v>0</v>
      </c>
      <c r="C98" s="21">
        <v>43783</v>
      </c>
      <c r="D98" s="21">
        <v>43780</v>
      </c>
    </row>
    <row r="99" spans="1:4" x14ac:dyDescent="0.25">
      <c r="A99" s="4">
        <v>1755</v>
      </c>
      <c r="B99" s="20">
        <v>0</v>
      </c>
      <c r="C99" s="21">
        <v>43783</v>
      </c>
      <c r="D99" s="21">
        <v>43780</v>
      </c>
    </row>
    <row r="100" spans="1:4" x14ac:dyDescent="0.25">
      <c r="A100" s="6">
        <v>1743</v>
      </c>
      <c r="B100" s="20" t="s">
        <v>18</v>
      </c>
      <c r="C100" s="21">
        <v>43783</v>
      </c>
      <c r="D100" s="21">
        <v>43780</v>
      </c>
    </row>
    <row r="101" spans="1:4" x14ac:dyDescent="0.25">
      <c r="A101" s="6">
        <v>51732</v>
      </c>
      <c r="B101" s="20" t="s">
        <v>16</v>
      </c>
      <c r="C101" s="21">
        <v>43787</v>
      </c>
      <c r="D101" s="21">
        <v>43780</v>
      </c>
    </row>
    <row r="102" spans="1:4" x14ac:dyDescent="0.25">
      <c r="A102" s="5">
        <v>1732</v>
      </c>
      <c r="B102" s="20">
        <v>0</v>
      </c>
      <c r="C102" s="21">
        <v>43787</v>
      </c>
      <c r="D102" s="21">
        <v>43780</v>
      </c>
    </row>
    <row r="103" spans="1:4" x14ac:dyDescent="0.25">
      <c r="A103" s="5">
        <v>1742</v>
      </c>
      <c r="B103" s="20">
        <v>0</v>
      </c>
      <c r="C103" s="21">
        <v>43787</v>
      </c>
      <c r="D103" s="21">
        <v>43780</v>
      </c>
    </row>
    <row r="104" spans="1:4" x14ac:dyDescent="0.25">
      <c r="A104" s="5">
        <v>1745</v>
      </c>
      <c r="B104" s="20">
        <v>0</v>
      </c>
      <c r="C104" s="21">
        <v>43787</v>
      </c>
      <c r="D104" s="21">
        <v>43780</v>
      </c>
    </row>
    <row r="105" spans="1:4" x14ac:dyDescent="0.25">
      <c r="A105" s="6">
        <v>51746</v>
      </c>
      <c r="B105" s="20" t="s">
        <v>16</v>
      </c>
      <c r="C105" s="21">
        <v>43787</v>
      </c>
      <c r="D105" s="21">
        <v>43780</v>
      </c>
    </row>
    <row r="106" spans="1:4" x14ac:dyDescent="0.25">
      <c r="A106" s="5">
        <v>1740</v>
      </c>
      <c r="B106" s="20">
        <v>0</v>
      </c>
      <c r="C106" s="21">
        <v>43787</v>
      </c>
      <c r="D106" s="21">
        <v>43780</v>
      </c>
    </row>
    <row r="107" spans="1:4" x14ac:dyDescent="0.25">
      <c r="A107" s="5">
        <v>1746</v>
      </c>
      <c r="B107" s="20">
        <v>0</v>
      </c>
      <c r="C107" s="21">
        <v>43787</v>
      </c>
      <c r="D107" s="21">
        <v>43780</v>
      </c>
    </row>
    <row r="108" spans="1:4" x14ac:dyDescent="0.25">
      <c r="A108" s="5">
        <v>1753</v>
      </c>
      <c r="B108" s="20">
        <v>0</v>
      </c>
      <c r="C108" s="21">
        <v>43787</v>
      </c>
      <c r="D108" s="21">
        <v>43780</v>
      </c>
    </row>
    <row r="109" spans="1:4" x14ac:dyDescent="0.25">
      <c r="A109" s="7">
        <v>57800</v>
      </c>
      <c r="B109" s="22" t="s">
        <v>16</v>
      </c>
      <c r="C109" s="23">
        <v>43804</v>
      </c>
      <c r="D109" s="23">
        <v>43801</v>
      </c>
    </row>
    <row r="110" spans="1:4" x14ac:dyDescent="0.25">
      <c r="A110" s="8">
        <v>7800</v>
      </c>
      <c r="B110" s="22">
        <v>0</v>
      </c>
      <c r="C110" s="23">
        <v>43804</v>
      </c>
      <c r="D110" s="23">
        <v>43801</v>
      </c>
    </row>
    <row r="111" spans="1:4" x14ac:dyDescent="0.25">
      <c r="A111" s="9">
        <v>7839</v>
      </c>
      <c r="B111" s="22">
        <v>0</v>
      </c>
      <c r="C111" s="23">
        <v>43804</v>
      </c>
      <c r="D111" s="23">
        <v>43801</v>
      </c>
    </row>
    <row r="112" spans="1:4" x14ac:dyDescent="0.25">
      <c r="A112" s="7">
        <v>7831</v>
      </c>
      <c r="B112" s="22" t="s">
        <v>17</v>
      </c>
      <c r="C112" s="23">
        <v>43804</v>
      </c>
      <c r="D112" s="23">
        <v>43801</v>
      </c>
    </row>
    <row r="113" spans="1:4" x14ac:dyDescent="0.25">
      <c r="A113" s="7">
        <v>57836</v>
      </c>
      <c r="B113" s="22" t="s">
        <v>16</v>
      </c>
      <c r="C113" s="23">
        <v>43804</v>
      </c>
      <c r="D113" s="23">
        <v>43801</v>
      </c>
    </row>
    <row r="114" spans="1:4" x14ac:dyDescent="0.25">
      <c r="A114" s="8">
        <v>7802</v>
      </c>
      <c r="B114" s="22">
        <v>0</v>
      </c>
      <c r="C114" s="23">
        <v>43804</v>
      </c>
      <c r="D114" s="23">
        <v>43801</v>
      </c>
    </row>
    <row r="115" spans="1:4" x14ac:dyDescent="0.25">
      <c r="A115" s="8">
        <v>7832</v>
      </c>
      <c r="B115" s="22">
        <v>0</v>
      </c>
      <c r="C115" s="23">
        <v>43804</v>
      </c>
      <c r="D115" s="23">
        <v>43801</v>
      </c>
    </row>
    <row r="116" spans="1:4" x14ac:dyDescent="0.25">
      <c r="A116" s="8">
        <v>7836</v>
      </c>
      <c r="B116" s="22">
        <v>0</v>
      </c>
      <c r="C116" s="23">
        <v>43804</v>
      </c>
      <c r="D116" s="23">
        <v>43801</v>
      </c>
    </row>
    <row r="117" spans="1:4" x14ac:dyDescent="0.25">
      <c r="A117" s="7">
        <v>55131</v>
      </c>
      <c r="B117" s="22" t="s">
        <v>16</v>
      </c>
      <c r="C117" s="23">
        <v>43812</v>
      </c>
      <c r="D117" s="23">
        <v>43801</v>
      </c>
    </row>
    <row r="118" spans="1:4" x14ac:dyDescent="0.25">
      <c r="A118" s="8">
        <v>5131</v>
      </c>
      <c r="B118" s="22">
        <v>0</v>
      </c>
      <c r="C118" s="23">
        <v>43812</v>
      </c>
      <c r="D118" s="23">
        <v>43801</v>
      </c>
    </row>
    <row r="119" spans="1:4" x14ac:dyDescent="0.25">
      <c r="A119" s="8">
        <v>5139</v>
      </c>
      <c r="B119" s="22">
        <v>0</v>
      </c>
      <c r="C119" s="23">
        <v>43812</v>
      </c>
      <c r="D119" s="23">
        <v>43801</v>
      </c>
    </row>
    <row r="120" spans="1:4" x14ac:dyDescent="0.25">
      <c r="A120" s="8">
        <v>7834</v>
      </c>
      <c r="B120" s="22">
        <v>0</v>
      </c>
      <c r="C120" s="23">
        <v>43812</v>
      </c>
      <c r="D120" s="23">
        <v>43801</v>
      </c>
    </row>
    <row r="121" spans="1:4" x14ac:dyDescent="0.25">
      <c r="A121" s="7">
        <v>57833</v>
      </c>
      <c r="B121" s="22" t="s">
        <v>16</v>
      </c>
      <c r="C121" s="23">
        <v>43812</v>
      </c>
      <c r="D121" s="23">
        <v>43801</v>
      </c>
    </row>
    <row r="122" spans="1:4" x14ac:dyDescent="0.25">
      <c r="A122" s="8">
        <v>7833</v>
      </c>
      <c r="B122" s="22">
        <v>0</v>
      </c>
      <c r="C122" s="23">
        <v>43812</v>
      </c>
      <c r="D122" s="23">
        <v>43801</v>
      </c>
    </row>
    <row r="123" spans="1:4" x14ac:dyDescent="0.25">
      <c r="A123" s="8">
        <v>7835</v>
      </c>
      <c r="B123" s="22">
        <v>0</v>
      </c>
      <c r="C123" s="23">
        <v>43812</v>
      </c>
      <c r="D123" s="23">
        <v>43801</v>
      </c>
    </row>
    <row r="124" spans="1:4" x14ac:dyDescent="0.25">
      <c r="A124" s="8">
        <v>7837</v>
      </c>
      <c r="B124" s="22">
        <v>0</v>
      </c>
      <c r="C124" s="23">
        <v>43812</v>
      </c>
      <c r="D124" s="23">
        <v>43801</v>
      </c>
    </row>
    <row r="125" spans="1:4" x14ac:dyDescent="0.25">
      <c r="A125" s="7">
        <v>58100</v>
      </c>
      <c r="B125" s="22" t="s">
        <v>16</v>
      </c>
      <c r="C125" s="23">
        <v>43812</v>
      </c>
      <c r="D125" s="23">
        <v>43801</v>
      </c>
    </row>
    <row r="126" spans="1:4" x14ac:dyDescent="0.25">
      <c r="A126" s="8">
        <v>8100</v>
      </c>
      <c r="B126" s="22">
        <v>0</v>
      </c>
      <c r="C126" s="23">
        <v>43812</v>
      </c>
      <c r="D126" s="23">
        <v>43801</v>
      </c>
    </row>
    <row r="127" spans="1:4" x14ac:dyDescent="0.25">
      <c r="A127" s="8">
        <v>8146</v>
      </c>
      <c r="B127" s="22">
        <v>0</v>
      </c>
      <c r="C127" s="23">
        <v>43812</v>
      </c>
      <c r="D127" s="23">
        <v>43801</v>
      </c>
    </row>
    <row r="128" spans="1:4" x14ac:dyDescent="0.25">
      <c r="A128" s="8">
        <v>8150</v>
      </c>
      <c r="B128" s="22">
        <v>0</v>
      </c>
      <c r="C128" s="23">
        <v>43812</v>
      </c>
      <c r="D128" s="23">
        <v>43801</v>
      </c>
    </row>
    <row r="129" spans="1:4" x14ac:dyDescent="0.25">
      <c r="A129" s="7">
        <v>58143</v>
      </c>
      <c r="B129" s="22" t="s">
        <v>16</v>
      </c>
      <c r="C129" s="23">
        <v>43812</v>
      </c>
      <c r="D129" s="23">
        <v>43801</v>
      </c>
    </row>
    <row r="130" spans="1:4" x14ac:dyDescent="0.25">
      <c r="A130" s="8">
        <v>8143</v>
      </c>
      <c r="B130" s="22">
        <v>0</v>
      </c>
      <c r="C130" s="23">
        <v>43812</v>
      </c>
      <c r="D130" s="23">
        <v>43801</v>
      </c>
    </row>
    <row r="131" spans="1:4" x14ac:dyDescent="0.25">
      <c r="A131" s="8">
        <v>8145</v>
      </c>
      <c r="B131" s="22">
        <v>0</v>
      </c>
      <c r="C131" s="23">
        <v>43812</v>
      </c>
      <c r="D131" s="23">
        <v>43801</v>
      </c>
    </row>
    <row r="132" spans="1:4" x14ac:dyDescent="0.25">
      <c r="A132" s="8">
        <v>8152</v>
      </c>
      <c r="B132" s="22">
        <v>0</v>
      </c>
      <c r="C132" s="23">
        <v>43812</v>
      </c>
      <c r="D132" s="23">
        <v>43801</v>
      </c>
    </row>
    <row r="133" spans="1:4" x14ac:dyDescent="0.25">
      <c r="A133" s="8">
        <v>8153</v>
      </c>
      <c r="B133" s="22">
        <v>0</v>
      </c>
      <c r="C133" s="23">
        <v>43812</v>
      </c>
      <c r="D133" s="23">
        <v>43801</v>
      </c>
    </row>
    <row r="134" spans="1:4" x14ac:dyDescent="0.25">
      <c r="A134" s="10">
        <v>8148</v>
      </c>
      <c r="B134" s="22" t="s">
        <v>18</v>
      </c>
      <c r="C134" s="23">
        <v>43812</v>
      </c>
      <c r="D134" s="23">
        <v>43801</v>
      </c>
    </row>
    <row r="135" spans="1:4" x14ac:dyDescent="0.25">
      <c r="A135" s="7">
        <v>8131</v>
      </c>
      <c r="B135" s="22" t="s">
        <v>18</v>
      </c>
      <c r="C135" s="23">
        <v>43816</v>
      </c>
      <c r="D135" s="23">
        <v>43801</v>
      </c>
    </row>
    <row r="136" spans="1:4" x14ac:dyDescent="0.25">
      <c r="A136" s="7">
        <v>58134</v>
      </c>
      <c r="B136" s="22" t="s">
        <v>16</v>
      </c>
      <c r="C136" s="23">
        <v>43816</v>
      </c>
      <c r="D136" s="23">
        <v>43801</v>
      </c>
    </row>
    <row r="137" spans="1:4" x14ac:dyDescent="0.25">
      <c r="A137" s="8">
        <v>8134</v>
      </c>
      <c r="B137" s="22">
        <v>0</v>
      </c>
      <c r="C137" s="23">
        <v>43816</v>
      </c>
      <c r="D137" s="23">
        <v>43801</v>
      </c>
    </row>
    <row r="138" spans="1:4" x14ac:dyDescent="0.25">
      <c r="A138" s="8">
        <v>8137</v>
      </c>
      <c r="B138" s="22">
        <v>0</v>
      </c>
      <c r="C138" s="23">
        <v>43816</v>
      </c>
      <c r="D138" s="23">
        <v>43801</v>
      </c>
    </row>
    <row r="139" spans="1:4" x14ac:dyDescent="0.25">
      <c r="A139" s="8">
        <v>8142</v>
      </c>
      <c r="B139" s="22">
        <v>0</v>
      </c>
      <c r="C139" s="23">
        <v>43816</v>
      </c>
      <c r="D139" s="23">
        <v>43801</v>
      </c>
    </row>
    <row r="140" spans="1:4" x14ac:dyDescent="0.25">
      <c r="A140" s="7">
        <v>58135</v>
      </c>
      <c r="B140" s="22" t="s">
        <v>17</v>
      </c>
      <c r="C140" s="23">
        <v>43816</v>
      </c>
      <c r="D140" s="23">
        <v>43801</v>
      </c>
    </row>
    <row r="141" spans="1:4" x14ac:dyDescent="0.25">
      <c r="A141" s="8">
        <v>8135</v>
      </c>
      <c r="B141" s="22">
        <v>0</v>
      </c>
      <c r="C141" s="23">
        <v>43816</v>
      </c>
      <c r="D141" s="23">
        <v>43801</v>
      </c>
    </row>
    <row r="142" spans="1:4" x14ac:dyDescent="0.25">
      <c r="A142" s="8">
        <v>8160</v>
      </c>
      <c r="B142" s="22">
        <v>0</v>
      </c>
      <c r="C142" s="23">
        <v>43816</v>
      </c>
      <c r="D142" s="23">
        <v>43801</v>
      </c>
    </row>
    <row r="143" spans="1:4" x14ac:dyDescent="0.25">
      <c r="A143" s="7">
        <v>8136</v>
      </c>
      <c r="B143" s="22" t="s">
        <v>18</v>
      </c>
      <c r="C143" s="23">
        <v>43816</v>
      </c>
      <c r="D143" s="23">
        <v>43801</v>
      </c>
    </row>
    <row r="144" spans="1:4" x14ac:dyDescent="0.25">
      <c r="A144" s="7">
        <v>8139</v>
      </c>
      <c r="B144" s="22" t="s">
        <v>18</v>
      </c>
      <c r="C144" s="23">
        <v>43816</v>
      </c>
      <c r="D144" s="23">
        <v>43801</v>
      </c>
    </row>
    <row r="145" spans="1:4" x14ac:dyDescent="0.25">
      <c r="A145" s="7">
        <v>8140</v>
      </c>
      <c r="B145" s="22" t="s">
        <v>17</v>
      </c>
      <c r="C145" s="23">
        <v>43816</v>
      </c>
      <c r="D145" s="23">
        <v>43801</v>
      </c>
    </row>
    <row r="146" spans="1:4" x14ac:dyDescent="0.25">
      <c r="A146" s="7">
        <v>55200</v>
      </c>
      <c r="B146" s="22" t="s">
        <v>16</v>
      </c>
      <c r="C146" s="23">
        <v>43874</v>
      </c>
      <c r="D146" s="23">
        <v>43801</v>
      </c>
    </row>
    <row r="147" spans="1:4" x14ac:dyDescent="0.25">
      <c r="A147" s="8">
        <v>5200</v>
      </c>
      <c r="B147" s="22">
        <v>0</v>
      </c>
      <c r="C147" s="23">
        <v>43874</v>
      </c>
      <c r="D147" s="23">
        <v>43801</v>
      </c>
    </row>
    <row r="148" spans="1:4" x14ac:dyDescent="0.25">
      <c r="A148" s="8">
        <v>5237</v>
      </c>
      <c r="B148" s="22">
        <v>0</v>
      </c>
      <c r="C148" s="23">
        <v>43874</v>
      </c>
      <c r="D148" s="23">
        <v>43801</v>
      </c>
    </row>
    <row r="149" spans="1:4" x14ac:dyDescent="0.25">
      <c r="A149" s="7">
        <v>5231</v>
      </c>
      <c r="B149" s="22" t="s">
        <v>18</v>
      </c>
      <c r="C149" s="23">
        <v>43874</v>
      </c>
      <c r="D149" s="23">
        <v>43801</v>
      </c>
    </row>
    <row r="150" spans="1:4" x14ac:dyDescent="0.25">
      <c r="A150" s="7">
        <v>5234</v>
      </c>
      <c r="B150" s="22" t="s">
        <v>18</v>
      </c>
      <c r="C150" s="23">
        <v>43874</v>
      </c>
      <c r="D150" s="23">
        <v>43801</v>
      </c>
    </row>
    <row r="151" spans="1:4" x14ac:dyDescent="0.25">
      <c r="A151" s="7">
        <v>5236</v>
      </c>
      <c r="B151" s="22" t="s">
        <v>18</v>
      </c>
      <c r="C151" s="23">
        <v>43874</v>
      </c>
      <c r="D151" s="23">
        <v>43801</v>
      </c>
    </row>
    <row r="152" spans="1:4" x14ac:dyDescent="0.25">
      <c r="A152" s="7">
        <v>58138</v>
      </c>
      <c r="B152" s="22" t="s">
        <v>16</v>
      </c>
      <c r="C152" s="23">
        <v>43874</v>
      </c>
      <c r="D152" s="23">
        <v>43801</v>
      </c>
    </row>
    <row r="153" spans="1:4" x14ac:dyDescent="0.25">
      <c r="A153" s="8">
        <v>5232</v>
      </c>
      <c r="B153" s="22">
        <v>0</v>
      </c>
      <c r="C153" s="23">
        <v>43874</v>
      </c>
      <c r="D153" s="23">
        <v>43801</v>
      </c>
    </row>
    <row r="154" spans="1:4" x14ac:dyDescent="0.25">
      <c r="A154" s="8">
        <v>5240</v>
      </c>
      <c r="B154" s="22">
        <v>0</v>
      </c>
      <c r="C154" s="23">
        <v>43874</v>
      </c>
      <c r="D154" s="23">
        <v>43801</v>
      </c>
    </row>
    <row r="155" spans="1:4" x14ac:dyDescent="0.25">
      <c r="A155" s="8">
        <v>8138</v>
      </c>
      <c r="B155" s="22">
        <v>0</v>
      </c>
      <c r="C155" s="23">
        <v>43874</v>
      </c>
      <c r="D155" s="23">
        <v>43801</v>
      </c>
    </row>
    <row r="156" spans="1:4" x14ac:dyDescent="0.25">
      <c r="A156" s="11">
        <v>5233</v>
      </c>
      <c r="B156" s="24" t="s">
        <v>16</v>
      </c>
      <c r="C156" s="25">
        <v>43747</v>
      </c>
      <c r="D156" s="25">
        <v>43861</v>
      </c>
    </row>
    <row r="157" spans="1:4" x14ac:dyDescent="0.25">
      <c r="A157" s="11">
        <v>55235</v>
      </c>
      <c r="B157" s="24" t="s">
        <v>16</v>
      </c>
      <c r="C157" s="25">
        <v>43747</v>
      </c>
      <c r="D157" s="25">
        <v>43861</v>
      </c>
    </row>
    <row r="158" spans="1:4" x14ac:dyDescent="0.25">
      <c r="A158" s="12">
        <v>1849</v>
      </c>
      <c r="B158" s="24">
        <v>0</v>
      </c>
      <c r="C158" s="25">
        <v>43747</v>
      </c>
      <c r="D158" s="25">
        <v>43861</v>
      </c>
    </row>
    <row r="159" spans="1:4" x14ac:dyDescent="0.25">
      <c r="A159" s="13">
        <v>5235</v>
      </c>
      <c r="B159" s="24">
        <v>0</v>
      </c>
      <c r="C159" s="25">
        <v>43747</v>
      </c>
      <c r="D159" s="25">
        <v>43861</v>
      </c>
    </row>
    <row r="160" spans="1:4" x14ac:dyDescent="0.25">
      <c r="A160" s="12">
        <v>5239</v>
      </c>
      <c r="B160" s="24">
        <v>0</v>
      </c>
      <c r="C160" s="25">
        <v>43747</v>
      </c>
      <c r="D160" s="25">
        <v>43861</v>
      </c>
    </row>
    <row r="161" spans="1:4" x14ac:dyDescent="0.25">
      <c r="A161" s="11">
        <v>5238</v>
      </c>
      <c r="B161" s="24" t="s">
        <v>18</v>
      </c>
      <c r="C161" s="25">
        <v>43747</v>
      </c>
      <c r="D161" s="25">
        <v>43861</v>
      </c>
    </row>
    <row r="162" spans="1:4" x14ac:dyDescent="0.25">
      <c r="A162" s="11">
        <v>5241</v>
      </c>
      <c r="B162" s="24" t="s">
        <v>18</v>
      </c>
      <c r="C162" s="25">
        <v>43747</v>
      </c>
      <c r="D162" s="25">
        <v>43861</v>
      </c>
    </row>
    <row r="163" spans="1:4" x14ac:dyDescent="0.25">
      <c r="A163" s="11">
        <v>6700</v>
      </c>
      <c r="B163" s="24" t="s">
        <v>16</v>
      </c>
      <c r="C163" s="25">
        <v>43864</v>
      </c>
      <c r="D163" s="25">
        <v>43861</v>
      </c>
    </row>
    <row r="164" spans="1:4" x14ac:dyDescent="0.25">
      <c r="A164" s="11">
        <v>6731</v>
      </c>
      <c r="B164" s="24" t="s">
        <v>18</v>
      </c>
      <c r="C164" s="25">
        <v>43864</v>
      </c>
      <c r="D164" s="25">
        <v>43861</v>
      </c>
    </row>
    <row r="165" spans="1:4" x14ac:dyDescent="0.25">
      <c r="A165" s="11">
        <v>56733</v>
      </c>
      <c r="B165" s="24" t="s">
        <v>17</v>
      </c>
      <c r="C165" s="25">
        <v>43864</v>
      </c>
      <c r="D165" s="25">
        <v>43861</v>
      </c>
    </row>
    <row r="166" spans="1:4" x14ac:dyDescent="0.25">
      <c r="A166" s="13">
        <v>6733</v>
      </c>
      <c r="B166" s="24">
        <v>0</v>
      </c>
      <c r="C166" s="25">
        <v>43864</v>
      </c>
      <c r="D166" s="25">
        <v>43861</v>
      </c>
    </row>
    <row r="167" spans="1:4" x14ac:dyDescent="0.25">
      <c r="A167" s="12">
        <v>6739</v>
      </c>
      <c r="B167" s="24">
        <v>0</v>
      </c>
      <c r="C167" s="25">
        <v>43864</v>
      </c>
      <c r="D167" s="25">
        <v>43861</v>
      </c>
    </row>
    <row r="168" spans="1:4" x14ac:dyDescent="0.25">
      <c r="A168" s="11">
        <v>56734</v>
      </c>
      <c r="B168" s="24" t="s">
        <v>17</v>
      </c>
      <c r="C168" s="25">
        <v>43864</v>
      </c>
      <c r="D168" s="25">
        <v>43861</v>
      </c>
    </row>
    <row r="169" spans="1:4" x14ac:dyDescent="0.25">
      <c r="A169" s="12">
        <v>6734</v>
      </c>
      <c r="B169" s="24">
        <v>0</v>
      </c>
      <c r="C169" s="25">
        <v>43864</v>
      </c>
      <c r="D169" s="25">
        <v>43861</v>
      </c>
    </row>
    <row r="170" spans="1:4" x14ac:dyDescent="0.25">
      <c r="A170" s="12">
        <v>6737</v>
      </c>
      <c r="B170" s="24">
        <v>0</v>
      </c>
      <c r="C170" s="25">
        <v>43864</v>
      </c>
      <c r="D170" s="25">
        <v>43861</v>
      </c>
    </row>
    <row r="171" spans="1:4" x14ac:dyDescent="0.25">
      <c r="A171" s="12">
        <v>6740</v>
      </c>
      <c r="B171" s="24">
        <v>0</v>
      </c>
      <c r="C171" s="25">
        <v>43864</v>
      </c>
      <c r="D171" s="25">
        <v>43861</v>
      </c>
    </row>
    <row r="172" spans="1:4" x14ac:dyDescent="0.25">
      <c r="A172" s="11">
        <v>56738</v>
      </c>
      <c r="B172" s="24" t="s">
        <v>16</v>
      </c>
      <c r="C172" s="25">
        <v>43864</v>
      </c>
      <c r="D172" s="25">
        <v>43861</v>
      </c>
    </row>
    <row r="173" spans="1:4" x14ac:dyDescent="0.25">
      <c r="A173" s="12">
        <v>6738</v>
      </c>
      <c r="B173" s="24">
        <v>0</v>
      </c>
      <c r="C173" s="25">
        <v>43864</v>
      </c>
      <c r="D173" s="25">
        <v>43861</v>
      </c>
    </row>
    <row r="174" spans="1:4" x14ac:dyDescent="0.25">
      <c r="A174" s="12">
        <v>6743</v>
      </c>
      <c r="B174" s="24">
        <v>0</v>
      </c>
      <c r="C174" s="25">
        <v>43864</v>
      </c>
      <c r="D174" s="25">
        <v>43861</v>
      </c>
    </row>
    <row r="175" spans="1:4" x14ac:dyDescent="0.25">
      <c r="A175" s="12">
        <v>6750</v>
      </c>
      <c r="B175" s="24">
        <v>0</v>
      </c>
      <c r="C175" s="25">
        <v>43864</v>
      </c>
      <c r="D175" s="25">
        <v>43861</v>
      </c>
    </row>
    <row r="176" spans="1:4" x14ac:dyDescent="0.25">
      <c r="A176" s="11">
        <v>6732</v>
      </c>
      <c r="B176" s="24" t="s">
        <v>17</v>
      </c>
      <c r="C176" s="25">
        <v>43866</v>
      </c>
      <c r="D176" s="25">
        <v>43861</v>
      </c>
    </row>
    <row r="177" spans="1:4" x14ac:dyDescent="0.25">
      <c r="A177" s="11">
        <v>6735</v>
      </c>
      <c r="B177" s="24" t="s">
        <v>18</v>
      </c>
      <c r="C177" s="25">
        <v>43866</v>
      </c>
      <c r="D177" s="25">
        <v>43861</v>
      </c>
    </row>
    <row r="178" spans="1:4" x14ac:dyDescent="0.25">
      <c r="A178" s="11">
        <v>6736</v>
      </c>
      <c r="B178" s="24" t="s">
        <v>18</v>
      </c>
      <c r="C178" s="25">
        <v>43866</v>
      </c>
      <c r="D178" s="25">
        <v>43861</v>
      </c>
    </row>
    <row r="179" spans="1:4" x14ac:dyDescent="0.25">
      <c r="A179" s="11">
        <v>56741</v>
      </c>
      <c r="B179" s="24" t="s">
        <v>17</v>
      </c>
      <c r="C179" s="25">
        <v>43866</v>
      </c>
      <c r="D179" s="25">
        <v>43861</v>
      </c>
    </row>
    <row r="180" spans="1:4" x14ac:dyDescent="0.25">
      <c r="A180" s="13">
        <v>6741</v>
      </c>
      <c r="B180" s="24">
        <v>0</v>
      </c>
      <c r="C180" s="25">
        <v>43866</v>
      </c>
      <c r="D180" s="25">
        <v>43861</v>
      </c>
    </row>
    <row r="181" spans="1:4" x14ac:dyDescent="0.25">
      <c r="A181" s="12">
        <v>6745</v>
      </c>
      <c r="B181" s="24">
        <v>0</v>
      </c>
      <c r="C181" s="25">
        <v>43866</v>
      </c>
      <c r="D181" s="25">
        <v>43861</v>
      </c>
    </row>
    <row r="182" spans="1:4" x14ac:dyDescent="0.25">
      <c r="A182" s="12">
        <v>6751</v>
      </c>
      <c r="B182" s="24">
        <v>0</v>
      </c>
      <c r="C182" s="25">
        <v>43866</v>
      </c>
      <c r="D182" s="25">
        <v>43861</v>
      </c>
    </row>
    <row r="183" spans="1:4" ht="15.75" thickBot="1" x14ac:dyDescent="0.3">
      <c r="A183" s="14">
        <v>6742</v>
      </c>
      <c r="B183" s="24" t="s">
        <v>18</v>
      </c>
      <c r="C183" s="25">
        <v>43866</v>
      </c>
      <c r="D183" s="25">
        <v>43861</v>
      </c>
    </row>
  </sheetData>
  <autoFilter ref="B1:B194"/>
  <mergeCells count="2">
    <mergeCell ref="F7:G7"/>
    <mergeCell ref="F8:G8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O166"/>
  <sheetViews>
    <sheetView topLeftCell="A55" workbookViewId="0">
      <selection activeCell="F99" sqref="F99"/>
    </sheetView>
  </sheetViews>
  <sheetFormatPr baseColWidth="10" defaultRowHeight="12.75" x14ac:dyDescent="0.2"/>
  <cols>
    <col min="1" max="1" width="11.42578125" style="30" customWidth="1"/>
    <col min="2" max="2" width="6" style="31" customWidth="1"/>
    <col min="3" max="3" width="30.140625" style="32" bestFit="1" customWidth="1"/>
    <col min="4" max="4" width="8.7109375" style="33" customWidth="1"/>
    <col min="5" max="5" width="6.7109375" style="34" customWidth="1"/>
    <col min="6" max="6" width="8.7109375" style="33" customWidth="1"/>
    <col min="7" max="7" width="6.7109375" style="34" customWidth="1"/>
    <col min="8" max="8" width="8.7109375" style="33" customWidth="1"/>
    <col min="9" max="9" width="6.7109375" style="34" customWidth="1"/>
    <col min="10" max="10" width="8.7109375" style="33" customWidth="1"/>
    <col min="11" max="11" width="6.7109375" style="34" customWidth="1"/>
    <col min="12" max="12" width="8.7109375" style="33" customWidth="1"/>
    <col min="13" max="13" width="6.7109375" style="34" customWidth="1"/>
    <col min="14" max="18" width="8.7109375" style="35" hidden="1" customWidth="1"/>
    <col min="19" max="19" width="8.7109375" style="30" customWidth="1"/>
    <col min="20" max="20" width="6.7109375" style="36" customWidth="1"/>
    <col min="21" max="21" width="6.28515625" style="30" bestFit="1" customWidth="1"/>
    <col min="22" max="23" width="11.42578125" style="30"/>
    <col min="24" max="24" width="7.140625" style="30" customWidth="1"/>
    <col min="25" max="30" width="11.42578125" style="30"/>
    <col min="31" max="31" width="11.42578125" style="97"/>
    <col min="32" max="256" width="11.42578125" style="30"/>
    <col min="257" max="257" width="0" style="30" hidden="1" customWidth="1"/>
    <col min="258" max="258" width="6" style="30" customWidth="1"/>
    <col min="259" max="259" width="30.140625" style="30" bestFit="1" customWidth="1"/>
    <col min="260" max="260" width="8.7109375" style="30" customWidth="1"/>
    <col min="261" max="261" width="6.7109375" style="30" customWidth="1"/>
    <col min="262" max="262" width="8.7109375" style="30" customWidth="1"/>
    <col min="263" max="263" width="6.7109375" style="30" customWidth="1"/>
    <col min="264" max="264" width="8.7109375" style="30" customWidth="1"/>
    <col min="265" max="265" width="6.7109375" style="30" customWidth="1"/>
    <col min="266" max="266" width="8.7109375" style="30" customWidth="1"/>
    <col min="267" max="267" width="6.7109375" style="30" customWidth="1"/>
    <col min="268" max="268" width="8.7109375" style="30" customWidth="1"/>
    <col min="269" max="269" width="6.7109375" style="30" customWidth="1"/>
    <col min="270" max="274" width="0" style="30" hidden="1" customWidth="1"/>
    <col min="275" max="275" width="8.7109375" style="30" customWidth="1"/>
    <col min="276" max="276" width="6.7109375" style="30" customWidth="1"/>
    <col min="277" max="277" width="6.28515625" style="30" bestFit="1" customWidth="1"/>
    <col min="278" max="279" width="11.42578125" style="30"/>
    <col min="280" max="280" width="51.28515625" style="30" bestFit="1" customWidth="1"/>
    <col min="281" max="512" width="11.42578125" style="30"/>
    <col min="513" max="513" width="0" style="30" hidden="1" customWidth="1"/>
    <col min="514" max="514" width="6" style="30" customWidth="1"/>
    <col min="515" max="515" width="30.140625" style="30" bestFit="1" customWidth="1"/>
    <col min="516" max="516" width="8.7109375" style="30" customWidth="1"/>
    <col min="517" max="517" width="6.7109375" style="30" customWidth="1"/>
    <col min="518" max="518" width="8.7109375" style="30" customWidth="1"/>
    <col min="519" max="519" width="6.7109375" style="30" customWidth="1"/>
    <col min="520" max="520" width="8.7109375" style="30" customWidth="1"/>
    <col min="521" max="521" width="6.7109375" style="30" customWidth="1"/>
    <col min="522" max="522" width="8.7109375" style="30" customWidth="1"/>
    <col min="523" max="523" width="6.7109375" style="30" customWidth="1"/>
    <col min="524" max="524" width="8.7109375" style="30" customWidth="1"/>
    <col min="525" max="525" width="6.7109375" style="30" customWidth="1"/>
    <col min="526" max="530" width="0" style="30" hidden="1" customWidth="1"/>
    <col min="531" max="531" width="8.7109375" style="30" customWidth="1"/>
    <col min="532" max="532" width="6.7109375" style="30" customWidth="1"/>
    <col min="533" max="533" width="6.28515625" style="30" bestFit="1" customWidth="1"/>
    <col min="534" max="535" width="11.42578125" style="30"/>
    <col min="536" max="536" width="51.28515625" style="30" bestFit="1" customWidth="1"/>
    <col min="537" max="768" width="11.42578125" style="30"/>
    <col min="769" max="769" width="0" style="30" hidden="1" customWidth="1"/>
    <col min="770" max="770" width="6" style="30" customWidth="1"/>
    <col min="771" max="771" width="30.140625" style="30" bestFit="1" customWidth="1"/>
    <col min="772" max="772" width="8.7109375" style="30" customWidth="1"/>
    <col min="773" max="773" width="6.7109375" style="30" customWidth="1"/>
    <col min="774" max="774" width="8.7109375" style="30" customWidth="1"/>
    <col min="775" max="775" width="6.7109375" style="30" customWidth="1"/>
    <col min="776" max="776" width="8.7109375" style="30" customWidth="1"/>
    <col min="777" max="777" width="6.7109375" style="30" customWidth="1"/>
    <col min="778" max="778" width="8.7109375" style="30" customWidth="1"/>
    <col min="779" max="779" width="6.7109375" style="30" customWidth="1"/>
    <col min="780" max="780" width="8.7109375" style="30" customWidth="1"/>
    <col min="781" max="781" width="6.7109375" style="30" customWidth="1"/>
    <col min="782" max="786" width="0" style="30" hidden="1" customWidth="1"/>
    <col min="787" max="787" width="8.7109375" style="30" customWidth="1"/>
    <col min="788" max="788" width="6.7109375" style="30" customWidth="1"/>
    <col min="789" max="789" width="6.28515625" style="30" bestFit="1" customWidth="1"/>
    <col min="790" max="791" width="11.42578125" style="30"/>
    <col min="792" max="792" width="51.28515625" style="30" bestFit="1" customWidth="1"/>
    <col min="793" max="1024" width="11.42578125" style="30"/>
    <col min="1025" max="1025" width="0" style="30" hidden="1" customWidth="1"/>
    <col min="1026" max="1026" width="6" style="30" customWidth="1"/>
    <col min="1027" max="1027" width="30.140625" style="30" bestFit="1" customWidth="1"/>
    <col min="1028" max="1028" width="8.7109375" style="30" customWidth="1"/>
    <col min="1029" max="1029" width="6.7109375" style="30" customWidth="1"/>
    <col min="1030" max="1030" width="8.7109375" style="30" customWidth="1"/>
    <col min="1031" max="1031" width="6.7109375" style="30" customWidth="1"/>
    <col min="1032" max="1032" width="8.7109375" style="30" customWidth="1"/>
    <col min="1033" max="1033" width="6.7109375" style="30" customWidth="1"/>
    <col min="1034" max="1034" width="8.7109375" style="30" customWidth="1"/>
    <col min="1035" max="1035" width="6.7109375" style="30" customWidth="1"/>
    <col min="1036" max="1036" width="8.7109375" style="30" customWidth="1"/>
    <col min="1037" max="1037" width="6.7109375" style="30" customWidth="1"/>
    <col min="1038" max="1042" width="0" style="30" hidden="1" customWidth="1"/>
    <col min="1043" max="1043" width="8.7109375" style="30" customWidth="1"/>
    <col min="1044" max="1044" width="6.7109375" style="30" customWidth="1"/>
    <col min="1045" max="1045" width="6.28515625" style="30" bestFit="1" customWidth="1"/>
    <col min="1046" max="1047" width="11.42578125" style="30"/>
    <col min="1048" max="1048" width="51.28515625" style="30" bestFit="1" customWidth="1"/>
    <col min="1049" max="1280" width="11.42578125" style="30"/>
    <col min="1281" max="1281" width="0" style="30" hidden="1" customWidth="1"/>
    <col min="1282" max="1282" width="6" style="30" customWidth="1"/>
    <col min="1283" max="1283" width="30.140625" style="30" bestFit="1" customWidth="1"/>
    <col min="1284" max="1284" width="8.7109375" style="30" customWidth="1"/>
    <col min="1285" max="1285" width="6.7109375" style="30" customWidth="1"/>
    <col min="1286" max="1286" width="8.7109375" style="30" customWidth="1"/>
    <col min="1287" max="1287" width="6.7109375" style="30" customWidth="1"/>
    <col min="1288" max="1288" width="8.7109375" style="30" customWidth="1"/>
    <col min="1289" max="1289" width="6.7109375" style="30" customWidth="1"/>
    <col min="1290" max="1290" width="8.7109375" style="30" customWidth="1"/>
    <col min="1291" max="1291" width="6.7109375" style="30" customWidth="1"/>
    <col min="1292" max="1292" width="8.7109375" style="30" customWidth="1"/>
    <col min="1293" max="1293" width="6.7109375" style="30" customWidth="1"/>
    <col min="1294" max="1298" width="0" style="30" hidden="1" customWidth="1"/>
    <col min="1299" max="1299" width="8.7109375" style="30" customWidth="1"/>
    <col min="1300" max="1300" width="6.7109375" style="30" customWidth="1"/>
    <col min="1301" max="1301" width="6.28515625" style="30" bestFit="1" customWidth="1"/>
    <col min="1302" max="1303" width="11.42578125" style="30"/>
    <col min="1304" max="1304" width="51.28515625" style="30" bestFit="1" customWidth="1"/>
    <col min="1305" max="1536" width="11.42578125" style="30"/>
    <col min="1537" max="1537" width="0" style="30" hidden="1" customWidth="1"/>
    <col min="1538" max="1538" width="6" style="30" customWidth="1"/>
    <col min="1539" max="1539" width="30.140625" style="30" bestFit="1" customWidth="1"/>
    <col min="1540" max="1540" width="8.7109375" style="30" customWidth="1"/>
    <col min="1541" max="1541" width="6.7109375" style="30" customWidth="1"/>
    <col min="1542" max="1542" width="8.7109375" style="30" customWidth="1"/>
    <col min="1543" max="1543" width="6.7109375" style="30" customWidth="1"/>
    <col min="1544" max="1544" width="8.7109375" style="30" customWidth="1"/>
    <col min="1545" max="1545" width="6.7109375" style="30" customWidth="1"/>
    <col min="1546" max="1546" width="8.7109375" style="30" customWidth="1"/>
    <col min="1547" max="1547" width="6.7109375" style="30" customWidth="1"/>
    <col min="1548" max="1548" width="8.7109375" style="30" customWidth="1"/>
    <col min="1549" max="1549" width="6.7109375" style="30" customWidth="1"/>
    <col min="1550" max="1554" width="0" style="30" hidden="1" customWidth="1"/>
    <col min="1555" max="1555" width="8.7109375" style="30" customWidth="1"/>
    <col min="1556" max="1556" width="6.7109375" style="30" customWidth="1"/>
    <col min="1557" max="1557" width="6.28515625" style="30" bestFit="1" customWidth="1"/>
    <col min="1558" max="1559" width="11.42578125" style="30"/>
    <col min="1560" max="1560" width="51.28515625" style="30" bestFit="1" customWidth="1"/>
    <col min="1561" max="1792" width="11.42578125" style="30"/>
    <col min="1793" max="1793" width="0" style="30" hidden="1" customWidth="1"/>
    <col min="1794" max="1794" width="6" style="30" customWidth="1"/>
    <col min="1795" max="1795" width="30.140625" style="30" bestFit="1" customWidth="1"/>
    <col min="1796" max="1796" width="8.7109375" style="30" customWidth="1"/>
    <col min="1797" max="1797" width="6.7109375" style="30" customWidth="1"/>
    <col min="1798" max="1798" width="8.7109375" style="30" customWidth="1"/>
    <col min="1799" max="1799" width="6.7109375" style="30" customWidth="1"/>
    <col min="1800" max="1800" width="8.7109375" style="30" customWidth="1"/>
    <col min="1801" max="1801" width="6.7109375" style="30" customWidth="1"/>
    <col min="1802" max="1802" width="8.7109375" style="30" customWidth="1"/>
    <col min="1803" max="1803" width="6.7109375" style="30" customWidth="1"/>
    <col min="1804" max="1804" width="8.7109375" style="30" customWidth="1"/>
    <col min="1805" max="1805" width="6.7109375" style="30" customWidth="1"/>
    <col min="1806" max="1810" width="0" style="30" hidden="1" customWidth="1"/>
    <col min="1811" max="1811" width="8.7109375" style="30" customWidth="1"/>
    <col min="1812" max="1812" width="6.7109375" style="30" customWidth="1"/>
    <col min="1813" max="1813" width="6.28515625" style="30" bestFit="1" customWidth="1"/>
    <col min="1814" max="1815" width="11.42578125" style="30"/>
    <col min="1816" max="1816" width="51.28515625" style="30" bestFit="1" customWidth="1"/>
    <col min="1817" max="2048" width="11.42578125" style="30"/>
    <col min="2049" max="2049" width="0" style="30" hidden="1" customWidth="1"/>
    <col min="2050" max="2050" width="6" style="30" customWidth="1"/>
    <col min="2051" max="2051" width="30.140625" style="30" bestFit="1" customWidth="1"/>
    <col min="2052" max="2052" width="8.7109375" style="30" customWidth="1"/>
    <col min="2053" max="2053" width="6.7109375" style="30" customWidth="1"/>
    <col min="2054" max="2054" width="8.7109375" style="30" customWidth="1"/>
    <col min="2055" max="2055" width="6.7109375" style="30" customWidth="1"/>
    <col min="2056" max="2056" width="8.7109375" style="30" customWidth="1"/>
    <col min="2057" max="2057" width="6.7109375" style="30" customWidth="1"/>
    <col min="2058" max="2058" width="8.7109375" style="30" customWidth="1"/>
    <col min="2059" max="2059" width="6.7109375" style="30" customWidth="1"/>
    <col min="2060" max="2060" width="8.7109375" style="30" customWidth="1"/>
    <col min="2061" max="2061" width="6.7109375" style="30" customWidth="1"/>
    <col min="2062" max="2066" width="0" style="30" hidden="1" customWidth="1"/>
    <col min="2067" max="2067" width="8.7109375" style="30" customWidth="1"/>
    <col min="2068" max="2068" width="6.7109375" style="30" customWidth="1"/>
    <col min="2069" max="2069" width="6.28515625" style="30" bestFit="1" customWidth="1"/>
    <col min="2070" max="2071" width="11.42578125" style="30"/>
    <col min="2072" max="2072" width="51.28515625" style="30" bestFit="1" customWidth="1"/>
    <col min="2073" max="2304" width="11.42578125" style="30"/>
    <col min="2305" max="2305" width="0" style="30" hidden="1" customWidth="1"/>
    <col min="2306" max="2306" width="6" style="30" customWidth="1"/>
    <col min="2307" max="2307" width="30.140625" style="30" bestFit="1" customWidth="1"/>
    <col min="2308" max="2308" width="8.7109375" style="30" customWidth="1"/>
    <col min="2309" max="2309" width="6.7109375" style="30" customWidth="1"/>
    <col min="2310" max="2310" width="8.7109375" style="30" customWidth="1"/>
    <col min="2311" max="2311" width="6.7109375" style="30" customWidth="1"/>
    <col min="2312" max="2312" width="8.7109375" style="30" customWidth="1"/>
    <col min="2313" max="2313" width="6.7109375" style="30" customWidth="1"/>
    <col min="2314" max="2314" width="8.7109375" style="30" customWidth="1"/>
    <col min="2315" max="2315" width="6.7109375" style="30" customWidth="1"/>
    <col min="2316" max="2316" width="8.7109375" style="30" customWidth="1"/>
    <col min="2317" max="2317" width="6.7109375" style="30" customWidth="1"/>
    <col min="2318" max="2322" width="0" style="30" hidden="1" customWidth="1"/>
    <col min="2323" max="2323" width="8.7109375" style="30" customWidth="1"/>
    <col min="2324" max="2324" width="6.7109375" style="30" customWidth="1"/>
    <col min="2325" max="2325" width="6.28515625" style="30" bestFit="1" customWidth="1"/>
    <col min="2326" max="2327" width="11.42578125" style="30"/>
    <col min="2328" max="2328" width="51.28515625" style="30" bestFit="1" customWidth="1"/>
    <col min="2329" max="2560" width="11.42578125" style="30"/>
    <col min="2561" max="2561" width="0" style="30" hidden="1" customWidth="1"/>
    <col min="2562" max="2562" width="6" style="30" customWidth="1"/>
    <col min="2563" max="2563" width="30.140625" style="30" bestFit="1" customWidth="1"/>
    <col min="2564" max="2564" width="8.7109375" style="30" customWidth="1"/>
    <col min="2565" max="2565" width="6.7109375" style="30" customWidth="1"/>
    <col min="2566" max="2566" width="8.7109375" style="30" customWidth="1"/>
    <col min="2567" max="2567" width="6.7109375" style="30" customWidth="1"/>
    <col min="2568" max="2568" width="8.7109375" style="30" customWidth="1"/>
    <col min="2569" max="2569" width="6.7109375" style="30" customWidth="1"/>
    <col min="2570" max="2570" width="8.7109375" style="30" customWidth="1"/>
    <col min="2571" max="2571" width="6.7109375" style="30" customWidth="1"/>
    <col min="2572" max="2572" width="8.7109375" style="30" customWidth="1"/>
    <col min="2573" max="2573" width="6.7109375" style="30" customWidth="1"/>
    <col min="2574" max="2578" width="0" style="30" hidden="1" customWidth="1"/>
    <col min="2579" max="2579" width="8.7109375" style="30" customWidth="1"/>
    <col min="2580" max="2580" width="6.7109375" style="30" customWidth="1"/>
    <col min="2581" max="2581" width="6.28515625" style="30" bestFit="1" customWidth="1"/>
    <col min="2582" max="2583" width="11.42578125" style="30"/>
    <col min="2584" max="2584" width="51.28515625" style="30" bestFit="1" customWidth="1"/>
    <col min="2585" max="2816" width="11.42578125" style="30"/>
    <col min="2817" max="2817" width="0" style="30" hidden="1" customWidth="1"/>
    <col min="2818" max="2818" width="6" style="30" customWidth="1"/>
    <col min="2819" max="2819" width="30.140625" style="30" bestFit="1" customWidth="1"/>
    <col min="2820" max="2820" width="8.7109375" style="30" customWidth="1"/>
    <col min="2821" max="2821" width="6.7109375" style="30" customWidth="1"/>
    <col min="2822" max="2822" width="8.7109375" style="30" customWidth="1"/>
    <col min="2823" max="2823" width="6.7109375" style="30" customWidth="1"/>
    <col min="2824" max="2824" width="8.7109375" style="30" customWidth="1"/>
    <col min="2825" max="2825" width="6.7109375" style="30" customWidth="1"/>
    <col min="2826" max="2826" width="8.7109375" style="30" customWidth="1"/>
    <col min="2827" max="2827" width="6.7109375" style="30" customWidth="1"/>
    <col min="2828" max="2828" width="8.7109375" style="30" customWidth="1"/>
    <col min="2829" max="2829" width="6.7109375" style="30" customWidth="1"/>
    <col min="2830" max="2834" width="0" style="30" hidden="1" customWidth="1"/>
    <col min="2835" max="2835" width="8.7109375" style="30" customWidth="1"/>
    <col min="2836" max="2836" width="6.7109375" style="30" customWidth="1"/>
    <col min="2837" max="2837" width="6.28515625" style="30" bestFit="1" customWidth="1"/>
    <col min="2838" max="2839" width="11.42578125" style="30"/>
    <col min="2840" max="2840" width="51.28515625" style="30" bestFit="1" customWidth="1"/>
    <col min="2841" max="3072" width="11.42578125" style="30"/>
    <col min="3073" max="3073" width="0" style="30" hidden="1" customWidth="1"/>
    <col min="3074" max="3074" width="6" style="30" customWidth="1"/>
    <col min="3075" max="3075" width="30.140625" style="30" bestFit="1" customWidth="1"/>
    <col min="3076" max="3076" width="8.7109375" style="30" customWidth="1"/>
    <col min="3077" max="3077" width="6.7109375" style="30" customWidth="1"/>
    <col min="3078" max="3078" width="8.7109375" style="30" customWidth="1"/>
    <col min="3079" max="3079" width="6.7109375" style="30" customWidth="1"/>
    <col min="3080" max="3080" width="8.7109375" style="30" customWidth="1"/>
    <col min="3081" max="3081" width="6.7109375" style="30" customWidth="1"/>
    <col min="3082" max="3082" width="8.7109375" style="30" customWidth="1"/>
    <col min="3083" max="3083" width="6.7109375" style="30" customWidth="1"/>
    <col min="3084" max="3084" width="8.7109375" style="30" customWidth="1"/>
    <col min="3085" max="3085" width="6.7109375" style="30" customWidth="1"/>
    <col min="3086" max="3090" width="0" style="30" hidden="1" customWidth="1"/>
    <col min="3091" max="3091" width="8.7109375" style="30" customWidth="1"/>
    <col min="3092" max="3092" width="6.7109375" style="30" customWidth="1"/>
    <col min="3093" max="3093" width="6.28515625" style="30" bestFit="1" customWidth="1"/>
    <col min="3094" max="3095" width="11.42578125" style="30"/>
    <col min="3096" max="3096" width="51.28515625" style="30" bestFit="1" customWidth="1"/>
    <col min="3097" max="3328" width="11.42578125" style="30"/>
    <col min="3329" max="3329" width="0" style="30" hidden="1" customWidth="1"/>
    <col min="3330" max="3330" width="6" style="30" customWidth="1"/>
    <col min="3331" max="3331" width="30.140625" style="30" bestFit="1" customWidth="1"/>
    <col min="3332" max="3332" width="8.7109375" style="30" customWidth="1"/>
    <col min="3333" max="3333" width="6.7109375" style="30" customWidth="1"/>
    <col min="3334" max="3334" width="8.7109375" style="30" customWidth="1"/>
    <col min="3335" max="3335" width="6.7109375" style="30" customWidth="1"/>
    <col min="3336" max="3336" width="8.7109375" style="30" customWidth="1"/>
    <col min="3337" max="3337" width="6.7109375" style="30" customWidth="1"/>
    <col min="3338" max="3338" width="8.7109375" style="30" customWidth="1"/>
    <col min="3339" max="3339" width="6.7109375" style="30" customWidth="1"/>
    <col min="3340" max="3340" width="8.7109375" style="30" customWidth="1"/>
    <col min="3341" max="3341" width="6.7109375" style="30" customWidth="1"/>
    <col min="3342" max="3346" width="0" style="30" hidden="1" customWidth="1"/>
    <col min="3347" max="3347" width="8.7109375" style="30" customWidth="1"/>
    <col min="3348" max="3348" width="6.7109375" style="30" customWidth="1"/>
    <col min="3349" max="3349" width="6.28515625" style="30" bestFit="1" customWidth="1"/>
    <col min="3350" max="3351" width="11.42578125" style="30"/>
    <col min="3352" max="3352" width="51.28515625" style="30" bestFit="1" customWidth="1"/>
    <col min="3353" max="3584" width="11.42578125" style="30"/>
    <col min="3585" max="3585" width="0" style="30" hidden="1" customWidth="1"/>
    <col min="3586" max="3586" width="6" style="30" customWidth="1"/>
    <col min="3587" max="3587" width="30.140625" style="30" bestFit="1" customWidth="1"/>
    <col min="3588" max="3588" width="8.7109375" style="30" customWidth="1"/>
    <col min="3589" max="3589" width="6.7109375" style="30" customWidth="1"/>
    <col min="3590" max="3590" width="8.7109375" style="30" customWidth="1"/>
    <col min="3591" max="3591" width="6.7109375" style="30" customWidth="1"/>
    <col min="3592" max="3592" width="8.7109375" style="30" customWidth="1"/>
    <col min="3593" max="3593" width="6.7109375" style="30" customWidth="1"/>
    <col min="3594" max="3594" width="8.7109375" style="30" customWidth="1"/>
    <col min="3595" max="3595" width="6.7109375" style="30" customWidth="1"/>
    <col min="3596" max="3596" width="8.7109375" style="30" customWidth="1"/>
    <col min="3597" max="3597" width="6.7109375" style="30" customWidth="1"/>
    <col min="3598" max="3602" width="0" style="30" hidden="1" customWidth="1"/>
    <col min="3603" max="3603" width="8.7109375" style="30" customWidth="1"/>
    <col min="3604" max="3604" width="6.7109375" style="30" customWidth="1"/>
    <col min="3605" max="3605" width="6.28515625" style="30" bestFit="1" customWidth="1"/>
    <col min="3606" max="3607" width="11.42578125" style="30"/>
    <col min="3608" max="3608" width="51.28515625" style="30" bestFit="1" customWidth="1"/>
    <col min="3609" max="3840" width="11.42578125" style="30"/>
    <col min="3841" max="3841" width="0" style="30" hidden="1" customWidth="1"/>
    <col min="3842" max="3842" width="6" style="30" customWidth="1"/>
    <col min="3843" max="3843" width="30.140625" style="30" bestFit="1" customWidth="1"/>
    <col min="3844" max="3844" width="8.7109375" style="30" customWidth="1"/>
    <col min="3845" max="3845" width="6.7109375" style="30" customWidth="1"/>
    <col min="3846" max="3846" width="8.7109375" style="30" customWidth="1"/>
    <col min="3847" max="3847" width="6.7109375" style="30" customWidth="1"/>
    <col min="3848" max="3848" width="8.7109375" style="30" customWidth="1"/>
    <col min="3849" max="3849" width="6.7109375" style="30" customWidth="1"/>
    <col min="3850" max="3850" width="8.7109375" style="30" customWidth="1"/>
    <col min="3851" max="3851" width="6.7109375" style="30" customWidth="1"/>
    <col min="3852" max="3852" width="8.7109375" style="30" customWidth="1"/>
    <col min="3853" max="3853" width="6.7109375" style="30" customWidth="1"/>
    <col min="3854" max="3858" width="0" style="30" hidden="1" customWidth="1"/>
    <col min="3859" max="3859" width="8.7109375" style="30" customWidth="1"/>
    <col min="3860" max="3860" width="6.7109375" style="30" customWidth="1"/>
    <col min="3861" max="3861" width="6.28515625" style="30" bestFit="1" customWidth="1"/>
    <col min="3862" max="3863" width="11.42578125" style="30"/>
    <col min="3864" max="3864" width="51.28515625" style="30" bestFit="1" customWidth="1"/>
    <col min="3865" max="4096" width="11.42578125" style="30"/>
    <col min="4097" max="4097" width="0" style="30" hidden="1" customWidth="1"/>
    <col min="4098" max="4098" width="6" style="30" customWidth="1"/>
    <col min="4099" max="4099" width="30.140625" style="30" bestFit="1" customWidth="1"/>
    <col min="4100" max="4100" width="8.7109375" style="30" customWidth="1"/>
    <col min="4101" max="4101" width="6.7109375" style="30" customWidth="1"/>
    <col min="4102" max="4102" width="8.7109375" style="30" customWidth="1"/>
    <col min="4103" max="4103" width="6.7109375" style="30" customWidth="1"/>
    <col min="4104" max="4104" width="8.7109375" style="30" customWidth="1"/>
    <col min="4105" max="4105" width="6.7109375" style="30" customWidth="1"/>
    <col min="4106" max="4106" width="8.7109375" style="30" customWidth="1"/>
    <col min="4107" max="4107" width="6.7109375" style="30" customWidth="1"/>
    <col min="4108" max="4108" width="8.7109375" style="30" customWidth="1"/>
    <col min="4109" max="4109" width="6.7109375" style="30" customWidth="1"/>
    <col min="4110" max="4114" width="0" style="30" hidden="1" customWidth="1"/>
    <col min="4115" max="4115" width="8.7109375" style="30" customWidth="1"/>
    <col min="4116" max="4116" width="6.7109375" style="30" customWidth="1"/>
    <col min="4117" max="4117" width="6.28515625" style="30" bestFit="1" customWidth="1"/>
    <col min="4118" max="4119" width="11.42578125" style="30"/>
    <col min="4120" max="4120" width="51.28515625" style="30" bestFit="1" customWidth="1"/>
    <col min="4121" max="4352" width="11.42578125" style="30"/>
    <col min="4353" max="4353" width="0" style="30" hidden="1" customWidth="1"/>
    <col min="4354" max="4354" width="6" style="30" customWidth="1"/>
    <col min="4355" max="4355" width="30.140625" style="30" bestFit="1" customWidth="1"/>
    <col min="4356" max="4356" width="8.7109375" style="30" customWidth="1"/>
    <col min="4357" max="4357" width="6.7109375" style="30" customWidth="1"/>
    <col min="4358" max="4358" width="8.7109375" style="30" customWidth="1"/>
    <col min="4359" max="4359" width="6.7109375" style="30" customWidth="1"/>
    <col min="4360" max="4360" width="8.7109375" style="30" customWidth="1"/>
    <col min="4361" max="4361" width="6.7109375" style="30" customWidth="1"/>
    <col min="4362" max="4362" width="8.7109375" style="30" customWidth="1"/>
    <col min="4363" max="4363" width="6.7109375" style="30" customWidth="1"/>
    <col min="4364" max="4364" width="8.7109375" style="30" customWidth="1"/>
    <col min="4365" max="4365" width="6.7109375" style="30" customWidth="1"/>
    <col min="4366" max="4370" width="0" style="30" hidden="1" customWidth="1"/>
    <col min="4371" max="4371" width="8.7109375" style="30" customWidth="1"/>
    <col min="4372" max="4372" width="6.7109375" style="30" customWidth="1"/>
    <col min="4373" max="4373" width="6.28515625" style="30" bestFit="1" customWidth="1"/>
    <col min="4374" max="4375" width="11.42578125" style="30"/>
    <col min="4376" max="4376" width="51.28515625" style="30" bestFit="1" customWidth="1"/>
    <col min="4377" max="4608" width="11.42578125" style="30"/>
    <col min="4609" max="4609" width="0" style="30" hidden="1" customWidth="1"/>
    <col min="4610" max="4610" width="6" style="30" customWidth="1"/>
    <col min="4611" max="4611" width="30.140625" style="30" bestFit="1" customWidth="1"/>
    <col min="4612" max="4612" width="8.7109375" style="30" customWidth="1"/>
    <col min="4613" max="4613" width="6.7109375" style="30" customWidth="1"/>
    <col min="4614" max="4614" width="8.7109375" style="30" customWidth="1"/>
    <col min="4615" max="4615" width="6.7109375" style="30" customWidth="1"/>
    <col min="4616" max="4616" width="8.7109375" style="30" customWidth="1"/>
    <col min="4617" max="4617" width="6.7109375" style="30" customWidth="1"/>
    <col min="4618" max="4618" width="8.7109375" style="30" customWidth="1"/>
    <col min="4619" max="4619" width="6.7109375" style="30" customWidth="1"/>
    <col min="4620" max="4620" width="8.7109375" style="30" customWidth="1"/>
    <col min="4621" max="4621" width="6.7109375" style="30" customWidth="1"/>
    <col min="4622" max="4626" width="0" style="30" hidden="1" customWidth="1"/>
    <col min="4627" max="4627" width="8.7109375" style="30" customWidth="1"/>
    <col min="4628" max="4628" width="6.7109375" style="30" customWidth="1"/>
    <col min="4629" max="4629" width="6.28515625" style="30" bestFit="1" customWidth="1"/>
    <col min="4630" max="4631" width="11.42578125" style="30"/>
    <col min="4632" max="4632" width="51.28515625" style="30" bestFit="1" customWidth="1"/>
    <col min="4633" max="4864" width="11.42578125" style="30"/>
    <col min="4865" max="4865" width="0" style="30" hidden="1" customWidth="1"/>
    <col min="4866" max="4866" width="6" style="30" customWidth="1"/>
    <col min="4867" max="4867" width="30.140625" style="30" bestFit="1" customWidth="1"/>
    <col min="4868" max="4868" width="8.7109375" style="30" customWidth="1"/>
    <col min="4869" max="4869" width="6.7109375" style="30" customWidth="1"/>
    <col min="4870" max="4870" width="8.7109375" style="30" customWidth="1"/>
    <col min="4871" max="4871" width="6.7109375" style="30" customWidth="1"/>
    <col min="4872" max="4872" width="8.7109375" style="30" customWidth="1"/>
    <col min="4873" max="4873" width="6.7109375" style="30" customWidth="1"/>
    <col min="4874" max="4874" width="8.7109375" style="30" customWidth="1"/>
    <col min="4875" max="4875" width="6.7109375" style="30" customWidth="1"/>
    <col min="4876" max="4876" width="8.7109375" style="30" customWidth="1"/>
    <col min="4877" max="4877" width="6.7109375" style="30" customWidth="1"/>
    <col min="4878" max="4882" width="0" style="30" hidden="1" customWidth="1"/>
    <col min="4883" max="4883" width="8.7109375" style="30" customWidth="1"/>
    <col min="4884" max="4884" width="6.7109375" style="30" customWidth="1"/>
    <col min="4885" max="4885" width="6.28515625" style="30" bestFit="1" customWidth="1"/>
    <col min="4886" max="4887" width="11.42578125" style="30"/>
    <col min="4888" max="4888" width="51.28515625" style="30" bestFit="1" customWidth="1"/>
    <col min="4889" max="5120" width="11.42578125" style="30"/>
    <col min="5121" max="5121" width="0" style="30" hidden="1" customWidth="1"/>
    <col min="5122" max="5122" width="6" style="30" customWidth="1"/>
    <col min="5123" max="5123" width="30.140625" style="30" bestFit="1" customWidth="1"/>
    <col min="5124" max="5124" width="8.7109375" style="30" customWidth="1"/>
    <col min="5125" max="5125" width="6.7109375" style="30" customWidth="1"/>
    <col min="5126" max="5126" width="8.7109375" style="30" customWidth="1"/>
    <col min="5127" max="5127" width="6.7109375" style="30" customWidth="1"/>
    <col min="5128" max="5128" width="8.7109375" style="30" customWidth="1"/>
    <col min="5129" max="5129" width="6.7109375" style="30" customWidth="1"/>
    <col min="5130" max="5130" width="8.7109375" style="30" customWidth="1"/>
    <col min="5131" max="5131" width="6.7109375" style="30" customWidth="1"/>
    <col min="5132" max="5132" width="8.7109375" style="30" customWidth="1"/>
    <col min="5133" max="5133" width="6.7109375" style="30" customWidth="1"/>
    <col min="5134" max="5138" width="0" style="30" hidden="1" customWidth="1"/>
    <col min="5139" max="5139" width="8.7109375" style="30" customWidth="1"/>
    <col min="5140" max="5140" width="6.7109375" style="30" customWidth="1"/>
    <col min="5141" max="5141" width="6.28515625" style="30" bestFit="1" customWidth="1"/>
    <col min="5142" max="5143" width="11.42578125" style="30"/>
    <col min="5144" max="5144" width="51.28515625" style="30" bestFit="1" customWidth="1"/>
    <col min="5145" max="5376" width="11.42578125" style="30"/>
    <col min="5377" max="5377" width="0" style="30" hidden="1" customWidth="1"/>
    <col min="5378" max="5378" width="6" style="30" customWidth="1"/>
    <col min="5379" max="5379" width="30.140625" style="30" bestFit="1" customWidth="1"/>
    <col min="5380" max="5380" width="8.7109375" style="30" customWidth="1"/>
    <col min="5381" max="5381" width="6.7109375" style="30" customWidth="1"/>
    <col min="5382" max="5382" width="8.7109375" style="30" customWidth="1"/>
    <col min="5383" max="5383" width="6.7109375" style="30" customWidth="1"/>
    <col min="5384" max="5384" width="8.7109375" style="30" customWidth="1"/>
    <col min="5385" max="5385" width="6.7109375" style="30" customWidth="1"/>
    <col min="5386" max="5386" width="8.7109375" style="30" customWidth="1"/>
    <col min="5387" max="5387" width="6.7109375" style="30" customWidth="1"/>
    <col min="5388" max="5388" width="8.7109375" style="30" customWidth="1"/>
    <col min="5389" max="5389" width="6.7109375" style="30" customWidth="1"/>
    <col min="5390" max="5394" width="0" style="30" hidden="1" customWidth="1"/>
    <col min="5395" max="5395" width="8.7109375" style="30" customWidth="1"/>
    <col min="5396" max="5396" width="6.7109375" style="30" customWidth="1"/>
    <col min="5397" max="5397" width="6.28515625" style="30" bestFit="1" customWidth="1"/>
    <col min="5398" max="5399" width="11.42578125" style="30"/>
    <col min="5400" max="5400" width="51.28515625" style="30" bestFit="1" customWidth="1"/>
    <col min="5401" max="5632" width="11.42578125" style="30"/>
    <col min="5633" max="5633" width="0" style="30" hidden="1" customWidth="1"/>
    <col min="5634" max="5634" width="6" style="30" customWidth="1"/>
    <col min="5635" max="5635" width="30.140625" style="30" bestFit="1" customWidth="1"/>
    <col min="5636" max="5636" width="8.7109375" style="30" customWidth="1"/>
    <col min="5637" max="5637" width="6.7109375" style="30" customWidth="1"/>
    <col min="5638" max="5638" width="8.7109375" style="30" customWidth="1"/>
    <col min="5639" max="5639" width="6.7109375" style="30" customWidth="1"/>
    <col min="5640" max="5640" width="8.7109375" style="30" customWidth="1"/>
    <col min="5641" max="5641" width="6.7109375" style="30" customWidth="1"/>
    <col min="5642" max="5642" width="8.7109375" style="30" customWidth="1"/>
    <col min="5643" max="5643" width="6.7109375" style="30" customWidth="1"/>
    <col min="5644" max="5644" width="8.7109375" style="30" customWidth="1"/>
    <col min="5645" max="5645" width="6.7109375" style="30" customWidth="1"/>
    <col min="5646" max="5650" width="0" style="30" hidden="1" customWidth="1"/>
    <col min="5651" max="5651" width="8.7109375" style="30" customWidth="1"/>
    <col min="5652" max="5652" width="6.7109375" style="30" customWidth="1"/>
    <col min="5653" max="5653" width="6.28515625" style="30" bestFit="1" customWidth="1"/>
    <col min="5654" max="5655" width="11.42578125" style="30"/>
    <col min="5656" max="5656" width="51.28515625" style="30" bestFit="1" customWidth="1"/>
    <col min="5657" max="5888" width="11.42578125" style="30"/>
    <col min="5889" max="5889" width="0" style="30" hidden="1" customWidth="1"/>
    <col min="5890" max="5890" width="6" style="30" customWidth="1"/>
    <col min="5891" max="5891" width="30.140625" style="30" bestFit="1" customWidth="1"/>
    <col min="5892" max="5892" width="8.7109375" style="30" customWidth="1"/>
    <col min="5893" max="5893" width="6.7109375" style="30" customWidth="1"/>
    <col min="5894" max="5894" width="8.7109375" style="30" customWidth="1"/>
    <col min="5895" max="5895" width="6.7109375" style="30" customWidth="1"/>
    <col min="5896" max="5896" width="8.7109375" style="30" customWidth="1"/>
    <col min="5897" max="5897" width="6.7109375" style="30" customWidth="1"/>
    <col min="5898" max="5898" width="8.7109375" style="30" customWidth="1"/>
    <col min="5899" max="5899" width="6.7109375" style="30" customWidth="1"/>
    <col min="5900" max="5900" width="8.7109375" style="30" customWidth="1"/>
    <col min="5901" max="5901" width="6.7109375" style="30" customWidth="1"/>
    <col min="5902" max="5906" width="0" style="30" hidden="1" customWidth="1"/>
    <col min="5907" max="5907" width="8.7109375" style="30" customWidth="1"/>
    <col min="5908" max="5908" width="6.7109375" style="30" customWidth="1"/>
    <col min="5909" max="5909" width="6.28515625" style="30" bestFit="1" customWidth="1"/>
    <col min="5910" max="5911" width="11.42578125" style="30"/>
    <col min="5912" max="5912" width="51.28515625" style="30" bestFit="1" customWidth="1"/>
    <col min="5913" max="6144" width="11.42578125" style="30"/>
    <col min="6145" max="6145" width="0" style="30" hidden="1" customWidth="1"/>
    <col min="6146" max="6146" width="6" style="30" customWidth="1"/>
    <col min="6147" max="6147" width="30.140625" style="30" bestFit="1" customWidth="1"/>
    <col min="6148" max="6148" width="8.7109375" style="30" customWidth="1"/>
    <col min="6149" max="6149" width="6.7109375" style="30" customWidth="1"/>
    <col min="6150" max="6150" width="8.7109375" style="30" customWidth="1"/>
    <col min="6151" max="6151" width="6.7109375" style="30" customWidth="1"/>
    <col min="6152" max="6152" width="8.7109375" style="30" customWidth="1"/>
    <col min="6153" max="6153" width="6.7109375" style="30" customWidth="1"/>
    <col min="6154" max="6154" width="8.7109375" style="30" customWidth="1"/>
    <col min="6155" max="6155" width="6.7109375" style="30" customWidth="1"/>
    <col min="6156" max="6156" width="8.7109375" style="30" customWidth="1"/>
    <col min="6157" max="6157" width="6.7109375" style="30" customWidth="1"/>
    <col min="6158" max="6162" width="0" style="30" hidden="1" customWidth="1"/>
    <col min="6163" max="6163" width="8.7109375" style="30" customWidth="1"/>
    <col min="6164" max="6164" width="6.7109375" style="30" customWidth="1"/>
    <col min="6165" max="6165" width="6.28515625" style="30" bestFit="1" customWidth="1"/>
    <col min="6166" max="6167" width="11.42578125" style="30"/>
    <col min="6168" max="6168" width="51.28515625" style="30" bestFit="1" customWidth="1"/>
    <col min="6169" max="6400" width="11.42578125" style="30"/>
    <col min="6401" max="6401" width="0" style="30" hidden="1" customWidth="1"/>
    <col min="6402" max="6402" width="6" style="30" customWidth="1"/>
    <col min="6403" max="6403" width="30.140625" style="30" bestFit="1" customWidth="1"/>
    <col min="6404" max="6404" width="8.7109375" style="30" customWidth="1"/>
    <col min="6405" max="6405" width="6.7109375" style="30" customWidth="1"/>
    <col min="6406" max="6406" width="8.7109375" style="30" customWidth="1"/>
    <col min="6407" max="6407" width="6.7109375" style="30" customWidth="1"/>
    <col min="6408" max="6408" width="8.7109375" style="30" customWidth="1"/>
    <col min="6409" max="6409" width="6.7109375" style="30" customWidth="1"/>
    <col min="6410" max="6410" width="8.7109375" style="30" customWidth="1"/>
    <col min="6411" max="6411" width="6.7109375" style="30" customWidth="1"/>
    <col min="6412" max="6412" width="8.7109375" style="30" customWidth="1"/>
    <col min="6413" max="6413" width="6.7109375" style="30" customWidth="1"/>
    <col min="6414" max="6418" width="0" style="30" hidden="1" customWidth="1"/>
    <col min="6419" max="6419" width="8.7109375" style="30" customWidth="1"/>
    <col min="6420" max="6420" width="6.7109375" style="30" customWidth="1"/>
    <col min="6421" max="6421" width="6.28515625" style="30" bestFit="1" customWidth="1"/>
    <col min="6422" max="6423" width="11.42578125" style="30"/>
    <col min="6424" max="6424" width="51.28515625" style="30" bestFit="1" customWidth="1"/>
    <col min="6425" max="6656" width="11.42578125" style="30"/>
    <col min="6657" max="6657" width="0" style="30" hidden="1" customWidth="1"/>
    <col min="6658" max="6658" width="6" style="30" customWidth="1"/>
    <col min="6659" max="6659" width="30.140625" style="30" bestFit="1" customWidth="1"/>
    <col min="6660" max="6660" width="8.7109375" style="30" customWidth="1"/>
    <col min="6661" max="6661" width="6.7109375" style="30" customWidth="1"/>
    <col min="6662" max="6662" width="8.7109375" style="30" customWidth="1"/>
    <col min="6663" max="6663" width="6.7109375" style="30" customWidth="1"/>
    <col min="6664" max="6664" width="8.7109375" style="30" customWidth="1"/>
    <col min="6665" max="6665" width="6.7109375" style="30" customWidth="1"/>
    <col min="6666" max="6666" width="8.7109375" style="30" customWidth="1"/>
    <col min="6667" max="6667" width="6.7109375" style="30" customWidth="1"/>
    <col min="6668" max="6668" width="8.7109375" style="30" customWidth="1"/>
    <col min="6669" max="6669" width="6.7109375" style="30" customWidth="1"/>
    <col min="6670" max="6674" width="0" style="30" hidden="1" customWidth="1"/>
    <col min="6675" max="6675" width="8.7109375" style="30" customWidth="1"/>
    <col min="6676" max="6676" width="6.7109375" style="30" customWidth="1"/>
    <col min="6677" max="6677" width="6.28515625" style="30" bestFit="1" customWidth="1"/>
    <col min="6678" max="6679" width="11.42578125" style="30"/>
    <col min="6680" max="6680" width="51.28515625" style="30" bestFit="1" customWidth="1"/>
    <col min="6681" max="6912" width="11.42578125" style="30"/>
    <col min="6913" max="6913" width="0" style="30" hidden="1" customWidth="1"/>
    <col min="6914" max="6914" width="6" style="30" customWidth="1"/>
    <col min="6915" max="6915" width="30.140625" style="30" bestFit="1" customWidth="1"/>
    <col min="6916" max="6916" width="8.7109375" style="30" customWidth="1"/>
    <col min="6917" max="6917" width="6.7109375" style="30" customWidth="1"/>
    <col min="6918" max="6918" width="8.7109375" style="30" customWidth="1"/>
    <col min="6919" max="6919" width="6.7109375" style="30" customWidth="1"/>
    <col min="6920" max="6920" width="8.7109375" style="30" customWidth="1"/>
    <col min="6921" max="6921" width="6.7109375" style="30" customWidth="1"/>
    <col min="6922" max="6922" width="8.7109375" style="30" customWidth="1"/>
    <col min="6923" max="6923" width="6.7109375" style="30" customWidth="1"/>
    <col min="6924" max="6924" width="8.7109375" style="30" customWidth="1"/>
    <col min="6925" max="6925" width="6.7109375" style="30" customWidth="1"/>
    <col min="6926" max="6930" width="0" style="30" hidden="1" customWidth="1"/>
    <col min="6931" max="6931" width="8.7109375" style="30" customWidth="1"/>
    <col min="6932" max="6932" width="6.7109375" style="30" customWidth="1"/>
    <col min="6933" max="6933" width="6.28515625" style="30" bestFit="1" customWidth="1"/>
    <col min="6934" max="6935" width="11.42578125" style="30"/>
    <col min="6936" max="6936" width="51.28515625" style="30" bestFit="1" customWidth="1"/>
    <col min="6937" max="7168" width="11.42578125" style="30"/>
    <col min="7169" max="7169" width="0" style="30" hidden="1" customWidth="1"/>
    <col min="7170" max="7170" width="6" style="30" customWidth="1"/>
    <col min="7171" max="7171" width="30.140625" style="30" bestFit="1" customWidth="1"/>
    <col min="7172" max="7172" width="8.7109375" style="30" customWidth="1"/>
    <col min="7173" max="7173" width="6.7109375" style="30" customWidth="1"/>
    <col min="7174" max="7174" width="8.7109375" style="30" customWidth="1"/>
    <col min="7175" max="7175" width="6.7109375" style="30" customWidth="1"/>
    <col min="7176" max="7176" width="8.7109375" style="30" customWidth="1"/>
    <col min="7177" max="7177" width="6.7109375" style="30" customWidth="1"/>
    <col min="7178" max="7178" width="8.7109375" style="30" customWidth="1"/>
    <col min="7179" max="7179" width="6.7109375" style="30" customWidth="1"/>
    <col min="7180" max="7180" width="8.7109375" style="30" customWidth="1"/>
    <col min="7181" max="7181" width="6.7109375" style="30" customWidth="1"/>
    <col min="7182" max="7186" width="0" style="30" hidden="1" customWidth="1"/>
    <col min="7187" max="7187" width="8.7109375" style="30" customWidth="1"/>
    <col min="7188" max="7188" width="6.7109375" style="30" customWidth="1"/>
    <col min="7189" max="7189" width="6.28515625" style="30" bestFit="1" customWidth="1"/>
    <col min="7190" max="7191" width="11.42578125" style="30"/>
    <col min="7192" max="7192" width="51.28515625" style="30" bestFit="1" customWidth="1"/>
    <col min="7193" max="7424" width="11.42578125" style="30"/>
    <col min="7425" max="7425" width="0" style="30" hidden="1" customWidth="1"/>
    <col min="7426" max="7426" width="6" style="30" customWidth="1"/>
    <col min="7427" max="7427" width="30.140625" style="30" bestFit="1" customWidth="1"/>
    <col min="7428" max="7428" width="8.7109375" style="30" customWidth="1"/>
    <col min="7429" max="7429" width="6.7109375" style="30" customWidth="1"/>
    <col min="7430" max="7430" width="8.7109375" style="30" customWidth="1"/>
    <col min="7431" max="7431" width="6.7109375" style="30" customWidth="1"/>
    <col min="7432" max="7432" width="8.7109375" style="30" customWidth="1"/>
    <col min="7433" max="7433" width="6.7109375" style="30" customWidth="1"/>
    <col min="7434" max="7434" width="8.7109375" style="30" customWidth="1"/>
    <col min="7435" max="7435" width="6.7109375" style="30" customWidth="1"/>
    <col min="7436" max="7436" width="8.7109375" style="30" customWidth="1"/>
    <col min="7437" max="7437" width="6.7109375" style="30" customWidth="1"/>
    <col min="7438" max="7442" width="0" style="30" hidden="1" customWidth="1"/>
    <col min="7443" max="7443" width="8.7109375" style="30" customWidth="1"/>
    <col min="7444" max="7444" width="6.7109375" style="30" customWidth="1"/>
    <col min="7445" max="7445" width="6.28515625" style="30" bestFit="1" customWidth="1"/>
    <col min="7446" max="7447" width="11.42578125" style="30"/>
    <col min="7448" max="7448" width="51.28515625" style="30" bestFit="1" customWidth="1"/>
    <col min="7449" max="7680" width="11.42578125" style="30"/>
    <col min="7681" max="7681" width="0" style="30" hidden="1" customWidth="1"/>
    <col min="7682" max="7682" width="6" style="30" customWidth="1"/>
    <col min="7683" max="7683" width="30.140625" style="30" bestFit="1" customWidth="1"/>
    <col min="7684" max="7684" width="8.7109375" style="30" customWidth="1"/>
    <col min="7685" max="7685" width="6.7109375" style="30" customWidth="1"/>
    <col min="7686" max="7686" width="8.7109375" style="30" customWidth="1"/>
    <col min="7687" max="7687" width="6.7109375" style="30" customWidth="1"/>
    <col min="7688" max="7688" width="8.7109375" style="30" customWidth="1"/>
    <col min="7689" max="7689" width="6.7109375" style="30" customWidth="1"/>
    <col min="7690" max="7690" width="8.7109375" style="30" customWidth="1"/>
    <col min="7691" max="7691" width="6.7109375" style="30" customWidth="1"/>
    <col min="7692" max="7692" width="8.7109375" style="30" customWidth="1"/>
    <col min="7693" max="7693" width="6.7109375" style="30" customWidth="1"/>
    <col min="7694" max="7698" width="0" style="30" hidden="1" customWidth="1"/>
    <col min="7699" max="7699" width="8.7109375" style="30" customWidth="1"/>
    <col min="7700" max="7700" width="6.7109375" style="30" customWidth="1"/>
    <col min="7701" max="7701" width="6.28515625" style="30" bestFit="1" customWidth="1"/>
    <col min="7702" max="7703" width="11.42578125" style="30"/>
    <col min="7704" max="7704" width="51.28515625" style="30" bestFit="1" customWidth="1"/>
    <col min="7705" max="7936" width="11.42578125" style="30"/>
    <col min="7937" max="7937" width="0" style="30" hidden="1" customWidth="1"/>
    <col min="7938" max="7938" width="6" style="30" customWidth="1"/>
    <col min="7939" max="7939" width="30.140625" style="30" bestFit="1" customWidth="1"/>
    <col min="7940" max="7940" width="8.7109375" style="30" customWidth="1"/>
    <col min="7941" max="7941" width="6.7109375" style="30" customWidth="1"/>
    <col min="7942" max="7942" width="8.7109375" style="30" customWidth="1"/>
    <col min="7943" max="7943" width="6.7109375" style="30" customWidth="1"/>
    <col min="7944" max="7944" width="8.7109375" style="30" customWidth="1"/>
    <col min="7945" max="7945" width="6.7109375" style="30" customWidth="1"/>
    <col min="7946" max="7946" width="8.7109375" style="30" customWidth="1"/>
    <col min="7947" max="7947" width="6.7109375" style="30" customWidth="1"/>
    <col min="7948" max="7948" width="8.7109375" style="30" customWidth="1"/>
    <col min="7949" max="7949" width="6.7109375" style="30" customWidth="1"/>
    <col min="7950" max="7954" width="0" style="30" hidden="1" customWidth="1"/>
    <col min="7955" max="7955" width="8.7109375" style="30" customWidth="1"/>
    <col min="7956" max="7956" width="6.7109375" style="30" customWidth="1"/>
    <col min="7957" max="7957" width="6.28515625" style="30" bestFit="1" customWidth="1"/>
    <col min="7958" max="7959" width="11.42578125" style="30"/>
    <col min="7960" max="7960" width="51.28515625" style="30" bestFit="1" customWidth="1"/>
    <col min="7961" max="8192" width="11.42578125" style="30"/>
    <col min="8193" max="8193" width="0" style="30" hidden="1" customWidth="1"/>
    <col min="8194" max="8194" width="6" style="30" customWidth="1"/>
    <col min="8195" max="8195" width="30.140625" style="30" bestFit="1" customWidth="1"/>
    <col min="8196" max="8196" width="8.7109375" style="30" customWidth="1"/>
    <col min="8197" max="8197" width="6.7109375" style="30" customWidth="1"/>
    <col min="8198" max="8198" width="8.7109375" style="30" customWidth="1"/>
    <col min="8199" max="8199" width="6.7109375" style="30" customWidth="1"/>
    <col min="8200" max="8200" width="8.7109375" style="30" customWidth="1"/>
    <col min="8201" max="8201" width="6.7109375" style="30" customWidth="1"/>
    <col min="8202" max="8202" width="8.7109375" style="30" customWidth="1"/>
    <col min="8203" max="8203" width="6.7109375" style="30" customWidth="1"/>
    <col min="8204" max="8204" width="8.7109375" style="30" customWidth="1"/>
    <col min="8205" max="8205" width="6.7109375" style="30" customWidth="1"/>
    <col min="8206" max="8210" width="0" style="30" hidden="1" customWidth="1"/>
    <col min="8211" max="8211" width="8.7109375" style="30" customWidth="1"/>
    <col min="8212" max="8212" width="6.7109375" style="30" customWidth="1"/>
    <col min="8213" max="8213" width="6.28515625" style="30" bestFit="1" customWidth="1"/>
    <col min="8214" max="8215" width="11.42578125" style="30"/>
    <col min="8216" max="8216" width="51.28515625" style="30" bestFit="1" customWidth="1"/>
    <col min="8217" max="8448" width="11.42578125" style="30"/>
    <col min="8449" max="8449" width="0" style="30" hidden="1" customWidth="1"/>
    <col min="8450" max="8450" width="6" style="30" customWidth="1"/>
    <col min="8451" max="8451" width="30.140625" style="30" bestFit="1" customWidth="1"/>
    <col min="8452" max="8452" width="8.7109375" style="30" customWidth="1"/>
    <col min="8453" max="8453" width="6.7109375" style="30" customWidth="1"/>
    <col min="8454" max="8454" width="8.7109375" style="30" customWidth="1"/>
    <col min="8455" max="8455" width="6.7109375" style="30" customWidth="1"/>
    <col min="8456" max="8456" width="8.7109375" style="30" customWidth="1"/>
    <col min="8457" max="8457" width="6.7109375" style="30" customWidth="1"/>
    <col min="8458" max="8458" width="8.7109375" style="30" customWidth="1"/>
    <col min="8459" max="8459" width="6.7109375" style="30" customWidth="1"/>
    <col min="8460" max="8460" width="8.7109375" style="30" customWidth="1"/>
    <col min="8461" max="8461" width="6.7109375" style="30" customWidth="1"/>
    <col min="8462" max="8466" width="0" style="30" hidden="1" customWidth="1"/>
    <col min="8467" max="8467" width="8.7109375" style="30" customWidth="1"/>
    <col min="8468" max="8468" width="6.7109375" style="30" customWidth="1"/>
    <col min="8469" max="8469" width="6.28515625" style="30" bestFit="1" customWidth="1"/>
    <col min="8470" max="8471" width="11.42578125" style="30"/>
    <col min="8472" max="8472" width="51.28515625" style="30" bestFit="1" customWidth="1"/>
    <col min="8473" max="8704" width="11.42578125" style="30"/>
    <col min="8705" max="8705" width="0" style="30" hidden="1" customWidth="1"/>
    <col min="8706" max="8706" width="6" style="30" customWidth="1"/>
    <col min="8707" max="8707" width="30.140625" style="30" bestFit="1" customWidth="1"/>
    <col min="8708" max="8708" width="8.7109375" style="30" customWidth="1"/>
    <col min="8709" max="8709" width="6.7109375" style="30" customWidth="1"/>
    <col min="8710" max="8710" width="8.7109375" style="30" customWidth="1"/>
    <col min="8711" max="8711" width="6.7109375" style="30" customWidth="1"/>
    <col min="8712" max="8712" width="8.7109375" style="30" customWidth="1"/>
    <col min="8713" max="8713" width="6.7109375" style="30" customWidth="1"/>
    <col min="8714" max="8714" width="8.7109375" style="30" customWidth="1"/>
    <col min="8715" max="8715" width="6.7109375" style="30" customWidth="1"/>
    <col min="8716" max="8716" width="8.7109375" style="30" customWidth="1"/>
    <col min="8717" max="8717" width="6.7109375" style="30" customWidth="1"/>
    <col min="8718" max="8722" width="0" style="30" hidden="1" customWidth="1"/>
    <col min="8723" max="8723" width="8.7109375" style="30" customWidth="1"/>
    <col min="8724" max="8724" width="6.7109375" style="30" customWidth="1"/>
    <col min="8725" max="8725" width="6.28515625" style="30" bestFit="1" customWidth="1"/>
    <col min="8726" max="8727" width="11.42578125" style="30"/>
    <col min="8728" max="8728" width="51.28515625" style="30" bestFit="1" customWidth="1"/>
    <col min="8729" max="8960" width="11.42578125" style="30"/>
    <col min="8961" max="8961" width="0" style="30" hidden="1" customWidth="1"/>
    <col min="8962" max="8962" width="6" style="30" customWidth="1"/>
    <col min="8963" max="8963" width="30.140625" style="30" bestFit="1" customWidth="1"/>
    <col min="8964" max="8964" width="8.7109375" style="30" customWidth="1"/>
    <col min="8965" max="8965" width="6.7109375" style="30" customWidth="1"/>
    <col min="8966" max="8966" width="8.7109375" style="30" customWidth="1"/>
    <col min="8967" max="8967" width="6.7109375" style="30" customWidth="1"/>
    <col min="8968" max="8968" width="8.7109375" style="30" customWidth="1"/>
    <col min="8969" max="8969" width="6.7109375" style="30" customWidth="1"/>
    <col min="8970" max="8970" width="8.7109375" style="30" customWidth="1"/>
    <col min="8971" max="8971" width="6.7109375" style="30" customWidth="1"/>
    <col min="8972" max="8972" width="8.7109375" style="30" customWidth="1"/>
    <col min="8973" max="8973" width="6.7109375" style="30" customWidth="1"/>
    <col min="8974" max="8978" width="0" style="30" hidden="1" customWidth="1"/>
    <col min="8979" max="8979" width="8.7109375" style="30" customWidth="1"/>
    <col min="8980" max="8980" width="6.7109375" style="30" customWidth="1"/>
    <col min="8981" max="8981" width="6.28515625" style="30" bestFit="1" customWidth="1"/>
    <col min="8982" max="8983" width="11.42578125" style="30"/>
    <col min="8984" max="8984" width="51.28515625" style="30" bestFit="1" customWidth="1"/>
    <col min="8985" max="9216" width="11.42578125" style="30"/>
    <col min="9217" max="9217" width="0" style="30" hidden="1" customWidth="1"/>
    <col min="9218" max="9218" width="6" style="30" customWidth="1"/>
    <col min="9219" max="9219" width="30.140625" style="30" bestFit="1" customWidth="1"/>
    <col min="9220" max="9220" width="8.7109375" style="30" customWidth="1"/>
    <col min="9221" max="9221" width="6.7109375" style="30" customWidth="1"/>
    <col min="9222" max="9222" width="8.7109375" style="30" customWidth="1"/>
    <col min="9223" max="9223" width="6.7109375" style="30" customWidth="1"/>
    <col min="9224" max="9224" width="8.7109375" style="30" customWidth="1"/>
    <col min="9225" max="9225" width="6.7109375" style="30" customWidth="1"/>
    <col min="9226" max="9226" width="8.7109375" style="30" customWidth="1"/>
    <col min="9227" max="9227" width="6.7109375" style="30" customWidth="1"/>
    <col min="9228" max="9228" width="8.7109375" style="30" customWidth="1"/>
    <col min="9229" max="9229" width="6.7109375" style="30" customWidth="1"/>
    <col min="9230" max="9234" width="0" style="30" hidden="1" customWidth="1"/>
    <col min="9235" max="9235" width="8.7109375" style="30" customWidth="1"/>
    <col min="9236" max="9236" width="6.7109375" style="30" customWidth="1"/>
    <col min="9237" max="9237" width="6.28515625" style="30" bestFit="1" customWidth="1"/>
    <col min="9238" max="9239" width="11.42578125" style="30"/>
    <col min="9240" max="9240" width="51.28515625" style="30" bestFit="1" customWidth="1"/>
    <col min="9241" max="9472" width="11.42578125" style="30"/>
    <col min="9473" max="9473" width="0" style="30" hidden="1" customWidth="1"/>
    <col min="9474" max="9474" width="6" style="30" customWidth="1"/>
    <col min="9475" max="9475" width="30.140625" style="30" bestFit="1" customWidth="1"/>
    <col min="9476" max="9476" width="8.7109375" style="30" customWidth="1"/>
    <col min="9477" max="9477" width="6.7109375" style="30" customWidth="1"/>
    <col min="9478" max="9478" width="8.7109375" style="30" customWidth="1"/>
    <col min="9479" max="9479" width="6.7109375" style="30" customWidth="1"/>
    <col min="9480" max="9480" width="8.7109375" style="30" customWidth="1"/>
    <col min="9481" max="9481" width="6.7109375" style="30" customWidth="1"/>
    <col min="9482" max="9482" width="8.7109375" style="30" customWidth="1"/>
    <col min="9483" max="9483" width="6.7109375" style="30" customWidth="1"/>
    <col min="9484" max="9484" width="8.7109375" style="30" customWidth="1"/>
    <col min="9485" max="9485" width="6.7109375" style="30" customWidth="1"/>
    <col min="9486" max="9490" width="0" style="30" hidden="1" customWidth="1"/>
    <col min="9491" max="9491" width="8.7109375" style="30" customWidth="1"/>
    <col min="9492" max="9492" width="6.7109375" style="30" customWidth="1"/>
    <col min="9493" max="9493" width="6.28515625" style="30" bestFit="1" customWidth="1"/>
    <col min="9494" max="9495" width="11.42578125" style="30"/>
    <col min="9496" max="9496" width="51.28515625" style="30" bestFit="1" customWidth="1"/>
    <col min="9497" max="9728" width="11.42578125" style="30"/>
    <col min="9729" max="9729" width="0" style="30" hidden="1" customWidth="1"/>
    <col min="9730" max="9730" width="6" style="30" customWidth="1"/>
    <col min="9731" max="9731" width="30.140625" style="30" bestFit="1" customWidth="1"/>
    <col min="9732" max="9732" width="8.7109375" style="30" customWidth="1"/>
    <col min="9733" max="9733" width="6.7109375" style="30" customWidth="1"/>
    <col min="9734" max="9734" width="8.7109375" style="30" customWidth="1"/>
    <col min="9735" max="9735" width="6.7109375" style="30" customWidth="1"/>
    <col min="9736" max="9736" width="8.7109375" style="30" customWidth="1"/>
    <col min="9737" max="9737" width="6.7109375" style="30" customWidth="1"/>
    <col min="9738" max="9738" width="8.7109375" style="30" customWidth="1"/>
    <col min="9739" max="9739" width="6.7109375" style="30" customWidth="1"/>
    <col min="9740" max="9740" width="8.7109375" style="30" customWidth="1"/>
    <col min="9741" max="9741" width="6.7109375" style="30" customWidth="1"/>
    <col min="9742" max="9746" width="0" style="30" hidden="1" customWidth="1"/>
    <col min="9747" max="9747" width="8.7109375" style="30" customWidth="1"/>
    <col min="9748" max="9748" width="6.7109375" style="30" customWidth="1"/>
    <col min="9749" max="9749" width="6.28515625" style="30" bestFit="1" customWidth="1"/>
    <col min="9750" max="9751" width="11.42578125" style="30"/>
    <col min="9752" max="9752" width="51.28515625" style="30" bestFit="1" customWidth="1"/>
    <col min="9753" max="9984" width="11.42578125" style="30"/>
    <col min="9985" max="9985" width="0" style="30" hidden="1" customWidth="1"/>
    <col min="9986" max="9986" width="6" style="30" customWidth="1"/>
    <col min="9987" max="9987" width="30.140625" style="30" bestFit="1" customWidth="1"/>
    <col min="9988" max="9988" width="8.7109375" style="30" customWidth="1"/>
    <col min="9989" max="9989" width="6.7109375" style="30" customWidth="1"/>
    <col min="9990" max="9990" width="8.7109375" style="30" customWidth="1"/>
    <col min="9991" max="9991" width="6.7109375" style="30" customWidth="1"/>
    <col min="9992" max="9992" width="8.7109375" style="30" customWidth="1"/>
    <col min="9993" max="9993" width="6.7109375" style="30" customWidth="1"/>
    <col min="9994" max="9994" width="8.7109375" style="30" customWidth="1"/>
    <col min="9995" max="9995" width="6.7109375" style="30" customWidth="1"/>
    <col min="9996" max="9996" width="8.7109375" style="30" customWidth="1"/>
    <col min="9997" max="9997" width="6.7109375" style="30" customWidth="1"/>
    <col min="9998" max="10002" width="0" style="30" hidden="1" customWidth="1"/>
    <col min="10003" max="10003" width="8.7109375" style="30" customWidth="1"/>
    <col min="10004" max="10004" width="6.7109375" style="30" customWidth="1"/>
    <col min="10005" max="10005" width="6.28515625" style="30" bestFit="1" customWidth="1"/>
    <col min="10006" max="10007" width="11.42578125" style="30"/>
    <col min="10008" max="10008" width="51.28515625" style="30" bestFit="1" customWidth="1"/>
    <col min="10009" max="10240" width="11.42578125" style="30"/>
    <col min="10241" max="10241" width="0" style="30" hidden="1" customWidth="1"/>
    <col min="10242" max="10242" width="6" style="30" customWidth="1"/>
    <col min="10243" max="10243" width="30.140625" style="30" bestFit="1" customWidth="1"/>
    <col min="10244" max="10244" width="8.7109375" style="30" customWidth="1"/>
    <col min="10245" max="10245" width="6.7109375" style="30" customWidth="1"/>
    <col min="10246" max="10246" width="8.7109375" style="30" customWidth="1"/>
    <col min="10247" max="10247" width="6.7109375" style="30" customWidth="1"/>
    <col min="10248" max="10248" width="8.7109375" style="30" customWidth="1"/>
    <col min="10249" max="10249" width="6.7109375" style="30" customWidth="1"/>
    <col min="10250" max="10250" width="8.7109375" style="30" customWidth="1"/>
    <col min="10251" max="10251" width="6.7109375" style="30" customWidth="1"/>
    <col min="10252" max="10252" width="8.7109375" style="30" customWidth="1"/>
    <col min="10253" max="10253" width="6.7109375" style="30" customWidth="1"/>
    <col min="10254" max="10258" width="0" style="30" hidden="1" customWidth="1"/>
    <col min="10259" max="10259" width="8.7109375" style="30" customWidth="1"/>
    <col min="10260" max="10260" width="6.7109375" style="30" customWidth="1"/>
    <col min="10261" max="10261" width="6.28515625" style="30" bestFit="1" customWidth="1"/>
    <col min="10262" max="10263" width="11.42578125" style="30"/>
    <col min="10264" max="10264" width="51.28515625" style="30" bestFit="1" customWidth="1"/>
    <col min="10265" max="10496" width="11.42578125" style="30"/>
    <col min="10497" max="10497" width="0" style="30" hidden="1" customWidth="1"/>
    <col min="10498" max="10498" width="6" style="30" customWidth="1"/>
    <col min="10499" max="10499" width="30.140625" style="30" bestFit="1" customWidth="1"/>
    <col min="10500" max="10500" width="8.7109375" style="30" customWidth="1"/>
    <col min="10501" max="10501" width="6.7109375" style="30" customWidth="1"/>
    <col min="10502" max="10502" width="8.7109375" style="30" customWidth="1"/>
    <col min="10503" max="10503" width="6.7109375" style="30" customWidth="1"/>
    <col min="10504" max="10504" width="8.7109375" style="30" customWidth="1"/>
    <col min="10505" max="10505" width="6.7109375" style="30" customWidth="1"/>
    <col min="10506" max="10506" width="8.7109375" style="30" customWidth="1"/>
    <col min="10507" max="10507" width="6.7109375" style="30" customWidth="1"/>
    <col min="10508" max="10508" width="8.7109375" style="30" customWidth="1"/>
    <col min="10509" max="10509" width="6.7109375" style="30" customWidth="1"/>
    <col min="10510" max="10514" width="0" style="30" hidden="1" customWidth="1"/>
    <col min="10515" max="10515" width="8.7109375" style="30" customWidth="1"/>
    <col min="10516" max="10516" width="6.7109375" style="30" customWidth="1"/>
    <col min="10517" max="10517" width="6.28515625" style="30" bestFit="1" customWidth="1"/>
    <col min="10518" max="10519" width="11.42578125" style="30"/>
    <col min="10520" max="10520" width="51.28515625" style="30" bestFit="1" customWidth="1"/>
    <col min="10521" max="10752" width="11.42578125" style="30"/>
    <col min="10753" max="10753" width="0" style="30" hidden="1" customWidth="1"/>
    <col min="10754" max="10754" width="6" style="30" customWidth="1"/>
    <col min="10755" max="10755" width="30.140625" style="30" bestFit="1" customWidth="1"/>
    <col min="10756" max="10756" width="8.7109375" style="30" customWidth="1"/>
    <col min="10757" max="10757" width="6.7109375" style="30" customWidth="1"/>
    <col min="10758" max="10758" width="8.7109375" style="30" customWidth="1"/>
    <col min="10759" max="10759" width="6.7109375" style="30" customWidth="1"/>
    <col min="10760" max="10760" width="8.7109375" style="30" customWidth="1"/>
    <col min="10761" max="10761" width="6.7109375" style="30" customWidth="1"/>
    <col min="10762" max="10762" width="8.7109375" style="30" customWidth="1"/>
    <col min="10763" max="10763" width="6.7109375" style="30" customWidth="1"/>
    <col min="10764" max="10764" width="8.7109375" style="30" customWidth="1"/>
    <col min="10765" max="10765" width="6.7109375" style="30" customWidth="1"/>
    <col min="10766" max="10770" width="0" style="30" hidden="1" customWidth="1"/>
    <col min="10771" max="10771" width="8.7109375" style="30" customWidth="1"/>
    <col min="10772" max="10772" width="6.7109375" style="30" customWidth="1"/>
    <col min="10773" max="10773" width="6.28515625" style="30" bestFit="1" customWidth="1"/>
    <col min="10774" max="10775" width="11.42578125" style="30"/>
    <col min="10776" max="10776" width="51.28515625" style="30" bestFit="1" customWidth="1"/>
    <col min="10777" max="11008" width="11.42578125" style="30"/>
    <col min="11009" max="11009" width="0" style="30" hidden="1" customWidth="1"/>
    <col min="11010" max="11010" width="6" style="30" customWidth="1"/>
    <col min="11011" max="11011" width="30.140625" style="30" bestFit="1" customWidth="1"/>
    <col min="11012" max="11012" width="8.7109375" style="30" customWidth="1"/>
    <col min="11013" max="11013" width="6.7109375" style="30" customWidth="1"/>
    <col min="11014" max="11014" width="8.7109375" style="30" customWidth="1"/>
    <col min="11015" max="11015" width="6.7109375" style="30" customWidth="1"/>
    <col min="11016" max="11016" width="8.7109375" style="30" customWidth="1"/>
    <col min="11017" max="11017" width="6.7109375" style="30" customWidth="1"/>
    <col min="11018" max="11018" width="8.7109375" style="30" customWidth="1"/>
    <col min="11019" max="11019" width="6.7109375" style="30" customWidth="1"/>
    <col min="11020" max="11020" width="8.7109375" style="30" customWidth="1"/>
    <col min="11021" max="11021" width="6.7109375" style="30" customWidth="1"/>
    <col min="11022" max="11026" width="0" style="30" hidden="1" customWidth="1"/>
    <col min="11027" max="11027" width="8.7109375" style="30" customWidth="1"/>
    <col min="11028" max="11028" width="6.7109375" style="30" customWidth="1"/>
    <col min="11029" max="11029" width="6.28515625" style="30" bestFit="1" customWidth="1"/>
    <col min="11030" max="11031" width="11.42578125" style="30"/>
    <col min="11032" max="11032" width="51.28515625" style="30" bestFit="1" customWidth="1"/>
    <col min="11033" max="11264" width="11.42578125" style="30"/>
    <col min="11265" max="11265" width="0" style="30" hidden="1" customWidth="1"/>
    <col min="11266" max="11266" width="6" style="30" customWidth="1"/>
    <col min="11267" max="11267" width="30.140625" style="30" bestFit="1" customWidth="1"/>
    <col min="11268" max="11268" width="8.7109375" style="30" customWidth="1"/>
    <col min="11269" max="11269" width="6.7109375" style="30" customWidth="1"/>
    <col min="11270" max="11270" width="8.7109375" style="30" customWidth="1"/>
    <col min="11271" max="11271" width="6.7109375" style="30" customWidth="1"/>
    <col min="11272" max="11272" width="8.7109375" style="30" customWidth="1"/>
    <col min="11273" max="11273" width="6.7109375" style="30" customWidth="1"/>
    <col min="11274" max="11274" width="8.7109375" style="30" customWidth="1"/>
    <col min="11275" max="11275" width="6.7109375" style="30" customWidth="1"/>
    <col min="11276" max="11276" width="8.7109375" style="30" customWidth="1"/>
    <col min="11277" max="11277" width="6.7109375" style="30" customWidth="1"/>
    <col min="11278" max="11282" width="0" style="30" hidden="1" customWidth="1"/>
    <col min="11283" max="11283" width="8.7109375" style="30" customWidth="1"/>
    <col min="11284" max="11284" width="6.7109375" style="30" customWidth="1"/>
    <col min="11285" max="11285" width="6.28515625" style="30" bestFit="1" customWidth="1"/>
    <col min="11286" max="11287" width="11.42578125" style="30"/>
    <col min="11288" max="11288" width="51.28515625" style="30" bestFit="1" customWidth="1"/>
    <col min="11289" max="11520" width="11.42578125" style="30"/>
    <col min="11521" max="11521" width="0" style="30" hidden="1" customWidth="1"/>
    <col min="11522" max="11522" width="6" style="30" customWidth="1"/>
    <col min="11523" max="11523" width="30.140625" style="30" bestFit="1" customWidth="1"/>
    <col min="11524" max="11524" width="8.7109375" style="30" customWidth="1"/>
    <col min="11525" max="11525" width="6.7109375" style="30" customWidth="1"/>
    <col min="11526" max="11526" width="8.7109375" style="30" customWidth="1"/>
    <col min="11527" max="11527" width="6.7109375" style="30" customWidth="1"/>
    <col min="11528" max="11528" width="8.7109375" style="30" customWidth="1"/>
    <col min="11529" max="11529" width="6.7109375" style="30" customWidth="1"/>
    <col min="11530" max="11530" width="8.7109375" style="30" customWidth="1"/>
    <col min="11531" max="11531" width="6.7109375" style="30" customWidth="1"/>
    <col min="11532" max="11532" width="8.7109375" style="30" customWidth="1"/>
    <col min="11533" max="11533" width="6.7109375" style="30" customWidth="1"/>
    <col min="11534" max="11538" width="0" style="30" hidden="1" customWidth="1"/>
    <col min="11539" max="11539" width="8.7109375" style="30" customWidth="1"/>
    <col min="11540" max="11540" width="6.7109375" style="30" customWidth="1"/>
    <col min="11541" max="11541" width="6.28515625" style="30" bestFit="1" customWidth="1"/>
    <col min="11542" max="11543" width="11.42578125" style="30"/>
    <col min="11544" max="11544" width="51.28515625" style="30" bestFit="1" customWidth="1"/>
    <col min="11545" max="11776" width="11.42578125" style="30"/>
    <col min="11777" max="11777" width="0" style="30" hidden="1" customWidth="1"/>
    <col min="11778" max="11778" width="6" style="30" customWidth="1"/>
    <col min="11779" max="11779" width="30.140625" style="30" bestFit="1" customWidth="1"/>
    <col min="11780" max="11780" width="8.7109375" style="30" customWidth="1"/>
    <col min="11781" max="11781" width="6.7109375" style="30" customWidth="1"/>
    <col min="11782" max="11782" width="8.7109375" style="30" customWidth="1"/>
    <col min="11783" max="11783" width="6.7109375" style="30" customWidth="1"/>
    <col min="11784" max="11784" width="8.7109375" style="30" customWidth="1"/>
    <col min="11785" max="11785" width="6.7109375" style="30" customWidth="1"/>
    <col min="11786" max="11786" width="8.7109375" style="30" customWidth="1"/>
    <col min="11787" max="11787" width="6.7109375" style="30" customWidth="1"/>
    <col min="11788" max="11788" width="8.7109375" style="30" customWidth="1"/>
    <col min="11789" max="11789" width="6.7109375" style="30" customWidth="1"/>
    <col min="11790" max="11794" width="0" style="30" hidden="1" customWidth="1"/>
    <col min="11795" max="11795" width="8.7109375" style="30" customWidth="1"/>
    <col min="11796" max="11796" width="6.7109375" style="30" customWidth="1"/>
    <col min="11797" max="11797" width="6.28515625" style="30" bestFit="1" customWidth="1"/>
    <col min="11798" max="11799" width="11.42578125" style="30"/>
    <col min="11800" max="11800" width="51.28515625" style="30" bestFit="1" customWidth="1"/>
    <col min="11801" max="12032" width="11.42578125" style="30"/>
    <col min="12033" max="12033" width="0" style="30" hidden="1" customWidth="1"/>
    <col min="12034" max="12034" width="6" style="30" customWidth="1"/>
    <col min="12035" max="12035" width="30.140625" style="30" bestFit="1" customWidth="1"/>
    <col min="12036" max="12036" width="8.7109375" style="30" customWidth="1"/>
    <col min="12037" max="12037" width="6.7109375" style="30" customWidth="1"/>
    <col min="12038" max="12038" width="8.7109375" style="30" customWidth="1"/>
    <col min="12039" max="12039" width="6.7109375" style="30" customWidth="1"/>
    <col min="12040" max="12040" width="8.7109375" style="30" customWidth="1"/>
    <col min="12041" max="12041" width="6.7109375" style="30" customWidth="1"/>
    <col min="12042" max="12042" width="8.7109375" style="30" customWidth="1"/>
    <col min="12043" max="12043" width="6.7109375" style="30" customWidth="1"/>
    <col min="12044" max="12044" width="8.7109375" style="30" customWidth="1"/>
    <col min="12045" max="12045" width="6.7109375" style="30" customWidth="1"/>
    <col min="12046" max="12050" width="0" style="30" hidden="1" customWidth="1"/>
    <col min="12051" max="12051" width="8.7109375" style="30" customWidth="1"/>
    <col min="12052" max="12052" width="6.7109375" style="30" customWidth="1"/>
    <col min="12053" max="12053" width="6.28515625" style="30" bestFit="1" customWidth="1"/>
    <col min="12054" max="12055" width="11.42578125" style="30"/>
    <col min="12056" max="12056" width="51.28515625" style="30" bestFit="1" customWidth="1"/>
    <col min="12057" max="12288" width="11.42578125" style="30"/>
    <col min="12289" max="12289" width="0" style="30" hidden="1" customWidth="1"/>
    <col min="12290" max="12290" width="6" style="30" customWidth="1"/>
    <col min="12291" max="12291" width="30.140625" style="30" bestFit="1" customWidth="1"/>
    <col min="12292" max="12292" width="8.7109375" style="30" customWidth="1"/>
    <col min="12293" max="12293" width="6.7109375" style="30" customWidth="1"/>
    <col min="12294" max="12294" width="8.7109375" style="30" customWidth="1"/>
    <col min="12295" max="12295" width="6.7109375" style="30" customWidth="1"/>
    <col min="12296" max="12296" width="8.7109375" style="30" customWidth="1"/>
    <col min="12297" max="12297" width="6.7109375" style="30" customWidth="1"/>
    <col min="12298" max="12298" width="8.7109375" style="30" customWidth="1"/>
    <col min="12299" max="12299" width="6.7109375" style="30" customWidth="1"/>
    <col min="12300" max="12300" width="8.7109375" style="30" customWidth="1"/>
    <col min="12301" max="12301" width="6.7109375" style="30" customWidth="1"/>
    <col min="12302" max="12306" width="0" style="30" hidden="1" customWidth="1"/>
    <col min="12307" max="12307" width="8.7109375" style="30" customWidth="1"/>
    <col min="12308" max="12308" width="6.7109375" style="30" customWidth="1"/>
    <col min="12309" max="12309" width="6.28515625" style="30" bestFit="1" customWidth="1"/>
    <col min="12310" max="12311" width="11.42578125" style="30"/>
    <col min="12312" max="12312" width="51.28515625" style="30" bestFit="1" customWidth="1"/>
    <col min="12313" max="12544" width="11.42578125" style="30"/>
    <col min="12545" max="12545" width="0" style="30" hidden="1" customWidth="1"/>
    <col min="12546" max="12546" width="6" style="30" customWidth="1"/>
    <col min="12547" max="12547" width="30.140625" style="30" bestFit="1" customWidth="1"/>
    <col min="12548" max="12548" width="8.7109375" style="30" customWidth="1"/>
    <col min="12549" max="12549" width="6.7109375" style="30" customWidth="1"/>
    <col min="12550" max="12550" width="8.7109375" style="30" customWidth="1"/>
    <col min="12551" max="12551" width="6.7109375" style="30" customWidth="1"/>
    <col min="12552" max="12552" width="8.7109375" style="30" customWidth="1"/>
    <col min="12553" max="12553" width="6.7109375" style="30" customWidth="1"/>
    <col min="12554" max="12554" width="8.7109375" style="30" customWidth="1"/>
    <col min="12555" max="12555" width="6.7109375" style="30" customWidth="1"/>
    <col min="12556" max="12556" width="8.7109375" style="30" customWidth="1"/>
    <col min="12557" max="12557" width="6.7109375" style="30" customWidth="1"/>
    <col min="12558" max="12562" width="0" style="30" hidden="1" customWidth="1"/>
    <col min="12563" max="12563" width="8.7109375" style="30" customWidth="1"/>
    <col min="12564" max="12564" width="6.7109375" style="30" customWidth="1"/>
    <col min="12565" max="12565" width="6.28515625" style="30" bestFit="1" customWidth="1"/>
    <col min="12566" max="12567" width="11.42578125" style="30"/>
    <col min="12568" max="12568" width="51.28515625" style="30" bestFit="1" customWidth="1"/>
    <col min="12569" max="12800" width="11.42578125" style="30"/>
    <col min="12801" max="12801" width="0" style="30" hidden="1" customWidth="1"/>
    <col min="12802" max="12802" width="6" style="30" customWidth="1"/>
    <col min="12803" max="12803" width="30.140625" style="30" bestFit="1" customWidth="1"/>
    <col min="12804" max="12804" width="8.7109375" style="30" customWidth="1"/>
    <col min="12805" max="12805" width="6.7109375" style="30" customWidth="1"/>
    <col min="12806" max="12806" width="8.7109375" style="30" customWidth="1"/>
    <col min="12807" max="12807" width="6.7109375" style="30" customWidth="1"/>
    <col min="12808" max="12808" width="8.7109375" style="30" customWidth="1"/>
    <col min="12809" max="12809" width="6.7109375" style="30" customWidth="1"/>
    <col min="12810" max="12810" width="8.7109375" style="30" customWidth="1"/>
    <col min="12811" max="12811" width="6.7109375" style="30" customWidth="1"/>
    <col min="12812" max="12812" width="8.7109375" style="30" customWidth="1"/>
    <col min="12813" max="12813" width="6.7109375" style="30" customWidth="1"/>
    <col min="12814" max="12818" width="0" style="30" hidden="1" customWidth="1"/>
    <col min="12819" max="12819" width="8.7109375" style="30" customWidth="1"/>
    <col min="12820" max="12820" width="6.7109375" style="30" customWidth="1"/>
    <col min="12821" max="12821" width="6.28515625" style="30" bestFit="1" customWidth="1"/>
    <col min="12822" max="12823" width="11.42578125" style="30"/>
    <col min="12824" max="12824" width="51.28515625" style="30" bestFit="1" customWidth="1"/>
    <col min="12825" max="13056" width="11.42578125" style="30"/>
    <col min="13057" max="13057" width="0" style="30" hidden="1" customWidth="1"/>
    <col min="13058" max="13058" width="6" style="30" customWidth="1"/>
    <col min="13059" max="13059" width="30.140625" style="30" bestFit="1" customWidth="1"/>
    <col min="13060" max="13060" width="8.7109375" style="30" customWidth="1"/>
    <col min="13061" max="13061" width="6.7109375" style="30" customWidth="1"/>
    <col min="13062" max="13062" width="8.7109375" style="30" customWidth="1"/>
    <col min="13063" max="13063" width="6.7109375" style="30" customWidth="1"/>
    <col min="13064" max="13064" width="8.7109375" style="30" customWidth="1"/>
    <col min="13065" max="13065" width="6.7109375" style="30" customWidth="1"/>
    <col min="13066" max="13066" width="8.7109375" style="30" customWidth="1"/>
    <col min="13067" max="13067" width="6.7109375" style="30" customWidth="1"/>
    <col min="13068" max="13068" width="8.7109375" style="30" customWidth="1"/>
    <col min="13069" max="13069" width="6.7109375" style="30" customWidth="1"/>
    <col min="13070" max="13074" width="0" style="30" hidden="1" customWidth="1"/>
    <col min="13075" max="13075" width="8.7109375" style="30" customWidth="1"/>
    <col min="13076" max="13076" width="6.7109375" style="30" customWidth="1"/>
    <col min="13077" max="13077" width="6.28515625" style="30" bestFit="1" customWidth="1"/>
    <col min="13078" max="13079" width="11.42578125" style="30"/>
    <col min="13080" max="13080" width="51.28515625" style="30" bestFit="1" customWidth="1"/>
    <col min="13081" max="13312" width="11.42578125" style="30"/>
    <col min="13313" max="13313" width="0" style="30" hidden="1" customWidth="1"/>
    <col min="13314" max="13314" width="6" style="30" customWidth="1"/>
    <col min="13315" max="13315" width="30.140625" style="30" bestFit="1" customWidth="1"/>
    <col min="13316" max="13316" width="8.7109375" style="30" customWidth="1"/>
    <col min="13317" max="13317" width="6.7109375" style="30" customWidth="1"/>
    <col min="13318" max="13318" width="8.7109375" style="30" customWidth="1"/>
    <col min="13319" max="13319" width="6.7109375" style="30" customWidth="1"/>
    <col min="13320" max="13320" width="8.7109375" style="30" customWidth="1"/>
    <col min="13321" max="13321" width="6.7109375" style="30" customWidth="1"/>
    <col min="13322" max="13322" width="8.7109375" style="30" customWidth="1"/>
    <col min="13323" max="13323" width="6.7109375" style="30" customWidth="1"/>
    <col min="13324" max="13324" width="8.7109375" style="30" customWidth="1"/>
    <col min="13325" max="13325" width="6.7109375" style="30" customWidth="1"/>
    <col min="13326" max="13330" width="0" style="30" hidden="1" customWidth="1"/>
    <col min="13331" max="13331" width="8.7109375" style="30" customWidth="1"/>
    <col min="13332" max="13332" width="6.7109375" style="30" customWidth="1"/>
    <col min="13333" max="13333" width="6.28515625" style="30" bestFit="1" customWidth="1"/>
    <col min="13334" max="13335" width="11.42578125" style="30"/>
    <col min="13336" max="13336" width="51.28515625" style="30" bestFit="1" customWidth="1"/>
    <col min="13337" max="13568" width="11.42578125" style="30"/>
    <col min="13569" max="13569" width="0" style="30" hidden="1" customWidth="1"/>
    <col min="13570" max="13570" width="6" style="30" customWidth="1"/>
    <col min="13571" max="13571" width="30.140625" style="30" bestFit="1" customWidth="1"/>
    <col min="13572" max="13572" width="8.7109375" style="30" customWidth="1"/>
    <col min="13573" max="13573" width="6.7109375" style="30" customWidth="1"/>
    <col min="13574" max="13574" width="8.7109375" style="30" customWidth="1"/>
    <col min="13575" max="13575" width="6.7109375" style="30" customWidth="1"/>
    <col min="13576" max="13576" width="8.7109375" style="30" customWidth="1"/>
    <col min="13577" max="13577" width="6.7109375" style="30" customWidth="1"/>
    <col min="13578" max="13578" width="8.7109375" style="30" customWidth="1"/>
    <col min="13579" max="13579" width="6.7109375" style="30" customWidth="1"/>
    <col min="13580" max="13580" width="8.7109375" style="30" customWidth="1"/>
    <col min="13581" max="13581" width="6.7109375" style="30" customWidth="1"/>
    <col min="13582" max="13586" width="0" style="30" hidden="1" customWidth="1"/>
    <col min="13587" max="13587" width="8.7109375" style="30" customWidth="1"/>
    <col min="13588" max="13588" width="6.7109375" style="30" customWidth="1"/>
    <col min="13589" max="13589" width="6.28515625" style="30" bestFit="1" customWidth="1"/>
    <col min="13590" max="13591" width="11.42578125" style="30"/>
    <col min="13592" max="13592" width="51.28515625" style="30" bestFit="1" customWidth="1"/>
    <col min="13593" max="13824" width="11.42578125" style="30"/>
    <col min="13825" max="13825" width="0" style="30" hidden="1" customWidth="1"/>
    <col min="13826" max="13826" width="6" style="30" customWidth="1"/>
    <col min="13827" max="13827" width="30.140625" style="30" bestFit="1" customWidth="1"/>
    <col min="13828" max="13828" width="8.7109375" style="30" customWidth="1"/>
    <col min="13829" max="13829" width="6.7109375" style="30" customWidth="1"/>
    <col min="13830" max="13830" width="8.7109375" style="30" customWidth="1"/>
    <col min="13831" max="13831" width="6.7109375" style="30" customWidth="1"/>
    <col min="13832" max="13832" width="8.7109375" style="30" customWidth="1"/>
    <col min="13833" max="13833" width="6.7109375" style="30" customWidth="1"/>
    <col min="13834" max="13834" width="8.7109375" style="30" customWidth="1"/>
    <col min="13835" max="13835" width="6.7109375" style="30" customWidth="1"/>
    <col min="13836" max="13836" width="8.7109375" style="30" customWidth="1"/>
    <col min="13837" max="13837" width="6.7109375" style="30" customWidth="1"/>
    <col min="13838" max="13842" width="0" style="30" hidden="1" customWidth="1"/>
    <col min="13843" max="13843" width="8.7109375" style="30" customWidth="1"/>
    <col min="13844" max="13844" width="6.7109375" style="30" customWidth="1"/>
    <col min="13845" max="13845" width="6.28515625" style="30" bestFit="1" customWidth="1"/>
    <col min="13846" max="13847" width="11.42578125" style="30"/>
    <col min="13848" max="13848" width="51.28515625" style="30" bestFit="1" customWidth="1"/>
    <col min="13849" max="14080" width="11.42578125" style="30"/>
    <col min="14081" max="14081" width="0" style="30" hidden="1" customWidth="1"/>
    <col min="14082" max="14082" width="6" style="30" customWidth="1"/>
    <col min="14083" max="14083" width="30.140625" style="30" bestFit="1" customWidth="1"/>
    <col min="14084" max="14084" width="8.7109375" style="30" customWidth="1"/>
    <col min="14085" max="14085" width="6.7109375" style="30" customWidth="1"/>
    <col min="14086" max="14086" width="8.7109375" style="30" customWidth="1"/>
    <col min="14087" max="14087" width="6.7109375" style="30" customWidth="1"/>
    <col min="14088" max="14088" width="8.7109375" style="30" customWidth="1"/>
    <col min="14089" max="14089" width="6.7109375" style="30" customWidth="1"/>
    <col min="14090" max="14090" width="8.7109375" style="30" customWidth="1"/>
    <col min="14091" max="14091" width="6.7109375" style="30" customWidth="1"/>
    <col min="14092" max="14092" width="8.7109375" style="30" customWidth="1"/>
    <col min="14093" max="14093" width="6.7109375" style="30" customWidth="1"/>
    <col min="14094" max="14098" width="0" style="30" hidden="1" customWidth="1"/>
    <col min="14099" max="14099" width="8.7109375" style="30" customWidth="1"/>
    <col min="14100" max="14100" width="6.7109375" style="30" customWidth="1"/>
    <col min="14101" max="14101" width="6.28515625" style="30" bestFit="1" customWidth="1"/>
    <col min="14102" max="14103" width="11.42578125" style="30"/>
    <col min="14104" max="14104" width="51.28515625" style="30" bestFit="1" customWidth="1"/>
    <col min="14105" max="14336" width="11.42578125" style="30"/>
    <col min="14337" max="14337" width="0" style="30" hidden="1" customWidth="1"/>
    <col min="14338" max="14338" width="6" style="30" customWidth="1"/>
    <col min="14339" max="14339" width="30.140625" style="30" bestFit="1" customWidth="1"/>
    <col min="14340" max="14340" width="8.7109375" style="30" customWidth="1"/>
    <col min="14341" max="14341" width="6.7109375" style="30" customWidth="1"/>
    <col min="14342" max="14342" width="8.7109375" style="30" customWidth="1"/>
    <col min="14343" max="14343" width="6.7109375" style="30" customWidth="1"/>
    <col min="14344" max="14344" width="8.7109375" style="30" customWidth="1"/>
    <col min="14345" max="14345" width="6.7109375" style="30" customWidth="1"/>
    <col min="14346" max="14346" width="8.7109375" style="30" customWidth="1"/>
    <col min="14347" max="14347" width="6.7109375" style="30" customWidth="1"/>
    <col min="14348" max="14348" width="8.7109375" style="30" customWidth="1"/>
    <col min="14349" max="14349" width="6.7109375" style="30" customWidth="1"/>
    <col min="14350" max="14354" width="0" style="30" hidden="1" customWidth="1"/>
    <col min="14355" max="14355" width="8.7109375" style="30" customWidth="1"/>
    <col min="14356" max="14356" width="6.7109375" style="30" customWidth="1"/>
    <col min="14357" max="14357" width="6.28515625" style="30" bestFit="1" customWidth="1"/>
    <col min="14358" max="14359" width="11.42578125" style="30"/>
    <col min="14360" max="14360" width="51.28515625" style="30" bestFit="1" customWidth="1"/>
    <col min="14361" max="14592" width="11.42578125" style="30"/>
    <col min="14593" max="14593" width="0" style="30" hidden="1" customWidth="1"/>
    <col min="14594" max="14594" width="6" style="30" customWidth="1"/>
    <col min="14595" max="14595" width="30.140625" style="30" bestFit="1" customWidth="1"/>
    <col min="14596" max="14596" width="8.7109375" style="30" customWidth="1"/>
    <col min="14597" max="14597" width="6.7109375" style="30" customWidth="1"/>
    <col min="14598" max="14598" width="8.7109375" style="30" customWidth="1"/>
    <col min="14599" max="14599" width="6.7109375" style="30" customWidth="1"/>
    <col min="14600" max="14600" width="8.7109375" style="30" customWidth="1"/>
    <col min="14601" max="14601" width="6.7109375" style="30" customWidth="1"/>
    <col min="14602" max="14602" width="8.7109375" style="30" customWidth="1"/>
    <col min="14603" max="14603" width="6.7109375" style="30" customWidth="1"/>
    <col min="14604" max="14604" width="8.7109375" style="30" customWidth="1"/>
    <col min="14605" max="14605" width="6.7109375" style="30" customWidth="1"/>
    <col min="14606" max="14610" width="0" style="30" hidden="1" customWidth="1"/>
    <col min="14611" max="14611" width="8.7109375" style="30" customWidth="1"/>
    <col min="14612" max="14612" width="6.7109375" style="30" customWidth="1"/>
    <col min="14613" max="14613" width="6.28515625" style="30" bestFit="1" customWidth="1"/>
    <col min="14614" max="14615" width="11.42578125" style="30"/>
    <col min="14616" max="14616" width="51.28515625" style="30" bestFit="1" customWidth="1"/>
    <col min="14617" max="14848" width="11.42578125" style="30"/>
    <col min="14849" max="14849" width="0" style="30" hidden="1" customWidth="1"/>
    <col min="14850" max="14850" width="6" style="30" customWidth="1"/>
    <col min="14851" max="14851" width="30.140625" style="30" bestFit="1" customWidth="1"/>
    <col min="14852" max="14852" width="8.7109375" style="30" customWidth="1"/>
    <col min="14853" max="14853" width="6.7109375" style="30" customWidth="1"/>
    <col min="14854" max="14854" width="8.7109375" style="30" customWidth="1"/>
    <col min="14855" max="14855" width="6.7109375" style="30" customWidth="1"/>
    <col min="14856" max="14856" width="8.7109375" style="30" customWidth="1"/>
    <col min="14857" max="14857" width="6.7109375" style="30" customWidth="1"/>
    <col min="14858" max="14858" width="8.7109375" style="30" customWidth="1"/>
    <col min="14859" max="14859" width="6.7109375" style="30" customWidth="1"/>
    <col min="14860" max="14860" width="8.7109375" style="30" customWidth="1"/>
    <col min="14861" max="14861" width="6.7109375" style="30" customWidth="1"/>
    <col min="14862" max="14866" width="0" style="30" hidden="1" customWidth="1"/>
    <col min="14867" max="14867" width="8.7109375" style="30" customWidth="1"/>
    <col min="14868" max="14868" width="6.7109375" style="30" customWidth="1"/>
    <col min="14869" max="14869" width="6.28515625" style="30" bestFit="1" customWidth="1"/>
    <col min="14870" max="14871" width="11.42578125" style="30"/>
    <col min="14872" max="14872" width="51.28515625" style="30" bestFit="1" customWidth="1"/>
    <col min="14873" max="15104" width="11.42578125" style="30"/>
    <col min="15105" max="15105" width="0" style="30" hidden="1" customWidth="1"/>
    <col min="15106" max="15106" width="6" style="30" customWidth="1"/>
    <col min="15107" max="15107" width="30.140625" style="30" bestFit="1" customWidth="1"/>
    <col min="15108" max="15108" width="8.7109375" style="30" customWidth="1"/>
    <col min="15109" max="15109" width="6.7109375" style="30" customWidth="1"/>
    <col min="15110" max="15110" width="8.7109375" style="30" customWidth="1"/>
    <col min="15111" max="15111" width="6.7109375" style="30" customWidth="1"/>
    <col min="15112" max="15112" width="8.7109375" style="30" customWidth="1"/>
    <col min="15113" max="15113" width="6.7109375" style="30" customWidth="1"/>
    <col min="15114" max="15114" width="8.7109375" style="30" customWidth="1"/>
    <col min="15115" max="15115" width="6.7109375" style="30" customWidth="1"/>
    <col min="15116" max="15116" width="8.7109375" style="30" customWidth="1"/>
    <col min="15117" max="15117" width="6.7109375" style="30" customWidth="1"/>
    <col min="15118" max="15122" width="0" style="30" hidden="1" customWidth="1"/>
    <col min="15123" max="15123" width="8.7109375" style="30" customWidth="1"/>
    <col min="15124" max="15124" width="6.7109375" style="30" customWidth="1"/>
    <col min="15125" max="15125" width="6.28515625" style="30" bestFit="1" customWidth="1"/>
    <col min="15126" max="15127" width="11.42578125" style="30"/>
    <col min="15128" max="15128" width="51.28515625" style="30" bestFit="1" customWidth="1"/>
    <col min="15129" max="15360" width="11.42578125" style="30"/>
    <col min="15361" max="15361" width="0" style="30" hidden="1" customWidth="1"/>
    <col min="15362" max="15362" width="6" style="30" customWidth="1"/>
    <col min="15363" max="15363" width="30.140625" style="30" bestFit="1" customWidth="1"/>
    <col min="15364" max="15364" width="8.7109375" style="30" customWidth="1"/>
    <col min="15365" max="15365" width="6.7109375" style="30" customWidth="1"/>
    <col min="15366" max="15366" width="8.7109375" style="30" customWidth="1"/>
    <col min="15367" max="15367" width="6.7109375" style="30" customWidth="1"/>
    <col min="15368" max="15368" width="8.7109375" style="30" customWidth="1"/>
    <col min="15369" max="15369" width="6.7109375" style="30" customWidth="1"/>
    <col min="15370" max="15370" width="8.7109375" style="30" customWidth="1"/>
    <col min="15371" max="15371" width="6.7109375" style="30" customWidth="1"/>
    <col min="15372" max="15372" width="8.7109375" style="30" customWidth="1"/>
    <col min="15373" max="15373" width="6.7109375" style="30" customWidth="1"/>
    <col min="15374" max="15378" width="0" style="30" hidden="1" customWidth="1"/>
    <col min="15379" max="15379" width="8.7109375" style="30" customWidth="1"/>
    <col min="15380" max="15380" width="6.7109375" style="30" customWidth="1"/>
    <col min="15381" max="15381" width="6.28515625" style="30" bestFit="1" customWidth="1"/>
    <col min="15382" max="15383" width="11.42578125" style="30"/>
    <col min="15384" max="15384" width="51.28515625" style="30" bestFit="1" customWidth="1"/>
    <col min="15385" max="15616" width="11.42578125" style="30"/>
    <col min="15617" max="15617" width="0" style="30" hidden="1" customWidth="1"/>
    <col min="15618" max="15618" width="6" style="30" customWidth="1"/>
    <col min="15619" max="15619" width="30.140625" style="30" bestFit="1" customWidth="1"/>
    <col min="15620" max="15620" width="8.7109375" style="30" customWidth="1"/>
    <col min="15621" max="15621" width="6.7109375" style="30" customWidth="1"/>
    <col min="15622" max="15622" width="8.7109375" style="30" customWidth="1"/>
    <col min="15623" max="15623" width="6.7109375" style="30" customWidth="1"/>
    <col min="15624" max="15624" width="8.7109375" style="30" customWidth="1"/>
    <col min="15625" max="15625" width="6.7109375" style="30" customWidth="1"/>
    <col min="15626" max="15626" width="8.7109375" style="30" customWidth="1"/>
    <col min="15627" max="15627" width="6.7109375" style="30" customWidth="1"/>
    <col min="15628" max="15628" width="8.7109375" style="30" customWidth="1"/>
    <col min="15629" max="15629" width="6.7109375" style="30" customWidth="1"/>
    <col min="15630" max="15634" width="0" style="30" hidden="1" customWidth="1"/>
    <col min="15635" max="15635" width="8.7109375" style="30" customWidth="1"/>
    <col min="15636" max="15636" width="6.7109375" style="30" customWidth="1"/>
    <col min="15637" max="15637" width="6.28515625" style="30" bestFit="1" customWidth="1"/>
    <col min="15638" max="15639" width="11.42578125" style="30"/>
    <col min="15640" max="15640" width="51.28515625" style="30" bestFit="1" customWidth="1"/>
    <col min="15641" max="15872" width="11.42578125" style="30"/>
    <col min="15873" max="15873" width="0" style="30" hidden="1" customWidth="1"/>
    <col min="15874" max="15874" width="6" style="30" customWidth="1"/>
    <col min="15875" max="15875" width="30.140625" style="30" bestFit="1" customWidth="1"/>
    <col min="15876" max="15876" width="8.7109375" style="30" customWidth="1"/>
    <col min="15877" max="15877" width="6.7109375" style="30" customWidth="1"/>
    <col min="15878" max="15878" width="8.7109375" style="30" customWidth="1"/>
    <col min="15879" max="15879" width="6.7109375" style="30" customWidth="1"/>
    <col min="15880" max="15880" width="8.7109375" style="30" customWidth="1"/>
    <col min="15881" max="15881" width="6.7109375" style="30" customWidth="1"/>
    <col min="15882" max="15882" width="8.7109375" style="30" customWidth="1"/>
    <col min="15883" max="15883" width="6.7109375" style="30" customWidth="1"/>
    <col min="15884" max="15884" width="8.7109375" style="30" customWidth="1"/>
    <col min="15885" max="15885" width="6.7109375" style="30" customWidth="1"/>
    <col min="15886" max="15890" width="0" style="30" hidden="1" customWidth="1"/>
    <col min="15891" max="15891" width="8.7109375" style="30" customWidth="1"/>
    <col min="15892" max="15892" width="6.7109375" style="30" customWidth="1"/>
    <col min="15893" max="15893" width="6.28515625" style="30" bestFit="1" customWidth="1"/>
    <col min="15894" max="15895" width="11.42578125" style="30"/>
    <col min="15896" max="15896" width="51.28515625" style="30" bestFit="1" customWidth="1"/>
    <col min="15897" max="16128" width="11.42578125" style="30"/>
    <col min="16129" max="16129" width="0" style="30" hidden="1" customWidth="1"/>
    <col min="16130" max="16130" width="6" style="30" customWidth="1"/>
    <col min="16131" max="16131" width="30.140625" style="30" bestFit="1" customWidth="1"/>
    <col min="16132" max="16132" width="8.7109375" style="30" customWidth="1"/>
    <col min="16133" max="16133" width="6.7109375" style="30" customWidth="1"/>
    <col min="16134" max="16134" width="8.7109375" style="30" customWidth="1"/>
    <col min="16135" max="16135" width="6.7109375" style="30" customWidth="1"/>
    <col min="16136" max="16136" width="8.7109375" style="30" customWidth="1"/>
    <col min="16137" max="16137" width="6.7109375" style="30" customWidth="1"/>
    <col min="16138" max="16138" width="8.7109375" style="30" customWidth="1"/>
    <col min="16139" max="16139" width="6.7109375" style="30" customWidth="1"/>
    <col min="16140" max="16140" width="8.7109375" style="30" customWidth="1"/>
    <col min="16141" max="16141" width="6.7109375" style="30" customWidth="1"/>
    <col min="16142" max="16146" width="0" style="30" hidden="1" customWidth="1"/>
    <col min="16147" max="16147" width="8.7109375" style="30" customWidth="1"/>
    <col min="16148" max="16148" width="6.7109375" style="30" customWidth="1"/>
    <col min="16149" max="16149" width="6.28515625" style="30" bestFit="1" customWidth="1"/>
    <col min="16150" max="16151" width="11.42578125" style="30"/>
    <col min="16152" max="16152" width="51.28515625" style="30" bestFit="1" customWidth="1"/>
    <col min="16153" max="16384" width="11.42578125" style="30"/>
  </cols>
  <sheetData>
    <row r="1" spans="1:41" ht="13.5" hidden="1" thickBot="1" x14ac:dyDescent="0.25">
      <c r="A1" s="30" t="e">
        <f>'[1]Synthèse Agence'!A1</f>
        <v>#REF!</v>
      </c>
      <c r="B1" s="31">
        <f>'[1]Synthèse Agence'!B1</f>
        <v>0.12720000000000001</v>
      </c>
      <c r="C1" s="32" t="e">
        <f>'[1]Synthèse Agence'!C1</f>
        <v>#REF!</v>
      </c>
      <c r="D1" s="33">
        <f>'[1]Synthèse Agence'!D1</f>
        <v>17</v>
      </c>
      <c r="E1" s="34" t="e">
        <f>'[1]Synthèse Agence'!E1</f>
        <v>#REF!</v>
      </c>
      <c r="F1" s="33">
        <f>'[1]Synthèse Agence'!F1</f>
        <v>17</v>
      </c>
      <c r="G1" s="34" t="e">
        <f>'[1]Synthèse Agence'!G1</f>
        <v>#REF!</v>
      </c>
      <c r="H1" s="33">
        <f>'[1]Synthèse Agence'!H1</f>
        <v>17</v>
      </c>
      <c r="I1" s="34" t="e">
        <f>'[1]Synthèse Agence'!I1</f>
        <v>#REF!</v>
      </c>
      <c r="J1" s="33">
        <f>'[1]Synthèse Agence'!J1</f>
        <v>17</v>
      </c>
      <c r="K1" s="34" t="e">
        <f>'[1]Synthèse Agence'!K1</f>
        <v>#REF!</v>
      </c>
      <c r="L1" s="33">
        <f>'[1]Synthèse Agence'!L1</f>
        <v>24</v>
      </c>
      <c r="M1" s="34" t="e">
        <f>'[1]Synthèse Agence'!M1</f>
        <v>#REF!</v>
      </c>
      <c r="N1" s="35" t="e">
        <f>'[1]Synthèse Agence'!N1</f>
        <v>#REF!</v>
      </c>
      <c r="O1" s="35" t="e">
        <f>'[1]Synthèse Agence'!O1</f>
        <v>#REF!</v>
      </c>
      <c r="P1" s="35" t="e">
        <f>'[1]Synthèse Agence'!P1</f>
        <v>#REF!</v>
      </c>
      <c r="Q1" s="35" t="e">
        <f>'[1]Synthèse Agence'!Q1</f>
        <v>#REF!</v>
      </c>
      <c r="R1" s="35" t="e">
        <f>'[1]Synthèse Agence'!R1</f>
        <v>#REF!</v>
      </c>
      <c r="S1" s="30" t="e">
        <f>'[1]Synthèse Agence'!S1</f>
        <v>#REF!</v>
      </c>
      <c r="T1" s="36" t="e">
        <f>'[1]Synthèse Agence'!T1</f>
        <v>#REF!</v>
      </c>
      <c r="U1" s="30" t="e">
        <f>'[1]Synthèse Agence'!U1</f>
        <v>#REF!</v>
      </c>
    </row>
    <row r="2" spans="1:41" ht="13.5" hidden="1" thickBot="1" x14ac:dyDescent="0.25">
      <c r="A2" s="30" t="e">
        <f>'[1]Synthèse Agence'!A2</f>
        <v>#REF!</v>
      </c>
      <c r="B2" s="31" t="e">
        <f>'[1]Synthèse Agence'!B2</f>
        <v>#REF!</v>
      </c>
      <c r="C2" s="32" t="e">
        <f>'[1]Synthèse Agence'!C2</f>
        <v>#REF!</v>
      </c>
      <c r="D2" s="33" t="e">
        <f>'[1]Synthèse Agence'!D2</f>
        <v>#REF!</v>
      </c>
      <c r="E2" s="34" t="e">
        <f>'[1]Synthèse Agence'!E2</f>
        <v>#REF!</v>
      </c>
      <c r="F2" s="33" t="e">
        <f>'[1]Synthèse Agence'!F2</f>
        <v>#REF!</v>
      </c>
      <c r="G2" s="34" t="e">
        <f>'[1]Synthèse Agence'!G2</f>
        <v>#REF!</v>
      </c>
      <c r="H2" s="33" t="e">
        <f>'[1]Synthèse Agence'!H2</f>
        <v>#REF!</v>
      </c>
      <c r="I2" s="34" t="e">
        <f>'[1]Synthèse Agence'!I2</f>
        <v>#REF!</v>
      </c>
      <c r="J2" s="33" t="e">
        <f>'[1]Synthèse Agence'!J2</f>
        <v>#REF!</v>
      </c>
      <c r="K2" s="34" t="e">
        <f>'[1]Synthèse Agence'!K2</f>
        <v>#REF!</v>
      </c>
      <c r="L2" s="33" t="e">
        <f>'[1]Synthèse Agence'!L2</f>
        <v>#REF!</v>
      </c>
      <c r="M2" s="34" t="e">
        <f>'[1]Synthèse Agence'!M2</f>
        <v>#REF!</v>
      </c>
      <c r="N2" s="35" t="e">
        <f>'[1]Synthèse Agence'!N2</f>
        <v>#REF!</v>
      </c>
      <c r="O2" s="35" t="e">
        <f>'[1]Synthèse Agence'!O2</f>
        <v>#REF!</v>
      </c>
      <c r="P2" s="35" t="e">
        <f>'[1]Synthèse Agence'!P2</f>
        <v>#REF!</v>
      </c>
      <c r="Q2" s="35" t="e">
        <f>'[1]Synthèse Agence'!Q2</f>
        <v>#REF!</v>
      </c>
      <c r="R2" s="35" t="e">
        <f>'[1]Synthèse Agence'!R2</f>
        <v>#REF!</v>
      </c>
      <c r="S2" s="30" t="e">
        <f>'[1]Synthèse Agence'!S2</f>
        <v>#REF!</v>
      </c>
      <c r="T2" s="36" t="e">
        <f>'[1]Synthèse Agence'!T2</f>
        <v>#REF!</v>
      </c>
      <c r="U2" s="30" t="e">
        <f>'[1]Synthèse Agence'!U2</f>
        <v>#REF!</v>
      </c>
    </row>
    <row r="3" spans="1:41" ht="57.75" customHeight="1" thickBot="1" x14ac:dyDescent="0.25">
      <c r="A3" s="30" t="e">
        <f>'[1]Synthèse Agence'!A3</f>
        <v>#REF!</v>
      </c>
      <c r="B3" s="37"/>
      <c r="D3" s="216" t="s">
        <v>57</v>
      </c>
      <c r="E3" s="217" t="e">
        <f>'[1]Synthèse Agence'!E3</f>
        <v>#REF!</v>
      </c>
      <c r="F3" s="217" t="e">
        <f>'[1]Synthèse Agence'!F3</f>
        <v>#REF!</v>
      </c>
      <c r="G3" s="217" t="e">
        <f>'[1]Synthèse Agence'!G3</f>
        <v>#REF!</v>
      </c>
      <c r="H3" s="217" t="e">
        <f>'[1]Synthèse Agence'!H3</f>
        <v>#REF!</v>
      </c>
      <c r="I3" s="217" t="e">
        <f>'[1]Synthèse Agence'!I3</f>
        <v>#REF!</v>
      </c>
      <c r="J3" s="217" t="e">
        <f>'[1]Synthèse Agence'!J3</f>
        <v>#REF!</v>
      </c>
      <c r="K3" s="217" t="e">
        <f>'[1]Synthèse Agence'!K3</f>
        <v>#REF!</v>
      </c>
      <c r="L3" s="217" t="e">
        <f>'[1]Synthèse Agence'!L3</f>
        <v>#REF!</v>
      </c>
      <c r="M3" s="217" t="e">
        <f>'[1]Synthèse Agence'!M3</f>
        <v>#REF!</v>
      </c>
      <c r="N3" s="217" t="e">
        <f>'[1]Synthèse Agence'!N3</f>
        <v>#REF!</v>
      </c>
      <c r="O3" s="217" t="e">
        <f>'[1]Synthèse Agence'!O3</f>
        <v>#REF!</v>
      </c>
      <c r="P3" s="217" t="e">
        <f>'[1]Synthèse Agence'!P3</f>
        <v>#REF!</v>
      </c>
      <c r="Q3" s="217" t="e">
        <f>'[1]Synthèse Agence'!Q3</f>
        <v>#REF!</v>
      </c>
      <c r="R3" s="217" t="e">
        <f>'[1]Synthèse Agence'!R3</f>
        <v>#REF!</v>
      </c>
      <c r="S3" s="217" t="e">
        <f>'[1]Synthèse Agence'!S3</f>
        <v>#REF!</v>
      </c>
      <c r="T3" s="217" t="e">
        <f>'[1]Synthèse Agence'!T3</f>
        <v>#REF!</v>
      </c>
      <c r="U3" s="218" t="e">
        <f>'[1]Synthèse Agence'!U3</f>
        <v>#REF!</v>
      </c>
    </row>
    <row r="4" spans="1:41" ht="24.75" customHeight="1" thickBot="1" x14ac:dyDescent="0.25">
      <c r="A4" s="30" t="e">
        <f>'[1]Synthèse Agence'!A4</f>
        <v>#REF!</v>
      </c>
      <c r="B4" s="30"/>
      <c r="C4" s="30"/>
      <c r="D4" s="219" t="s">
        <v>52</v>
      </c>
      <c r="E4" s="220" t="e">
        <f>'[1]Synthèse Agence'!E4</f>
        <v>#REF!</v>
      </c>
      <c r="F4" s="220" t="s">
        <v>53</v>
      </c>
      <c r="G4" s="220" t="e">
        <f>'[1]Synthèse Agence'!G4</f>
        <v>#REF!</v>
      </c>
      <c r="H4" s="220" t="s">
        <v>54</v>
      </c>
      <c r="I4" s="220" t="e">
        <f>'[1]Synthèse Agence'!I4</f>
        <v>#REF!</v>
      </c>
      <c r="J4" s="220" t="s">
        <v>55</v>
      </c>
      <c r="K4" s="220" t="e">
        <f>'[1]Synthèse Agence'!K4</f>
        <v>#REF!</v>
      </c>
      <c r="L4" s="220" t="s">
        <v>56</v>
      </c>
      <c r="M4" s="221" t="e">
        <f>'[1]Synthèse Agence'!M4</f>
        <v>#REF!</v>
      </c>
      <c r="N4" s="38" t="e">
        <f>'[1]Synthèse Agence'!N4</f>
        <v>#REF!</v>
      </c>
      <c r="O4" s="38" t="e">
        <f>'[1]Synthèse Agence'!O4</f>
        <v>#REF!</v>
      </c>
      <c r="P4" s="38" t="e">
        <f>'[1]Synthèse Agence'!P4</f>
        <v>#REF!</v>
      </c>
      <c r="Q4" s="38" t="e">
        <f>'[1]Synthèse Agence'!Q4</f>
        <v>#REF!</v>
      </c>
      <c r="R4" s="38" t="e">
        <f>'[1]Synthèse Agence'!R4</f>
        <v>#REF!</v>
      </c>
      <c r="S4" s="222" t="s">
        <v>58</v>
      </c>
      <c r="T4" s="225" t="str">
        <f>'[1]Synthèse Agence'!T4</f>
        <v>Total
Rang</v>
      </c>
      <c r="U4" s="228" t="str">
        <f>'[1]Synthèse Agence'!U4</f>
        <v>Classt</v>
      </c>
    </row>
    <row r="5" spans="1:41" ht="24.75" customHeight="1" thickBot="1" x14ac:dyDescent="0.3">
      <c r="A5" s="30" t="e">
        <f>'[1]Synthèse Agence'!A5</f>
        <v>#REF!</v>
      </c>
      <c r="B5" s="39" t="str">
        <f>'[1]Synthèse Agence'!B5</f>
        <v>Unité</v>
      </c>
      <c r="C5" s="40" t="str">
        <f>'[1]Synthèse Agence'!C5</f>
        <v>Libellé</v>
      </c>
      <c r="D5" s="41" t="str">
        <f>'[1]Synthèse Agence'!D5</f>
        <v>Taux</v>
      </c>
      <c r="E5" s="42" t="str">
        <f>'[1]Synthèse Agence'!E5</f>
        <v>Rang</v>
      </c>
      <c r="F5" s="43" t="str">
        <f>'[1]Synthèse Agence'!F5</f>
        <v>Taux</v>
      </c>
      <c r="G5" s="42" t="str">
        <f>'[1]Synthèse Agence'!G5</f>
        <v>Rang</v>
      </c>
      <c r="H5" s="43" t="str">
        <f>'[1]Synthèse Agence'!H5</f>
        <v>Taux</v>
      </c>
      <c r="I5" s="42" t="str">
        <f>'[1]Synthèse Agence'!I5</f>
        <v>Rang</v>
      </c>
      <c r="J5" s="43" t="str">
        <f>'[1]Synthèse Agence'!J5</f>
        <v>Taux</v>
      </c>
      <c r="K5" s="42" t="str">
        <f>'[1]Synthèse Agence'!K5</f>
        <v>Rang</v>
      </c>
      <c r="L5" s="43" t="str">
        <f>'[1]Synthèse Agence'!L5</f>
        <v>Taux</v>
      </c>
      <c r="M5" s="44" t="str">
        <f>'[1]Synthèse Agence'!M5</f>
        <v>Rang</v>
      </c>
      <c r="N5" s="45" t="e">
        <f>'[1]Synthèse Agence'!N5</f>
        <v>#REF!</v>
      </c>
      <c r="O5" s="45" t="e">
        <f>'[1]Synthèse Agence'!O5</f>
        <v>#REF!</v>
      </c>
      <c r="P5" s="45" t="e">
        <f>'[1]Synthèse Agence'!P5</f>
        <v>#REF!</v>
      </c>
      <c r="Q5" s="45" t="e">
        <f>'[1]Synthèse Agence'!Q5</f>
        <v>#REF!</v>
      </c>
      <c r="R5" s="45" t="e">
        <f>'[1]Synthèse Agence'!R5</f>
        <v>#REF!</v>
      </c>
      <c r="S5" s="223" t="e">
        <f>'[1]Synthèse Agence'!S5</f>
        <v>#REF!</v>
      </c>
      <c r="T5" s="226" t="e">
        <f>'[1]Synthèse Agence'!T5</f>
        <v>#REF!</v>
      </c>
      <c r="U5" s="229" t="e">
        <f>'[1]Synthèse Agence'!U5</f>
        <v>#REF!</v>
      </c>
      <c r="W5" s="29" t="s">
        <v>22</v>
      </c>
      <c r="X5" s="32" t="s">
        <v>18</v>
      </c>
      <c r="Y5" s="32" t="s">
        <v>17</v>
      </c>
      <c r="Z5" s="32" t="s">
        <v>16</v>
      </c>
      <c r="AB5" s="231" t="s">
        <v>16</v>
      </c>
      <c r="AC5" s="231"/>
      <c r="AD5" s="231"/>
      <c r="AE5" s="231"/>
      <c r="AG5" s="231" t="s">
        <v>17</v>
      </c>
      <c r="AH5" s="231"/>
      <c r="AI5" s="231"/>
      <c r="AJ5" s="231"/>
    </row>
    <row r="6" spans="1:41" ht="13.5" customHeight="1" thickBot="1" x14ac:dyDescent="0.3">
      <c r="A6" s="30" t="e">
        <f>'[1]Synthèse Agence'!A6</f>
        <v>#REF!</v>
      </c>
      <c r="B6" s="232" t="s">
        <v>59</v>
      </c>
      <c r="C6" s="233" t="e">
        <f>'[1]Synthèse Agence'!C6</f>
        <v>#REF!</v>
      </c>
      <c r="D6" s="234" t="str">
        <f>'[1]Synthèse Agence'!D6</f>
        <v>Plafonnement à 44%</v>
      </c>
      <c r="E6" s="235" t="e">
        <f>'[1]Synthèse Agence'!E6</f>
        <v>#REF!</v>
      </c>
      <c r="F6" s="235" t="e">
        <f>'[1]Synthèse Agence'!F6</f>
        <v>#REF!</v>
      </c>
      <c r="G6" s="235" t="e">
        <f>'[1]Synthèse Agence'!G6</f>
        <v>#REF!</v>
      </c>
      <c r="H6" s="235" t="e">
        <f>'[1]Synthèse Agence'!H6</f>
        <v>#REF!</v>
      </c>
      <c r="I6" s="235" t="e">
        <f>'[1]Synthèse Agence'!I6</f>
        <v>#REF!</v>
      </c>
      <c r="J6" s="235" t="e">
        <f>'[1]Synthèse Agence'!J6</f>
        <v>#REF!</v>
      </c>
      <c r="K6" s="235" t="e">
        <f>'[1]Synthèse Agence'!K6</f>
        <v>#REF!</v>
      </c>
      <c r="L6" s="235" t="e">
        <f>'[1]Synthèse Agence'!L6</f>
        <v>#REF!</v>
      </c>
      <c r="M6" s="236" t="e">
        <f>'[1]Synthèse Agence'!M6</f>
        <v>#REF!</v>
      </c>
      <c r="N6" s="46" t="e">
        <f>'[1]Synthèse Agence'!N6</f>
        <v>#REF!</v>
      </c>
      <c r="O6" s="46" t="e">
        <f>'[1]Synthèse Agence'!O6</f>
        <v>#REF!</v>
      </c>
      <c r="P6" s="46" t="e">
        <f>'[1]Synthèse Agence'!P6</f>
        <v>#REF!</v>
      </c>
      <c r="Q6" s="46" t="e">
        <f>'[1]Synthèse Agence'!Q6</f>
        <v>#REF!</v>
      </c>
      <c r="R6" s="46" t="e">
        <f>'[1]Synthèse Agence'!R6</f>
        <v>#REF!</v>
      </c>
      <c r="S6" s="224" t="e">
        <f>'[1]Synthèse Agence'!S6</f>
        <v>#REF!</v>
      </c>
      <c r="T6" s="227" t="e">
        <f>'[1]Synthèse Agence'!T6</f>
        <v>#REF!</v>
      </c>
      <c r="U6" s="230" t="e">
        <f>'[1]Synthèse Agence'!U6</f>
        <v>#REF!</v>
      </c>
      <c r="V6" s="84"/>
      <c r="W6" s="26">
        <v>1</v>
      </c>
      <c r="X6" s="30">
        <f>IF(ISNA(VLOOKUP(W6,$T$61:$U$84,2,FALSE)),X7,VLOOKUP(W6,$T$61:$U$84,2,FALSE))</f>
        <v>1</v>
      </c>
      <c r="Y6" s="30">
        <f>IF(ISNA(VLOOKUP(W6,$T$40:$U$59,2,FALSE)),Y7,VLOOKUP(W6,$T$40:$U$59,2,FALSE))</f>
        <v>1</v>
      </c>
      <c r="Z6" s="30">
        <f>IF(ISNA(VLOOKUP(W6,$T$7:$U$38,2,FALSE)),Z7,VLOOKUP(W6,$T$7:$U$38,2,FALSE))</f>
        <v>1</v>
      </c>
      <c r="AB6" s="93">
        <f>ROUND(L7,4)</f>
        <v>0.13120000000000001</v>
      </c>
      <c r="AC6" s="30">
        <f>RANK(AB6,$AB$6:$AB$37)</f>
        <v>19</v>
      </c>
      <c r="AD6" s="93">
        <f>AB6</f>
        <v>0.13120000000000001</v>
      </c>
      <c r="AE6" s="99" t="e">
        <f>RANK(AD6,$AD$6:$AD$38)-IF(AD6&lt;$AD$38,0,1)</f>
        <v>#REF!</v>
      </c>
      <c r="AG6" s="93">
        <f>ROUND(L40,4)</f>
        <v>8.2799999999999999E-2</v>
      </c>
      <c r="AH6" s="30">
        <f>RANK(AG6,$AG$6:$AG$25)</f>
        <v>18</v>
      </c>
      <c r="AI6" s="93">
        <f>AG6</f>
        <v>8.2799999999999999E-2</v>
      </c>
      <c r="AJ6" s="93" t="e">
        <f>RANK(AI6,$AI$6:$AI$26)-IF(AI6&lt;$AI$26,0,1)</f>
        <v>#REF!</v>
      </c>
      <c r="AL6" s="93">
        <f>ROUND(L61,4)</f>
        <v>0.15</v>
      </c>
      <c r="AM6" s="30">
        <f>RANK(AL6,$AL$6:$AL$29)</f>
        <v>9</v>
      </c>
      <c r="AN6" s="93">
        <f>AL6</f>
        <v>0.15</v>
      </c>
      <c r="AO6" s="93" t="e">
        <f>RANK(AN6,$AN$6:$AN$30)-IF(AN6&lt;$AN$30,0,1)</f>
        <v>#REF!</v>
      </c>
    </row>
    <row r="7" spans="1:41" x14ac:dyDescent="0.2">
      <c r="A7" s="30">
        <f>'[1]Synthèse Agence'!A7</f>
        <v>43783</v>
      </c>
      <c r="B7" s="47">
        <f>'[1]Synthèse Agence'!B7</f>
        <v>51735</v>
      </c>
      <c r="C7" s="48" t="s">
        <v>62</v>
      </c>
      <c r="D7" s="49">
        <f>'[1]Synthèse Agence'!D7</f>
        <v>0.12371285672256546</v>
      </c>
      <c r="E7" s="50">
        <f>'[1]Synthèse Agence'!E7</f>
        <v>11</v>
      </c>
      <c r="F7" s="51">
        <f>'[1]Synthèse Agence'!F7</f>
        <v>0.13733675735532538</v>
      </c>
      <c r="G7" s="50">
        <f>'[1]Synthèse Agence'!G7</f>
        <v>3</v>
      </c>
      <c r="H7" s="51">
        <f>'[1]Synthèse Agence'!H7</f>
        <v>0.16225703811302483</v>
      </c>
      <c r="I7" s="50">
        <f>'[1]Synthèse Agence'!I7</f>
        <v>1</v>
      </c>
      <c r="J7" s="51">
        <f>'[1]Synthèse Agence'!J7</f>
        <v>0.24171039978018963</v>
      </c>
      <c r="K7" s="50">
        <f>'[1]Synthèse Agence'!K7</f>
        <v>3</v>
      </c>
      <c r="L7" s="51">
        <f>'[1]Synthèse Agence'!L7</f>
        <v>0.13119203286728021</v>
      </c>
      <c r="M7" s="52">
        <f>'[1]Synthèse Agence'!M7</f>
        <v>19</v>
      </c>
      <c r="N7" s="53">
        <f>'[1]Synthèse Agence'!N7</f>
        <v>0</v>
      </c>
      <c r="O7" s="53">
        <f>'[1]Synthèse Agence'!O7</f>
        <v>1</v>
      </c>
      <c r="P7" s="53">
        <f>'[1]Synthèse Agence'!P7</f>
        <v>1</v>
      </c>
      <c r="Q7" s="53">
        <f>'[1]Synthèse Agence'!Q7</f>
        <v>1</v>
      </c>
      <c r="R7" s="53">
        <f>'[1]Synthèse Agence'!R7</f>
        <v>1</v>
      </c>
      <c r="S7" s="54">
        <f>'[1]Synthèse Agence'!S7</f>
        <v>4</v>
      </c>
      <c r="T7" s="50">
        <f>'[1]Synthèse Agence'!T7</f>
        <v>37</v>
      </c>
      <c r="U7" s="52">
        <f>'[1]Synthèse Agence'!U7</f>
        <v>1</v>
      </c>
      <c r="V7" s="84"/>
      <c r="W7" s="30">
        <v>2</v>
      </c>
      <c r="X7" s="30">
        <f t="shared" ref="X7:X70" si="0">IF(ISNA(VLOOKUP(W7,$T$61:$U$84,2,FALSE)),X8,VLOOKUP(W7,$T$61:$U$84,2,FALSE))</f>
        <v>1</v>
      </c>
      <c r="Y7" s="30">
        <f t="shared" ref="Y7:Y70" si="1">IF(ISNA(VLOOKUP(W7,$T$40:$U$59,2,FALSE)),Y8,VLOOKUP(W7,$T$40:$U$59,2,FALSE))</f>
        <v>1</v>
      </c>
      <c r="Z7" s="30">
        <f t="shared" ref="Z7:Z44" si="2">IF(ISNA(VLOOKUP(W7,$T$7:$U$38,2,FALSE)),Z8,VLOOKUP(W7,$T$7:$U$38,2,FALSE))</f>
        <v>1</v>
      </c>
      <c r="AB7" s="93">
        <f t="shared" ref="AB7:AB37" si="3">ROUND(L8,4)</f>
        <v>0.1075</v>
      </c>
      <c r="AC7" s="30">
        <f t="shared" ref="AC7:AC37" si="4">RANK(AB7,$AB$6:$AB$37)</f>
        <v>29</v>
      </c>
      <c r="AD7" s="93">
        <f t="shared" ref="AD7:AD37" si="5">AB7</f>
        <v>0.1075</v>
      </c>
      <c r="AE7" s="98" t="e">
        <f t="shared" ref="AE7:AE37" si="6">RANK(AD7,$AD$6:$AD$38)-IF(AD7&lt;$AD$38,0,1)</f>
        <v>#REF!</v>
      </c>
      <c r="AG7" s="93">
        <f t="shared" ref="AG7:AG25" si="7">ROUND(L41,4)</f>
        <v>0.15</v>
      </c>
      <c r="AH7" s="30">
        <f t="shared" ref="AH7:AH25" si="8">RANK(AG7,$AG$6:$AG$25)</f>
        <v>9</v>
      </c>
      <c r="AI7" s="93">
        <f t="shared" ref="AI7:AI25" si="9">AG7</f>
        <v>0.15</v>
      </c>
      <c r="AJ7" s="97" t="e">
        <f t="shared" ref="AJ7:AJ25" si="10">RANK(AI7,$AI$6:$AI$26)-IF(AI7&lt;$AI$26,0,1)</f>
        <v>#REF!</v>
      </c>
      <c r="AL7" s="93">
        <f t="shared" ref="AL7:AL29" si="11">ROUND(L62,4)</f>
        <v>0.15</v>
      </c>
      <c r="AM7" s="30">
        <f t="shared" ref="AM7:AM29" si="12">RANK(AL7,$AL$6:$AL$29)</f>
        <v>9</v>
      </c>
      <c r="AN7" s="93">
        <f t="shared" ref="AN7:AN29" si="13">AL7</f>
        <v>0.15</v>
      </c>
      <c r="AO7" s="93" t="e">
        <f t="shared" ref="AO7:AO29" si="14">RANK(AN7,$AN$6:$AN$30)-IF(AN7&lt;$AN$30,0,1)</f>
        <v>#REF!</v>
      </c>
    </row>
    <row r="8" spans="1:41" x14ac:dyDescent="0.2">
      <c r="A8" s="30">
        <f>'[1]Synthèse Agence'!A8</f>
        <v>43711</v>
      </c>
      <c r="B8" s="55">
        <f>'[1]Synthèse Agence'!B8</f>
        <v>51859</v>
      </c>
      <c r="C8" s="56" t="s">
        <v>63</v>
      </c>
      <c r="D8" s="57">
        <f>'[1]Synthèse Agence'!D8</f>
        <v>0.1631812107112805</v>
      </c>
      <c r="E8" s="58">
        <f>'[1]Synthèse Agence'!E8</f>
        <v>1</v>
      </c>
      <c r="F8" s="59">
        <f>'[1]Synthèse Agence'!F8</f>
        <v>0.11758153602239615</v>
      </c>
      <c r="G8" s="58">
        <f>'[1]Synthèse Agence'!G8</f>
        <v>5</v>
      </c>
      <c r="H8" s="59">
        <f>'[1]Synthèse Agence'!H8</f>
        <v>0.15253058954393769</v>
      </c>
      <c r="I8" s="58">
        <f>'[1]Synthèse Agence'!I8</f>
        <v>2</v>
      </c>
      <c r="J8" s="59">
        <f>'[1]Synthèse Agence'!J8</f>
        <v>0.21993500122639198</v>
      </c>
      <c r="K8" s="58">
        <f>'[1]Synthèse Agence'!K8</f>
        <v>4</v>
      </c>
      <c r="L8" s="59">
        <f>'[1]Synthèse Agence'!L8</f>
        <v>0.10754985754985753</v>
      </c>
      <c r="M8" s="60">
        <f>'[1]Synthèse Agence'!M8</f>
        <v>29</v>
      </c>
      <c r="N8" s="53">
        <f>'[1]Synthèse Agence'!N8</f>
        <v>1</v>
      </c>
      <c r="O8" s="53">
        <f>'[1]Synthèse Agence'!O8</f>
        <v>0</v>
      </c>
      <c r="P8" s="53">
        <f>'[1]Synthèse Agence'!P8</f>
        <v>1</v>
      </c>
      <c r="Q8" s="53">
        <f>'[1]Synthèse Agence'!Q8</f>
        <v>1</v>
      </c>
      <c r="R8" s="53">
        <f>'[1]Synthèse Agence'!R8</f>
        <v>0</v>
      </c>
      <c r="S8" s="61">
        <f>'[1]Synthèse Agence'!S8</f>
        <v>3</v>
      </c>
      <c r="T8" s="58">
        <f>'[1]Synthèse Agence'!T8</f>
        <v>41</v>
      </c>
      <c r="U8" s="60">
        <f>'[1]Synthèse Agence'!U8</f>
        <v>2</v>
      </c>
      <c r="V8" s="84"/>
      <c r="W8" s="85">
        <v>3</v>
      </c>
      <c r="X8" s="30">
        <f t="shared" si="0"/>
        <v>1</v>
      </c>
      <c r="Y8" s="30">
        <f t="shared" si="1"/>
        <v>1</v>
      </c>
      <c r="Z8" s="30">
        <f t="shared" si="2"/>
        <v>1</v>
      </c>
      <c r="AB8" s="93">
        <f t="shared" si="3"/>
        <v>0.18959999999999999</v>
      </c>
      <c r="AC8" s="30">
        <f t="shared" si="4"/>
        <v>1</v>
      </c>
      <c r="AD8" s="93">
        <f t="shared" si="5"/>
        <v>0.18959999999999999</v>
      </c>
      <c r="AE8" s="98" t="e">
        <f t="shared" si="6"/>
        <v>#REF!</v>
      </c>
      <c r="AG8" s="93">
        <f t="shared" si="7"/>
        <v>0.1709</v>
      </c>
      <c r="AH8" s="30">
        <f t="shared" si="8"/>
        <v>6</v>
      </c>
      <c r="AI8" s="93">
        <f t="shared" si="9"/>
        <v>0.1709</v>
      </c>
      <c r="AJ8" s="97" t="e">
        <f t="shared" si="10"/>
        <v>#REF!</v>
      </c>
      <c r="AL8" s="93">
        <f t="shared" si="11"/>
        <v>8.2799999999999999E-2</v>
      </c>
      <c r="AM8" s="30">
        <f t="shared" si="12"/>
        <v>24</v>
      </c>
      <c r="AN8" s="93">
        <f t="shared" si="13"/>
        <v>8.2799999999999999E-2</v>
      </c>
      <c r="AO8" s="93" t="e">
        <f t="shared" si="14"/>
        <v>#REF!</v>
      </c>
    </row>
    <row r="9" spans="1:41" x14ac:dyDescent="0.2">
      <c r="A9" s="30">
        <f>'[1]Synthèse Agence'!A9</f>
        <v>43816</v>
      </c>
      <c r="B9" s="55">
        <f>'[1]Synthèse Agence'!B9</f>
        <v>58134</v>
      </c>
      <c r="C9" s="56" t="s">
        <v>64</v>
      </c>
      <c r="D9" s="57">
        <f>'[1]Synthèse Agence'!D9</f>
        <v>0.12962962962962962</v>
      </c>
      <c r="E9" s="58">
        <f>'[1]Synthèse Agence'!E9</f>
        <v>9</v>
      </c>
      <c r="F9" s="59">
        <f>'[1]Synthèse Agence'!F9</f>
        <v>0.11052374669868235</v>
      </c>
      <c r="G9" s="58">
        <f>'[1]Synthèse Agence'!G9</f>
        <v>9</v>
      </c>
      <c r="H9" s="59">
        <f>'[1]Synthèse Agence'!H9</f>
        <v>9.9405350084697905E-2</v>
      </c>
      <c r="I9" s="58">
        <f>'[1]Synthèse Agence'!I9</f>
        <v>16</v>
      </c>
      <c r="J9" s="59">
        <f>'[1]Synthèse Agence'!J9</f>
        <v>0.14545409962788264</v>
      </c>
      <c r="K9" s="58">
        <f>'[1]Synthèse Agence'!K9</f>
        <v>16</v>
      </c>
      <c r="L9" s="59">
        <f>'[1]Synthèse Agence'!L9</f>
        <v>0.18957044673539522</v>
      </c>
      <c r="M9" s="60">
        <f>'[1]Synthèse Agence'!M9</f>
        <v>1</v>
      </c>
      <c r="N9" s="53">
        <f>'[1]Synthèse Agence'!N9</f>
        <v>1</v>
      </c>
      <c r="O9" s="53">
        <f>'[1]Synthèse Agence'!O9</f>
        <v>0</v>
      </c>
      <c r="P9" s="53">
        <f>'[1]Synthèse Agence'!P9</f>
        <v>0</v>
      </c>
      <c r="Q9" s="53">
        <f>'[1]Synthèse Agence'!Q9</f>
        <v>1</v>
      </c>
      <c r="R9" s="53">
        <f>'[1]Synthèse Agence'!R9</f>
        <v>1</v>
      </c>
      <c r="S9" s="61">
        <f>'[1]Synthèse Agence'!S9</f>
        <v>3</v>
      </c>
      <c r="T9" s="58">
        <f>'[1]Synthèse Agence'!T9</f>
        <v>51</v>
      </c>
      <c r="U9" s="60">
        <f>'[1]Synthèse Agence'!U9</f>
        <v>3</v>
      </c>
      <c r="W9" s="30">
        <v>4</v>
      </c>
      <c r="X9" s="30">
        <f t="shared" si="0"/>
        <v>1</v>
      </c>
      <c r="Y9" s="30">
        <f t="shared" si="1"/>
        <v>1</v>
      </c>
      <c r="Z9" s="30">
        <f t="shared" si="2"/>
        <v>1</v>
      </c>
      <c r="AB9" s="93">
        <f t="shared" si="3"/>
        <v>0.14580000000000001</v>
      </c>
      <c r="AC9" s="30">
        <f t="shared" si="4"/>
        <v>10</v>
      </c>
      <c r="AD9" s="93">
        <f t="shared" si="5"/>
        <v>0.14580000000000001</v>
      </c>
      <c r="AE9" s="98" t="e">
        <f t="shared" si="6"/>
        <v>#REF!</v>
      </c>
      <c r="AG9" s="93">
        <f t="shared" si="7"/>
        <v>0.21879999999999999</v>
      </c>
      <c r="AH9" s="30">
        <f t="shared" si="8"/>
        <v>1</v>
      </c>
      <c r="AI9" s="93">
        <f t="shared" si="9"/>
        <v>0.21879999999999999</v>
      </c>
      <c r="AJ9" s="97" t="e">
        <f t="shared" si="10"/>
        <v>#REF!</v>
      </c>
      <c r="AL9" s="93">
        <f t="shared" si="11"/>
        <v>0.15</v>
      </c>
      <c r="AM9" s="30">
        <f t="shared" si="12"/>
        <v>9</v>
      </c>
      <c r="AN9" s="93">
        <f t="shared" si="13"/>
        <v>0.15</v>
      </c>
      <c r="AO9" s="93" t="e">
        <f t="shared" si="14"/>
        <v>#REF!</v>
      </c>
    </row>
    <row r="10" spans="1:41" x14ac:dyDescent="0.2">
      <c r="A10" s="30">
        <f>'[1]Synthèse Agence'!A10</f>
        <v>43787</v>
      </c>
      <c r="B10" s="62">
        <f>'[1]Synthèse Agence'!B10</f>
        <v>51746</v>
      </c>
      <c r="C10" s="63" t="s">
        <v>65</v>
      </c>
      <c r="D10" s="57">
        <f>'[1]Synthèse Agence'!D10</f>
        <v>0.1153426268055089</v>
      </c>
      <c r="E10" s="58">
        <f>'[1]Synthèse Agence'!E10</f>
        <v>14</v>
      </c>
      <c r="F10" s="59">
        <f>'[1]Synthèse Agence'!F10</f>
        <v>0.1152473785319779</v>
      </c>
      <c r="G10" s="58">
        <f>'[1]Synthèse Agence'!G10</f>
        <v>6</v>
      </c>
      <c r="H10" s="59">
        <f>'[1]Synthèse Agence'!H10</f>
        <v>0.13555555555555554</v>
      </c>
      <c r="I10" s="58">
        <f>'[1]Synthèse Agence'!I10</f>
        <v>5</v>
      </c>
      <c r="J10" s="59">
        <f>'[1]Synthèse Agence'!J10</f>
        <v>0.13488004387297675</v>
      </c>
      <c r="K10" s="58">
        <f>'[1]Synthèse Agence'!K10</f>
        <v>20</v>
      </c>
      <c r="L10" s="59">
        <f>'[1]Synthèse Agence'!L10</f>
        <v>0.14580712333521323</v>
      </c>
      <c r="M10" s="60">
        <f>'[1]Synthèse Agence'!M10</f>
        <v>10</v>
      </c>
      <c r="N10" s="53">
        <f>'[1]Synthèse Agence'!N10</f>
        <v>0</v>
      </c>
      <c r="O10" s="53">
        <f>'[1]Synthèse Agence'!O10</f>
        <v>0</v>
      </c>
      <c r="P10" s="53">
        <f>'[1]Synthèse Agence'!P10</f>
        <v>1</v>
      </c>
      <c r="Q10" s="53">
        <f>'[1]Synthèse Agence'!Q10</f>
        <v>1</v>
      </c>
      <c r="R10" s="53">
        <f>'[1]Synthèse Agence'!R10</f>
        <v>1</v>
      </c>
      <c r="S10" s="61">
        <f>'[1]Synthèse Agence'!S10</f>
        <v>3</v>
      </c>
      <c r="T10" s="58">
        <f>'[1]Synthèse Agence'!T10</f>
        <v>55</v>
      </c>
      <c r="U10" s="60">
        <f>'[1]Synthèse Agence'!U10</f>
        <v>4</v>
      </c>
      <c r="W10" s="30">
        <v>5</v>
      </c>
      <c r="X10" s="30">
        <f t="shared" si="0"/>
        <v>1</v>
      </c>
      <c r="Y10" s="30">
        <f t="shared" si="1"/>
        <v>1</v>
      </c>
      <c r="Z10" s="30">
        <f t="shared" si="2"/>
        <v>1</v>
      </c>
      <c r="AB10" s="93">
        <f t="shared" si="3"/>
        <v>0.18790000000000001</v>
      </c>
      <c r="AC10" s="30">
        <f t="shared" si="4"/>
        <v>2</v>
      </c>
      <c r="AD10" s="93">
        <f t="shared" si="5"/>
        <v>0.18790000000000001</v>
      </c>
      <c r="AE10" s="98" t="e">
        <f t="shared" si="6"/>
        <v>#REF!</v>
      </c>
      <c r="AG10" s="93">
        <f t="shared" si="7"/>
        <v>0.17150000000000001</v>
      </c>
      <c r="AH10" s="30">
        <f t="shared" si="8"/>
        <v>5</v>
      </c>
      <c r="AI10" s="93">
        <f t="shared" si="9"/>
        <v>0.17150000000000001</v>
      </c>
      <c r="AJ10" s="97" t="e">
        <f t="shared" si="10"/>
        <v>#REF!</v>
      </c>
      <c r="AL10" s="93">
        <f t="shared" si="11"/>
        <v>0.12520000000000001</v>
      </c>
      <c r="AM10" s="30">
        <f t="shared" si="12"/>
        <v>20</v>
      </c>
      <c r="AN10" s="93">
        <f t="shared" si="13"/>
        <v>0.12520000000000001</v>
      </c>
      <c r="AO10" s="93" t="e">
        <f t="shared" si="14"/>
        <v>#REF!</v>
      </c>
    </row>
    <row r="11" spans="1:41" x14ac:dyDescent="0.2">
      <c r="A11" s="30">
        <f>'[1]Synthèse Agence'!A11</f>
        <v>43812</v>
      </c>
      <c r="B11" s="62">
        <f>'[1]Synthèse Agence'!B11</f>
        <v>55131</v>
      </c>
      <c r="C11" s="63" t="s">
        <v>66</v>
      </c>
      <c r="D11" s="57">
        <f>'[1]Synthèse Agence'!D11</f>
        <v>7.0355191256830596E-2</v>
      </c>
      <c r="E11" s="58">
        <f>'[1]Synthèse Agence'!E11</f>
        <v>30</v>
      </c>
      <c r="F11" s="59">
        <f>'[1]Synthèse Agence'!F11</f>
        <v>0.14558274737619947</v>
      </c>
      <c r="G11" s="58">
        <f>'[1]Synthèse Agence'!G11</f>
        <v>1</v>
      </c>
      <c r="H11" s="59">
        <f>'[1]Synthèse Agence'!H11</f>
        <v>0.14739837398373984</v>
      </c>
      <c r="I11" s="58">
        <f>'[1]Synthèse Agence'!I11</f>
        <v>3</v>
      </c>
      <c r="J11" s="59">
        <f>'[1]Synthèse Agence'!J11</f>
        <v>0.13157219414104016</v>
      </c>
      <c r="K11" s="58">
        <f>'[1]Synthèse Agence'!K11</f>
        <v>23</v>
      </c>
      <c r="L11" s="59">
        <f>'[1]Synthèse Agence'!L11</f>
        <v>0.18794869321242233</v>
      </c>
      <c r="M11" s="60">
        <f>'[1]Synthèse Agence'!M11</f>
        <v>2</v>
      </c>
      <c r="N11" s="53">
        <f>'[1]Synthèse Agence'!N11</f>
        <v>0</v>
      </c>
      <c r="O11" s="53">
        <f>'[1]Synthèse Agence'!O11</f>
        <v>1</v>
      </c>
      <c r="P11" s="53">
        <f>'[1]Synthèse Agence'!P11</f>
        <v>1</v>
      </c>
      <c r="Q11" s="53">
        <f>'[1]Synthèse Agence'!Q11</f>
        <v>1</v>
      </c>
      <c r="R11" s="53">
        <f>'[1]Synthèse Agence'!R11</f>
        <v>1</v>
      </c>
      <c r="S11" s="61">
        <f>'[1]Synthèse Agence'!S11</f>
        <v>4</v>
      </c>
      <c r="T11" s="58">
        <f>'[1]Synthèse Agence'!T11</f>
        <v>59</v>
      </c>
      <c r="U11" s="60">
        <f>'[1]Synthèse Agence'!U11</f>
        <v>5</v>
      </c>
      <c r="W11" s="30">
        <v>6</v>
      </c>
      <c r="X11" s="30">
        <f t="shared" si="0"/>
        <v>1</v>
      </c>
      <c r="Y11" s="30">
        <f t="shared" si="1"/>
        <v>1</v>
      </c>
      <c r="Z11" s="30">
        <f t="shared" si="2"/>
        <v>1</v>
      </c>
      <c r="AB11" s="93">
        <f t="shared" si="3"/>
        <v>0.18790000000000001</v>
      </c>
      <c r="AC11" s="30">
        <f t="shared" si="4"/>
        <v>2</v>
      </c>
      <c r="AD11" s="93">
        <f t="shared" si="5"/>
        <v>0.18790000000000001</v>
      </c>
      <c r="AE11" s="98" t="e">
        <f t="shared" si="6"/>
        <v>#REF!</v>
      </c>
      <c r="AG11" s="93">
        <f t="shared" si="7"/>
        <v>0.18959999999999999</v>
      </c>
      <c r="AH11" s="30">
        <f t="shared" si="8"/>
        <v>3</v>
      </c>
      <c r="AI11" s="93">
        <f t="shared" si="9"/>
        <v>0.18959999999999999</v>
      </c>
      <c r="AJ11" s="97" t="e">
        <f t="shared" si="10"/>
        <v>#REF!</v>
      </c>
      <c r="AL11" s="93">
        <f t="shared" si="11"/>
        <v>0.13669999999999999</v>
      </c>
      <c r="AM11" s="30">
        <f t="shared" si="12"/>
        <v>12</v>
      </c>
      <c r="AN11" s="93">
        <f t="shared" si="13"/>
        <v>0.13669999999999999</v>
      </c>
      <c r="AO11" s="93" t="e">
        <f t="shared" si="14"/>
        <v>#REF!</v>
      </c>
    </row>
    <row r="12" spans="1:41" x14ac:dyDescent="0.2">
      <c r="A12" s="30">
        <f>'[1]Synthèse Agence'!A12</f>
        <v>43812</v>
      </c>
      <c r="B12" s="62">
        <f>'[1]Synthèse Agence'!B12</f>
        <v>58143</v>
      </c>
      <c r="C12" s="63" t="s">
        <v>67</v>
      </c>
      <c r="D12" s="57">
        <f>'[1]Synthèse Agence'!D12</f>
        <v>0.14558111380145278</v>
      </c>
      <c r="E12" s="58">
        <f>'[1]Synthèse Agence'!E12</f>
        <v>4</v>
      </c>
      <c r="F12" s="59">
        <f>'[1]Synthèse Agence'!F12</f>
        <v>0.10463820279529373</v>
      </c>
      <c r="G12" s="58">
        <f>'[1]Synthèse Agence'!G12</f>
        <v>12</v>
      </c>
      <c r="H12" s="59">
        <f>'[1]Synthèse Agence'!H12</f>
        <v>7.1874999999999994E-2</v>
      </c>
      <c r="I12" s="58">
        <f>'[1]Synthèse Agence'!I12</f>
        <v>28</v>
      </c>
      <c r="J12" s="59">
        <f>'[1]Synthèse Agence'!J12</f>
        <v>0.14630602328893358</v>
      </c>
      <c r="K12" s="58">
        <f>'[1]Synthèse Agence'!K12</f>
        <v>15</v>
      </c>
      <c r="L12" s="59">
        <f>'[1]Synthèse Agence'!L12</f>
        <v>0.18794869321242233</v>
      </c>
      <c r="M12" s="60">
        <f>'[1]Synthèse Agence'!M12</f>
        <v>2</v>
      </c>
      <c r="N12" s="53">
        <f>'[1]Synthèse Agence'!N12</f>
        <v>1</v>
      </c>
      <c r="O12" s="53">
        <f>'[1]Synthèse Agence'!O12</f>
        <v>0</v>
      </c>
      <c r="P12" s="53">
        <f>'[1]Synthèse Agence'!P12</f>
        <v>0</v>
      </c>
      <c r="Q12" s="53">
        <f>'[1]Synthèse Agence'!Q12</f>
        <v>1</v>
      </c>
      <c r="R12" s="53">
        <f>'[1]Synthèse Agence'!R12</f>
        <v>1</v>
      </c>
      <c r="S12" s="61">
        <f>'[1]Synthèse Agence'!S12</f>
        <v>3</v>
      </c>
      <c r="T12" s="58">
        <f>'[1]Synthèse Agence'!T12</f>
        <v>61</v>
      </c>
      <c r="U12" s="60">
        <f>'[1]Synthèse Agence'!U12</f>
        <v>6</v>
      </c>
      <c r="W12" s="30">
        <v>7</v>
      </c>
      <c r="X12" s="30">
        <f t="shared" si="0"/>
        <v>1</v>
      </c>
      <c r="Y12" s="30">
        <f t="shared" si="1"/>
        <v>1</v>
      </c>
      <c r="Z12" s="30">
        <f t="shared" si="2"/>
        <v>1</v>
      </c>
      <c r="AB12" s="93">
        <f t="shared" si="3"/>
        <v>0.13120000000000001</v>
      </c>
      <c r="AC12" s="30">
        <f t="shared" si="4"/>
        <v>19</v>
      </c>
      <c r="AD12" s="93">
        <f t="shared" si="5"/>
        <v>0.13120000000000001</v>
      </c>
      <c r="AE12" s="98" t="e">
        <f t="shared" si="6"/>
        <v>#REF!</v>
      </c>
      <c r="AG12" s="93">
        <f t="shared" si="7"/>
        <v>0.13100000000000001</v>
      </c>
      <c r="AH12" s="30">
        <f t="shared" si="8"/>
        <v>14</v>
      </c>
      <c r="AI12" s="93">
        <f t="shared" si="9"/>
        <v>0.13100000000000001</v>
      </c>
      <c r="AJ12" s="97" t="e">
        <f t="shared" si="10"/>
        <v>#REF!</v>
      </c>
      <c r="AL12" s="93">
        <f t="shared" si="11"/>
        <v>0.13120000000000001</v>
      </c>
      <c r="AM12" s="30">
        <f t="shared" si="12"/>
        <v>19</v>
      </c>
      <c r="AN12" s="93">
        <f t="shared" si="13"/>
        <v>0.13120000000000001</v>
      </c>
      <c r="AO12" s="93" t="e">
        <f t="shared" si="14"/>
        <v>#REF!</v>
      </c>
    </row>
    <row r="13" spans="1:41" x14ac:dyDescent="0.2">
      <c r="A13" s="30">
        <f>'[1]Synthèse Agence'!A13</f>
        <v>43783</v>
      </c>
      <c r="B13" s="64">
        <f>'[1]Synthèse Agence'!B13</f>
        <v>51738</v>
      </c>
      <c r="C13" s="65" t="s">
        <v>68</v>
      </c>
      <c r="D13" s="57">
        <f>'[1]Synthèse Agence'!D13</f>
        <v>0.15008503401360546</v>
      </c>
      <c r="E13" s="58">
        <f>'[1]Synthèse Agence'!E13</f>
        <v>3</v>
      </c>
      <c r="F13" s="59">
        <f>'[1]Synthèse Agence'!F13</f>
        <v>0.10485449883711155</v>
      </c>
      <c r="G13" s="58">
        <f>'[1]Synthèse Agence'!G13</f>
        <v>11</v>
      </c>
      <c r="H13" s="59">
        <f>'[1]Synthèse Agence'!H13</f>
        <v>9.9451629263344749E-2</v>
      </c>
      <c r="I13" s="58">
        <f>'[1]Synthèse Agence'!I13</f>
        <v>14</v>
      </c>
      <c r="J13" s="59">
        <f>'[1]Synthèse Agence'!J13</f>
        <v>0.14541260268367423</v>
      </c>
      <c r="K13" s="58">
        <f>'[1]Synthèse Agence'!K13</f>
        <v>17</v>
      </c>
      <c r="L13" s="59">
        <f>'[1]Synthèse Agence'!L13</f>
        <v>0.13119203286728021</v>
      </c>
      <c r="M13" s="60">
        <f>'[1]Synthèse Agence'!M13</f>
        <v>19</v>
      </c>
      <c r="N13" s="53">
        <f>'[1]Synthèse Agence'!N13</f>
        <v>1</v>
      </c>
      <c r="O13" s="53">
        <f>'[1]Synthèse Agence'!O13</f>
        <v>0</v>
      </c>
      <c r="P13" s="53">
        <f>'[1]Synthèse Agence'!P13</f>
        <v>0</v>
      </c>
      <c r="Q13" s="53">
        <f>'[1]Synthèse Agence'!Q13</f>
        <v>1</v>
      </c>
      <c r="R13" s="53">
        <f>'[1]Synthèse Agence'!R13</f>
        <v>1</v>
      </c>
      <c r="S13" s="61">
        <f>'[1]Synthèse Agence'!S13</f>
        <v>3</v>
      </c>
      <c r="T13" s="58">
        <f>'[1]Synthèse Agence'!T13</f>
        <v>64</v>
      </c>
      <c r="U13" s="60">
        <f>'[1]Synthèse Agence'!U13</f>
        <v>7</v>
      </c>
      <c r="W13" s="30">
        <v>8</v>
      </c>
      <c r="X13" s="30">
        <f t="shared" si="0"/>
        <v>1</v>
      </c>
      <c r="Y13" s="30">
        <f t="shared" si="1"/>
        <v>1</v>
      </c>
      <c r="Z13" s="30">
        <f t="shared" si="2"/>
        <v>1</v>
      </c>
      <c r="AB13" s="93">
        <f t="shared" si="3"/>
        <v>0.13669999999999999</v>
      </c>
      <c r="AC13" s="30">
        <f t="shared" si="4"/>
        <v>12</v>
      </c>
      <c r="AD13" s="93">
        <f t="shared" si="5"/>
        <v>0.13669999999999999</v>
      </c>
      <c r="AE13" s="98" t="e">
        <f t="shared" si="6"/>
        <v>#REF!</v>
      </c>
      <c r="AG13" s="93">
        <f t="shared" si="7"/>
        <v>0.18959999999999999</v>
      </c>
      <c r="AH13" s="30">
        <f t="shared" si="8"/>
        <v>3</v>
      </c>
      <c r="AI13" s="93">
        <f t="shared" si="9"/>
        <v>0.18959999999999999</v>
      </c>
      <c r="AJ13" s="97" t="e">
        <f t="shared" si="10"/>
        <v>#REF!</v>
      </c>
      <c r="AL13" s="93">
        <f t="shared" si="11"/>
        <v>0.18959999999999999</v>
      </c>
      <c r="AM13" s="30">
        <f t="shared" si="12"/>
        <v>3</v>
      </c>
      <c r="AN13" s="93">
        <f t="shared" si="13"/>
        <v>0.18959999999999999</v>
      </c>
      <c r="AO13" s="93" t="e">
        <f t="shared" si="14"/>
        <v>#REF!</v>
      </c>
    </row>
    <row r="14" spans="1:41" x14ac:dyDescent="0.2">
      <c r="A14" s="30">
        <f>'[1]Synthèse Agence'!A14</f>
        <v>43703</v>
      </c>
      <c r="B14" s="62">
        <f>'[1]Synthèse Agence'!B14</f>
        <v>51832</v>
      </c>
      <c r="C14" s="63" t="s">
        <v>69</v>
      </c>
      <c r="D14" s="57">
        <f>'[1]Synthèse Agence'!D14</f>
        <v>0.14436392914653784</v>
      </c>
      <c r="E14" s="58">
        <f>'[1]Synthèse Agence'!E14</f>
        <v>5</v>
      </c>
      <c r="F14" s="59">
        <f>'[1]Synthèse Agence'!F14</f>
        <v>0.1139129909190891</v>
      </c>
      <c r="G14" s="58">
        <f>'[1]Synthèse Agence'!G14</f>
        <v>7</v>
      </c>
      <c r="H14" s="59">
        <f>'[1]Synthèse Agence'!H14</f>
        <v>9.3851214574898784E-2</v>
      </c>
      <c r="I14" s="58">
        <f>'[1]Synthèse Agence'!I14</f>
        <v>20</v>
      </c>
      <c r="J14" s="59">
        <f>'[1]Synthèse Agence'!J14</f>
        <v>0.13460582227791942</v>
      </c>
      <c r="K14" s="58">
        <f>'[1]Synthèse Agence'!K14</f>
        <v>21</v>
      </c>
      <c r="L14" s="59">
        <f>'[1]Synthèse Agence'!L14</f>
        <v>0.1367224311386748</v>
      </c>
      <c r="M14" s="60">
        <f>'[1]Synthèse Agence'!M14</f>
        <v>12</v>
      </c>
      <c r="N14" s="53">
        <f>'[1]Synthèse Agence'!N14</f>
        <v>1</v>
      </c>
      <c r="O14" s="53">
        <f>'[1]Synthèse Agence'!O14</f>
        <v>0</v>
      </c>
      <c r="P14" s="53">
        <f>'[1]Synthèse Agence'!P14</f>
        <v>0</v>
      </c>
      <c r="Q14" s="53">
        <f>'[1]Synthèse Agence'!Q14</f>
        <v>1</v>
      </c>
      <c r="R14" s="53">
        <f>'[1]Synthèse Agence'!R14</f>
        <v>1</v>
      </c>
      <c r="S14" s="61">
        <f>'[1]Synthèse Agence'!S14</f>
        <v>3</v>
      </c>
      <c r="T14" s="58">
        <f>'[1]Synthèse Agence'!T14</f>
        <v>65</v>
      </c>
      <c r="U14" s="60">
        <f>'[1]Synthèse Agence'!U14</f>
        <v>8</v>
      </c>
      <c r="W14" s="30">
        <v>9</v>
      </c>
      <c r="X14" s="30">
        <f t="shared" si="0"/>
        <v>1</v>
      </c>
      <c r="Y14" s="30">
        <f t="shared" si="1"/>
        <v>1</v>
      </c>
      <c r="Z14" s="30">
        <f t="shared" si="2"/>
        <v>1</v>
      </c>
      <c r="AB14" s="93">
        <f t="shared" si="3"/>
        <v>0.13370000000000001</v>
      </c>
      <c r="AC14" s="30">
        <f t="shared" si="4"/>
        <v>16</v>
      </c>
      <c r="AD14" s="93">
        <f t="shared" si="5"/>
        <v>0.13370000000000001</v>
      </c>
      <c r="AE14" s="98" t="e">
        <f t="shared" si="6"/>
        <v>#REF!</v>
      </c>
      <c r="AG14" s="93">
        <f t="shared" si="7"/>
        <v>0.12429999999999999</v>
      </c>
      <c r="AH14" s="30">
        <f t="shared" si="8"/>
        <v>15</v>
      </c>
      <c r="AI14" s="93">
        <f t="shared" si="9"/>
        <v>0.12429999999999999</v>
      </c>
      <c r="AJ14" s="97" t="e">
        <f t="shared" si="10"/>
        <v>#REF!</v>
      </c>
      <c r="AL14" s="93">
        <f t="shared" si="11"/>
        <v>0.13370000000000001</v>
      </c>
      <c r="AM14" s="30">
        <f t="shared" si="12"/>
        <v>18</v>
      </c>
      <c r="AN14" s="93">
        <f t="shared" si="13"/>
        <v>0.13370000000000001</v>
      </c>
      <c r="AO14" s="93" t="e">
        <f t="shared" si="14"/>
        <v>#REF!</v>
      </c>
    </row>
    <row r="15" spans="1:41" x14ac:dyDescent="0.2">
      <c r="A15" s="30">
        <f>'[1]Synthèse Agence'!A15</f>
        <v>43765</v>
      </c>
      <c r="B15" s="62">
        <f>'[1]Synthèse Agence'!B15</f>
        <v>53500</v>
      </c>
      <c r="C15" s="63" t="s">
        <v>70</v>
      </c>
      <c r="D15" s="57">
        <f>'[1]Synthèse Agence'!D15</f>
        <v>6.2903225806451607E-2</v>
      </c>
      <c r="E15" s="58">
        <f>'[1]Synthèse Agence'!E15</f>
        <v>32</v>
      </c>
      <c r="F15" s="59">
        <f>'[1]Synthèse Agence'!F15</f>
        <v>0.12509004143314859</v>
      </c>
      <c r="G15" s="58">
        <f>'[1]Synthèse Agence'!G15</f>
        <v>4</v>
      </c>
      <c r="H15" s="59">
        <f>'[1]Synthèse Agence'!H15</f>
        <v>0.12238945700705747</v>
      </c>
      <c r="I15" s="58">
        <f>'[1]Synthèse Agence'!I15</f>
        <v>8</v>
      </c>
      <c r="J15" s="59">
        <f>'[1]Synthèse Agence'!J15</f>
        <v>0.19458094261652589</v>
      </c>
      <c r="K15" s="58">
        <f>'[1]Synthèse Agence'!K15</f>
        <v>6</v>
      </c>
      <c r="L15" s="59">
        <f>'[1]Synthèse Agence'!L15</f>
        <v>0.13369558321596689</v>
      </c>
      <c r="M15" s="60">
        <f>'[1]Synthèse Agence'!M15</f>
        <v>16</v>
      </c>
      <c r="N15" s="53">
        <f>'[1]Synthèse Agence'!N15</f>
        <v>0</v>
      </c>
      <c r="O15" s="53">
        <f>'[1]Synthèse Agence'!O15</f>
        <v>0</v>
      </c>
      <c r="P15" s="53">
        <f>'[1]Synthèse Agence'!P15</f>
        <v>0</v>
      </c>
      <c r="Q15" s="53">
        <f>'[1]Synthèse Agence'!Q15</f>
        <v>1</v>
      </c>
      <c r="R15" s="53">
        <f>'[1]Synthèse Agence'!R15</f>
        <v>1</v>
      </c>
      <c r="S15" s="61">
        <f>'[1]Synthèse Agence'!S15</f>
        <v>2</v>
      </c>
      <c r="T15" s="58">
        <f>'[1]Synthèse Agence'!T15</f>
        <v>66</v>
      </c>
      <c r="U15" s="60">
        <f>'[1]Synthèse Agence'!U15</f>
        <v>9</v>
      </c>
      <c r="W15" s="30">
        <v>10</v>
      </c>
      <c r="X15" s="30">
        <f t="shared" si="0"/>
        <v>1</v>
      </c>
      <c r="Y15" s="30">
        <f t="shared" si="1"/>
        <v>1</v>
      </c>
      <c r="Z15" s="30">
        <f t="shared" si="2"/>
        <v>1</v>
      </c>
      <c r="AB15" s="93">
        <f t="shared" si="3"/>
        <v>0.18790000000000001</v>
      </c>
      <c r="AC15" s="30">
        <f t="shared" si="4"/>
        <v>2</v>
      </c>
      <c r="AD15" s="93">
        <f t="shared" si="5"/>
        <v>0.18790000000000001</v>
      </c>
      <c r="AE15" s="98" t="e">
        <f t="shared" si="6"/>
        <v>#REF!</v>
      </c>
      <c r="AG15" s="93">
        <f t="shared" si="7"/>
        <v>0.16789999999999999</v>
      </c>
      <c r="AH15" s="30">
        <f t="shared" si="8"/>
        <v>8</v>
      </c>
      <c r="AI15" s="93">
        <f t="shared" si="9"/>
        <v>0.16789999999999999</v>
      </c>
      <c r="AJ15" s="97" t="e">
        <f t="shared" si="10"/>
        <v>#REF!</v>
      </c>
      <c r="AL15" s="93">
        <f t="shared" si="11"/>
        <v>0.21879999999999999</v>
      </c>
      <c r="AM15" s="30">
        <f t="shared" si="12"/>
        <v>1</v>
      </c>
      <c r="AN15" s="93">
        <f t="shared" si="13"/>
        <v>0.21879999999999999</v>
      </c>
      <c r="AO15" s="93" t="e">
        <f t="shared" si="14"/>
        <v>#REF!</v>
      </c>
    </row>
    <row r="16" spans="1:41" ht="15" x14ac:dyDescent="0.25">
      <c r="A16" s="30">
        <f>'[1]Synthèse Agence'!A16</f>
        <v>43812</v>
      </c>
      <c r="B16" s="66">
        <f>'[1]Synthèse Agence'!B16</f>
        <v>58100</v>
      </c>
      <c r="C16" s="65" t="s">
        <v>71</v>
      </c>
      <c r="D16" s="57">
        <f>'[1]Synthèse Agence'!D16</f>
        <v>0.15132597754548974</v>
      </c>
      <c r="E16" s="58">
        <f>'[1]Synthèse Agence'!E16</f>
        <v>2</v>
      </c>
      <c r="F16" s="59">
        <f>'[1]Synthèse Agence'!F16</f>
        <v>0.10353114565477228</v>
      </c>
      <c r="G16" s="58">
        <f>'[1]Synthèse Agence'!G16</f>
        <v>13</v>
      </c>
      <c r="H16" s="59">
        <f>'[1]Synthèse Agence'!H16</f>
        <v>6.134946048897455E-2</v>
      </c>
      <c r="I16" s="58">
        <f>'[1]Synthèse Agence'!I16</f>
        <v>31</v>
      </c>
      <c r="J16" s="59">
        <f>'[1]Synthèse Agence'!J16</f>
        <v>0.14446204286180056</v>
      </c>
      <c r="K16" s="58">
        <f>'[1]Synthèse Agence'!K16</f>
        <v>18</v>
      </c>
      <c r="L16" s="59">
        <f>'[1]Synthèse Agence'!L16</f>
        <v>0.18794869321242233</v>
      </c>
      <c r="M16" s="60">
        <f>'[1]Synthèse Agence'!M16</f>
        <v>2</v>
      </c>
      <c r="N16" s="53">
        <f>'[1]Synthèse Agence'!N16</f>
        <v>1</v>
      </c>
      <c r="O16" s="53">
        <f>'[1]Synthèse Agence'!O16</f>
        <v>0</v>
      </c>
      <c r="P16" s="53">
        <f>'[1]Synthèse Agence'!P16</f>
        <v>0</v>
      </c>
      <c r="Q16" s="53">
        <f>'[1]Synthèse Agence'!Q16</f>
        <v>1</v>
      </c>
      <c r="R16" s="53">
        <f>'[1]Synthèse Agence'!R16</f>
        <v>1</v>
      </c>
      <c r="S16" s="61">
        <f>'[1]Synthèse Agence'!S16</f>
        <v>3</v>
      </c>
      <c r="T16" s="58">
        <f>'[1]Synthèse Agence'!T16</f>
        <v>66</v>
      </c>
      <c r="U16" s="60">
        <f>'[1]Synthèse Agence'!U16</f>
        <v>9</v>
      </c>
      <c r="W16" s="26">
        <v>11</v>
      </c>
      <c r="X16" s="30">
        <f t="shared" si="0"/>
        <v>1</v>
      </c>
      <c r="Y16" s="30">
        <f t="shared" si="1"/>
        <v>1</v>
      </c>
      <c r="Z16" s="30">
        <f t="shared" si="2"/>
        <v>1</v>
      </c>
      <c r="AB16" s="93">
        <f t="shared" si="3"/>
        <v>0.17150000000000001</v>
      </c>
      <c r="AC16" s="30">
        <f t="shared" si="4"/>
        <v>6</v>
      </c>
      <c r="AD16" s="93">
        <f t="shared" si="5"/>
        <v>0.17150000000000001</v>
      </c>
      <c r="AE16" s="98" t="e">
        <f t="shared" si="6"/>
        <v>#REF!</v>
      </c>
      <c r="AG16" s="93">
        <f t="shared" si="7"/>
        <v>0.15</v>
      </c>
      <c r="AH16" s="30">
        <f t="shared" si="8"/>
        <v>9</v>
      </c>
      <c r="AI16" s="93">
        <f t="shared" si="9"/>
        <v>0.15</v>
      </c>
      <c r="AJ16" s="97" t="e">
        <f t="shared" si="10"/>
        <v>#REF!</v>
      </c>
      <c r="AL16" s="93">
        <f t="shared" si="11"/>
        <v>0.1363</v>
      </c>
      <c r="AM16" s="30">
        <f t="shared" si="12"/>
        <v>15</v>
      </c>
      <c r="AN16" s="93">
        <f t="shared" si="13"/>
        <v>0.1363</v>
      </c>
      <c r="AO16" s="93" t="e">
        <f t="shared" si="14"/>
        <v>#REF!</v>
      </c>
    </row>
    <row r="17" spans="1:41" x14ac:dyDescent="0.2">
      <c r="A17" s="30">
        <f>'[1]Synthèse Agence'!A17</f>
        <v>43733</v>
      </c>
      <c r="B17" s="66">
        <f>'[1]Synthèse Agence'!B17</f>
        <v>51200</v>
      </c>
      <c r="C17" s="65" t="s">
        <v>72</v>
      </c>
      <c r="D17" s="57">
        <f>'[1]Synthèse Agence'!D17</f>
        <v>0.10224358974358974</v>
      </c>
      <c r="E17" s="58">
        <f>'[1]Synthèse Agence'!E17</f>
        <v>19</v>
      </c>
      <c r="F17" s="59">
        <f>'[1]Synthèse Agence'!F17</f>
        <v>9.7141350311540434E-2</v>
      </c>
      <c r="G17" s="58">
        <f>'[1]Synthèse Agence'!G17</f>
        <v>23</v>
      </c>
      <c r="H17" s="59">
        <f>'[1]Synthèse Agence'!H17</f>
        <v>0.11145582649540434</v>
      </c>
      <c r="I17" s="58">
        <f>'[1]Synthèse Agence'!I17</f>
        <v>9</v>
      </c>
      <c r="J17" s="59">
        <f>'[1]Synthèse Agence'!J17</f>
        <v>0.167086490221624</v>
      </c>
      <c r="K17" s="58">
        <f>'[1]Synthèse Agence'!K17</f>
        <v>11</v>
      </c>
      <c r="L17" s="59">
        <f>'[1]Synthèse Agence'!L17</f>
        <v>0.17154749031269712</v>
      </c>
      <c r="M17" s="60">
        <f>'[1]Synthèse Agence'!M17</f>
        <v>6</v>
      </c>
      <c r="N17" s="53">
        <f>'[1]Synthèse Agence'!N17</f>
        <v>0</v>
      </c>
      <c r="O17" s="53">
        <f>'[1]Synthèse Agence'!O17</f>
        <v>0</v>
      </c>
      <c r="P17" s="53">
        <f>'[1]Synthèse Agence'!P17</f>
        <v>0</v>
      </c>
      <c r="Q17" s="53">
        <f>'[1]Synthèse Agence'!Q17</f>
        <v>1</v>
      </c>
      <c r="R17" s="53">
        <f>'[1]Synthèse Agence'!R17</f>
        <v>1</v>
      </c>
      <c r="S17" s="61">
        <f>'[1]Synthèse Agence'!S17</f>
        <v>2</v>
      </c>
      <c r="T17" s="58">
        <f>'[1]Synthèse Agence'!T17</f>
        <v>68</v>
      </c>
      <c r="U17" s="60">
        <f>'[1]Synthèse Agence'!U17</f>
        <v>11</v>
      </c>
      <c r="W17" s="30">
        <v>12</v>
      </c>
      <c r="X17" s="30">
        <f t="shared" si="0"/>
        <v>1</v>
      </c>
      <c r="Y17" s="30">
        <f t="shared" si="1"/>
        <v>1</v>
      </c>
      <c r="Z17" s="30">
        <f t="shared" si="2"/>
        <v>1</v>
      </c>
      <c r="AB17" s="93">
        <f t="shared" si="3"/>
        <v>0.13669999999999999</v>
      </c>
      <c r="AC17" s="30">
        <f t="shared" si="4"/>
        <v>12</v>
      </c>
      <c r="AD17" s="93">
        <f t="shared" si="5"/>
        <v>0.13669999999999999</v>
      </c>
      <c r="AE17" s="98" t="e">
        <f t="shared" si="6"/>
        <v>#REF!</v>
      </c>
      <c r="AG17" s="93">
        <f t="shared" si="7"/>
        <v>0.13669999999999999</v>
      </c>
      <c r="AH17" s="30">
        <f t="shared" si="8"/>
        <v>11</v>
      </c>
      <c r="AI17" s="93">
        <f t="shared" si="9"/>
        <v>0.13669999999999999</v>
      </c>
      <c r="AJ17" s="97" t="e">
        <f t="shared" si="10"/>
        <v>#REF!</v>
      </c>
      <c r="AL17" s="93">
        <f t="shared" si="11"/>
        <v>0.18790000000000001</v>
      </c>
      <c r="AM17" s="30">
        <f t="shared" si="12"/>
        <v>6</v>
      </c>
      <c r="AN17" s="93">
        <f t="shared" si="13"/>
        <v>0.18790000000000001</v>
      </c>
      <c r="AO17" s="93" t="e">
        <f t="shared" si="14"/>
        <v>#REF!</v>
      </c>
    </row>
    <row r="18" spans="1:41" x14ac:dyDescent="0.2">
      <c r="A18" s="30">
        <f>'[1]Synthèse Agence'!A18</f>
        <v>43703</v>
      </c>
      <c r="B18" s="64">
        <f>'[1]Synthèse Agence'!B18</f>
        <v>51800</v>
      </c>
      <c r="C18" s="65" t="s">
        <v>73</v>
      </c>
      <c r="D18" s="57">
        <f>'[1]Synthèse Agence'!D18</f>
        <v>0.12786095193931965</v>
      </c>
      <c r="E18" s="58">
        <f>'[1]Synthèse Agence'!E18</f>
        <v>10</v>
      </c>
      <c r="F18" s="59">
        <f>'[1]Synthèse Agence'!F18</f>
        <v>0.13807801884724963</v>
      </c>
      <c r="G18" s="58">
        <f>'[1]Synthèse Agence'!G18</f>
        <v>2</v>
      </c>
      <c r="H18" s="59">
        <f>'[1]Synthèse Agence'!H18</f>
        <v>9.3746634356488973E-2</v>
      </c>
      <c r="I18" s="58">
        <f>'[1]Synthèse Agence'!I18</f>
        <v>21</v>
      </c>
      <c r="J18" s="59">
        <f>'[1]Synthèse Agence'!J18</f>
        <v>0.12884926899781826</v>
      </c>
      <c r="K18" s="58">
        <f>'[1]Synthèse Agence'!K18</f>
        <v>25</v>
      </c>
      <c r="L18" s="59">
        <f>'[1]Synthèse Agence'!L18</f>
        <v>0.1367224311386748</v>
      </c>
      <c r="M18" s="60">
        <f>'[1]Synthèse Agence'!M18</f>
        <v>12</v>
      </c>
      <c r="N18" s="53">
        <f>'[1]Synthèse Agence'!N18</f>
        <v>1</v>
      </c>
      <c r="O18" s="53">
        <f>'[1]Synthèse Agence'!O18</f>
        <v>1</v>
      </c>
      <c r="P18" s="53">
        <f>'[1]Synthèse Agence'!P18</f>
        <v>0</v>
      </c>
      <c r="Q18" s="53">
        <f>'[1]Synthèse Agence'!Q18</f>
        <v>1</v>
      </c>
      <c r="R18" s="53">
        <f>'[1]Synthèse Agence'!R18</f>
        <v>1</v>
      </c>
      <c r="S18" s="61">
        <f>'[1]Synthèse Agence'!S18</f>
        <v>4</v>
      </c>
      <c r="T18" s="58">
        <f>'[1]Synthèse Agence'!T18</f>
        <v>70</v>
      </c>
      <c r="U18" s="60">
        <f>'[1]Synthèse Agence'!U18</f>
        <v>12</v>
      </c>
      <c r="W18" s="85">
        <v>13</v>
      </c>
      <c r="X18" s="30">
        <f t="shared" si="0"/>
        <v>1</v>
      </c>
      <c r="Y18" s="30">
        <f t="shared" si="1"/>
        <v>1</v>
      </c>
      <c r="Z18" s="30">
        <f t="shared" si="2"/>
        <v>1</v>
      </c>
      <c r="AB18" s="93">
        <f t="shared" si="3"/>
        <v>0.12520000000000001</v>
      </c>
      <c r="AC18" s="30">
        <f t="shared" si="4"/>
        <v>25</v>
      </c>
      <c r="AD18" s="93">
        <f t="shared" si="5"/>
        <v>0.12520000000000001</v>
      </c>
      <c r="AE18" s="98" t="e">
        <f t="shared" si="6"/>
        <v>#REF!</v>
      </c>
      <c r="AG18" s="93">
        <f t="shared" si="7"/>
        <v>0.21879999999999999</v>
      </c>
      <c r="AH18" s="30">
        <f t="shared" si="8"/>
        <v>1</v>
      </c>
      <c r="AI18" s="93">
        <f t="shared" si="9"/>
        <v>0.21879999999999999</v>
      </c>
      <c r="AJ18" s="97" t="e">
        <f t="shared" si="10"/>
        <v>#REF!</v>
      </c>
      <c r="AL18" s="93">
        <f t="shared" si="11"/>
        <v>0.12520000000000001</v>
      </c>
      <c r="AM18" s="30">
        <f t="shared" si="12"/>
        <v>20</v>
      </c>
      <c r="AN18" s="93">
        <f t="shared" si="13"/>
        <v>0.12520000000000001</v>
      </c>
      <c r="AO18" s="93" t="e">
        <f t="shared" si="14"/>
        <v>#REF!</v>
      </c>
    </row>
    <row r="19" spans="1:41" x14ac:dyDescent="0.2">
      <c r="A19" s="30">
        <f>'[1]Synthèse Agence'!A19</f>
        <v>43874</v>
      </c>
      <c r="B19" s="55">
        <f>'[1]Synthèse Agence'!B19</f>
        <v>58138</v>
      </c>
      <c r="C19" s="56" t="s">
        <v>74</v>
      </c>
      <c r="D19" s="57">
        <f>'[1]Synthèse Agence'!D19</f>
        <v>0.13387869991643575</v>
      </c>
      <c r="E19" s="58">
        <f>'[1]Synthèse Agence'!E19</f>
        <v>7</v>
      </c>
      <c r="F19" s="59">
        <f>'[1]Synthèse Agence'!F19</f>
        <v>0.10148974236414084</v>
      </c>
      <c r="G19" s="58">
        <f>'[1]Synthèse Agence'!G19</f>
        <v>17</v>
      </c>
      <c r="H19" s="59">
        <f>'[1]Synthèse Agence'!H19</f>
        <v>0.12684348586417954</v>
      </c>
      <c r="I19" s="58">
        <f>'[1]Synthèse Agence'!I19</f>
        <v>7</v>
      </c>
      <c r="J19" s="59">
        <f>'[1]Synthèse Agence'!J19</f>
        <v>0.15674542795936419</v>
      </c>
      <c r="K19" s="58">
        <f>'[1]Synthèse Agence'!K19</f>
        <v>14</v>
      </c>
      <c r="L19" s="59">
        <f>'[1]Synthèse Agence'!L19</f>
        <v>0.12524285262466878</v>
      </c>
      <c r="M19" s="60">
        <f>'[1]Synthèse Agence'!M19</f>
        <v>25</v>
      </c>
      <c r="N19" s="53">
        <f>'[1]Synthèse Agence'!N19</f>
        <v>1</v>
      </c>
      <c r="O19" s="53">
        <f>'[1]Synthèse Agence'!O19</f>
        <v>0</v>
      </c>
      <c r="P19" s="53">
        <f>'[1]Synthèse Agence'!P19</f>
        <v>0</v>
      </c>
      <c r="Q19" s="53">
        <f>'[1]Synthèse Agence'!Q19</f>
        <v>1</v>
      </c>
      <c r="R19" s="53">
        <f>'[1]Synthèse Agence'!R19</f>
        <v>0</v>
      </c>
      <c r="S19" s="61">
        <f>'[1]Synthèse Agence'!S19</f>
        <v>2</v>
      </c>
      <c r="T19" s="58">
        <f>'[1]Synthèse Agence'!T19</f>
        <v>70</v>
      </c>
      <c r="U19" s="60">
        <f>'[1]Synthèse Agence'!U19</f>
        <v>12</v>
      </c>
      <c r="W19" s="30">
        <v>14</v>
      </c>
      <c r="X19" s="30">
        <f t="shared" si="0"/>
        <v>1</v>
      </c>
      <c r="Y19" s="30">
        <f t="shared" si="1"/>
        <v>1</v>
      </c>
      <c r="Z19" s="30">
        <f t="shared" si="2"/>
        <v>1</v>
      </c>
      <c r="AB19" s="93">
        <f t="shared" si="3"/>
        <v>0.13370000000000001</v>
      </c>
      <c r="AC19" s="30">
        <f t="shared" si="4"/>
        <v>16</v>
      </c>
      <c r="AD19" s="93">
        <f t="shared" si="5"/>
        <v>0.13370000000000001</v>
      </c>
      <c r="AE19" s="98" t="e">
        <f t="shared" si="6"/>
        <v>#REF!</v>
      </c>
      <c r="AG19" s="93">
        <f t="shared" si="7"/>
        <v>0.13370000000000001</v>
      </c>
      <c r="AH19" s="30">
        <f t="shared" si="8"/>
        <v>12</v>
      </c>
      <c r="AI19" s="93">
        <f t="shared" si="9"/>
        <v>0.13370000000000001</v>
      </c>
      <c r="AJ19" s="97" t="e">
        <f t="shared" si="10"/>
        <v>#REF!</v>
      </c>
      <c r="AL19" s="93">
        <f t="shared" si="11"/>
        <v>0.17150000000000001</v>
      </c>
      <c r="AM19" s="30">
        <f t="shared" si="12"/>
        <v>7</v>
      </c>
      <c r="AN19" s="93">
        <f t="shared" si="13"/>
        <v>0.17150000000000001</v>
      </c>
      <c r="AO19" s="93" t="e">
        <f t="shared" si="14"/>
        <v>#REF!</v>
      </c>
    </row>
    <row r="20" spans="1:41" x14ac:dyDescent="0.2">
      <c r="A20" s="30">
        <f>'[1]Synthèse Agence'!A20</f>
        <v>43765</v>
      </c>
      <c r="B20" s="62">
        <f>'[1]Synthèse Agence'!B20</f>
        <v>53533</v>
      </c>
      <c r="C20" s="63" t="s">
        <v>75</v>
      </c>
      <c r="D20" s="57">
        <f>'[1]Synthèse Agence'!D20</f>
        <v>0.1111111111111111</v>
      </c>
      <c r="E20" s="58">
        <f>'[1]Synthèse Agence'!E20</f>
        <v>17</v>
      </c>
      <c r="F20" s="59">
        <f>'[1]Synthèse Agence'!F20</f>
        <v>0.11151931642042889</v>
      </c>
      <c r="G20" s="58">
        <f>'[1]Synthèse Agence'!G20</f>
        <v>8</v>
      </c>
      <c r="H20" s="59">
        <f>'[1]Synthèse Agence'!H20</f>
        <v>0.10996209817041785</v>
      </c>
      <c r="I20" s="58">
        <f>'[1]Synthèse Agence'!I20</f>
        <v>11</v>
      </c>
      <c r="J20" s="59">
        <f>'[1]Synthèse Agence'!J20</f>
        <v>0.12904301396135784</v>
      </c>
      <c r="K20" s="58">
        <f>'[1]Synthèse Agence'!K20</f>
        <v>24</v>
      </c>
      <c r="L20" s="59">
        <f>'[1]Synthèse Agence'!L20</f>
        <v>0.13369558321596689</v>
      </c>
      <c r="M20" s="60">
        <f>'[1]Synthèse Agence'!M20</f>
        <v>16</v>
      </c>
      <c r="N20" s="53">
        <f>'[1]Synthèse Agence'!N20</f>
        <v>0</v>
      </c>
      <c r="O20" s="53">
        <f>'[1]Synthèse Agence'!O20</f>
        <v>0</v>
      </c>
      <c r="P20" s="53">
        <f>'[1]Synthèse Agence'!P20</f>
        <v>0</v>
      </c>
      <c r="Q20" s="53">
        <f>'[1]Synthèse Agence'!Q20</f>
        <v>1</v>
      </c>
      <c r="R20" s="53">
        <f>'[1]Synthèse Agence'!R20</f>
        <v>1</v>
      </c>
      <c r="S20" s="61">
        <f>'[1]Synthèse Agence'!S20</f>
        <v>2</v>
      </c>
      <c r="T20" s="58">
        <f>'[1]Synthèse Agence'!T20</f>
        <v>76</v>
      </c>
      <c r="U20" s="60">
        <f>'[1]Synthèse Agence'!U20</f>
        <v>14</v>
      </c>
      <c r="W20" s="30">
        <v>15</v>
      </c>
      <c r="X20" s="30">
        <f t="shared" si="0"/>
        <v>1</v>
      </c>
      <c r="Y20" s="30">
        <f t="shared" si="1"/>
        <v>1</v>
      </c>
      <c r="Z20" s="30">
        <f t="shared" si="2"/>
        <v>1</v>
      </c>
      <c r="AB20" s="93">
        <f t="shared" si="3"/>
        <v>0.12520000000000001</v>
      </c>
      <c r="AC20" s="30">
        <f t="shared" si="4"/>
        <v>25</v>
      </c>
      <c r="AD20" s="93">
        <f t="shared" si="5"/>
        <v>0.12520000000000001</v>
      </c>
      <c r="AE20" s="98" t="e">
        <f t="shared" si="6"/>
        <v>#REF!</v>
      </c>
      <c r="AG20" s="93">
        <f t="shared" si="7"/>
        <v>8.2799999999999999E-2</v>
      </c>
      <c r="AH20" s="30">
        <f t="shared" si="8"/>
        <v>18</v>
      </c>
      <c r="AI20" s="93">
        <f t="shared" si="9"/>
        <v>8.2799999999999999E-2</v>
      </c>
      <c r="AJ20" s="97" t="e">
        <f t="shared" si="10"/>
        <v>#REF!</v>
      </c>
      <c r="AL20" s="93">
        <f t="shared" si="11"/>
        <v>0.18959999999999999</v>
      </c>
      <c r="AM20" s="30">
        <f t="shared" si="12"/>
        <v>3</v>
      </c>
      <c r="AN20" s="93">
        <f t="shared" si="13"/>
        <v>0.18959999999999999</v>
      </c>
      <c r="AO20" s="93" t="e">
        <f t="shared" si="14"/>
        <v>#REF!</v>
      </c>
    </row>
    <row r="21" spans="1:41" x14ac:dyDescent="0.2">
      <c r="A21" s="30">
        <f>'[1]Synthèse Agence'!A21</f>
        <v>43874</v>
      </c>
      <c r="B21" s="62">
        <f>'[1]Synthèse Agence'!B21</f>
        <v>55200</v>
      </c>
      <c r="C21" s="63" t="s">
        <v>76</v>
      </c>
      <c r="D21" s="57">
        <f>'[1]Synthèse Agence'!D21</f>
        <v>0.11001038741199554</v>
      </c>
      <c r="E21" s="58">
        <f>'[1]Synthèse Agence'!E21</f>
        <v>18</v>
      </c>
      <c r="F21" s="59">
        <f>'[1]Synthèse Agence'!F21</f>
        <v>0.10235399447234428</v>
      </c>
      <c r="G21" s="58">
        <f>'[1]Synthèse Agence'!G21</f>
        <v>14</v>
      </c>
      <c r="H21" s="59">
        <f>'[1]Synthèse Agence'!H21</f>
        <v>0.11032598454870926</v>
      </c>
      <c r="I21" s="58">
        <f>'[1]Synthèse Agence'!I21</f>
        <v>10</v>
      </c>
      <c r="J21" s="59">
        <f>'[1]Synthèse Agence'!J21</f>
        <v>0.16433472931117218</v>
      </c>
      <c r="K21" s="58">
        <f>'[1]Synthèse Agence'!K21</f>
        <v>12</v>
      </c>
      <c r="L21" s="59">
        <f>'[1]Synthèse Agence'!L21</f>
        <v>0.12524285262466878</v>
      </c>
      <c r="M21" s="60">
        <f>'[1]Synthèse Agence'!M21</f>
        <v>25</v>
      </c>
      <c r="N21" s="53">
        <f>'[1]Synthèse Agence'!N21</f>
        <v>0</v>
      </c>
      <c r="O21" s="53">
        <f>'[1]Synthèse Agence'!O21</f>
        <v>0</v>
      </c>
      <c r="P21" s="53">
        <f>'[1]Synthèse Agence'!P21</f>
        <v>0</v>
      </c>
      <c r="Q21" s="53">
        <f>'[1]Synthèse Agence'!Q21</f>
        <v>1</v>
      </c>
      <c r="R21" s="53">
        <f>'[1]Synthèse Agence'!R21</f>
        <v>0</v>
      </c>
      <c r="S21" s="61">
        <f>'[1]Synthèse Agence'!S21</f>
        <v>1</v>
      </c>
      <c r="T21" s="58">
        <f>'[1]Synthèse Agence'!T21</f>
        <v>79</v>
      </c>
      <c r="U21" s="60">
        <f>'[1]Synthèse Agence'!U21</f>
        <v>15</v>
      </c>
      <c r="W21" s="30">
        <v>16</v>
      </c>
      <c r="X21" s="30">
        <f t="shared" si="0"/>
        <v>1</v>
      </c>
      <c r="Y21" s="30">
        <f t="shared" si="1"/>
        <v>1</v>
      </c>
      <c r="Z21" s="30">
        <f t="shared" si="2"/>
        <v>1</v>
      </c>
      <c r="AB21" s="93">
        <f t="shared" si="3"/>
        <v>0.16789999999999999</v>
      </c>
      <c r="AC21" s="30">
        <f t="shared" si="4"/>
        <v>9</v>
      </c>
      <c r="AD21" s="93">
        <f t="shared" si="5"/>
        <v>0.16789999999999999</v>
      </c>
      <c r="AE21" s="98" t="e">
        <f t="shared" si="6"/>
        <v>#REF!</v>
      </c>
      <c r="AG21" s="93">
        <f t="shared" si="7"/>
        <v>8.2799999999999999E-2</v>
      </c>
      <c r="AH21" s="30">
        <f t="shared" si="8"/>
        <v>18</v>
      </c>
      <c r="AI21" s="93">
        <f t="shared" si="9"/>
        <v>8.2799999999999999E-2</v>
      </c>
      <c r="AJ21" s="97" t="e">
        <f t="shared" si="10"/>
        <v>#REF!</v>
      </c>
      <c r="AL21" s="93">
        <f t="shared" si="11"/>
        <v>0.18959999999999999</v>
      </c>
      <c r="AM21" s="30">
        <f t="shared" si="12"/>
        <v>3</v>
      </c>
      <c r="AN21" s="93">
        <f t="shared" si="13"/>
        <v>0.18959999999999999</v>
      </c>
      <c r="AO21" s="93" t="e">
        <f t="shared" si="14"/>
        <v>#REF!</v>
      </c>
    </row>
    <row r="22" spans="1:41" x14ac:dyDescent="0.2">
      <c r="A22" s="30">
        <f>'[1]Synthèse Agence'!A22</f>
        <v>43763</v>
      </c>
      <c r="B22" s="64">
        <f>'[1]Synthèse Agence'!B22</f>
        <v>51734</v>
      </c>
      <c r="C22" s="65" t="s">
        <v>77</v>
      </c>
      <c r="D22" s="57">
        <f>'[1]Synthèse Agence'!D22</f>
        <v>7.7701048094818301E-2</v>
      </c>
      <c r="E22" s="58">
        <f>'[1]Synthèse Agence'!E22</f>
        <v>29</v>
      </c>
      <c r="F22" s="59">
        <f>'[1]Synthèse Agence'!F22</f>
        <v>0.10151438447510955</v>
      </c>
      <c r="G22" s="58">
        <f>'[1]Synthèse Agence'!G22</f>
        <v>16</v>
      </c>
      <c r="H22" s="59">
        <f>'[1]Synthèse Agence'!H22</f>
        <v>9.8827339034205236E-2</v>
      </c>
      <c r="I22" s="58">
        <f>'[1]Synthèse Agence'!I22</f>
        <v>17</v>
      </c>
      <c r="J22" s="59">
        <f>'[1]Synthèse Agence'!J22</f>
        <v>0.16258899964400142</v>
      </c>
      <c r="K22" s="58">
        <f>'[1]Synthèse Agence'!K22</f>
        <v>13</v>
      </c>
      <c r="L22" s="59">
        <f>'[1]Synthèse Agence'!L22</f>
        <v>0.16792726624187301</v>
      </c>
      <c r="M22" s="60">
        <f>'[1]Synthèse Agence'!M22</f>
        <v>9</v>
      </c>
      <c r="N22" s="53">
        <f>'[1]Synthèse Agence'!N22</f>
        <v>0</v>
      </c>
      <c r="O22" s="53">
        <f>'[1]Synthèse Agence'!O22</f>
        <v>0</v>
      </c>
      <c r="P22" s="53">
        <f>'[1]Synthèse Agence'!P22</f>
        <v>0</v>
      </c>
      <c r="Q22" s="53">
        <f>'[1]Synthèse Agence'!Q22</f>
        <v>1</v>
      </c>
      <c r="R22" s="53">
        <f>'[1]Synthèse Agence'!R22</f>
        <v>1</v>
      </c>
      <c r="S22" s="61">
        <f>'[1]Synthèse Agence'!S22</f>
        <v>2</v>
      </c>
      <c r="T22" s="58">
        <f>'[1]Synthèse Agence'!T22</f>
        <v>84</v>
      </c>
      <c r="U22" s="60">
        <f>'[1]Synthèse Agence'!U22</f>
        <v>16</v>
      </c>
      <c r="W22" s="30">
        <v>17</v>
      </c>
      <c r="X22" s="30">
        <f t="shared" si="0"/>
        <v>1</v>
      </c>
      <c r="Y22" s="30">
        <f t="shared" si="1"/>
        <v>1</v>
      </c>
      <c r="Z22" s="30">
        <f t="shared" si="2"/>
        <v>1</v>
      </c>
      <c r="AB22" s="93">
        <f t="shared" si="3"/>
        <v>0.12429999999999999</v>
      </c>
      <c r="AC22" s="30">
        <f t="shared" si="4"/>
        <v>27</v>
      </c>
      <c r="AD22" s="93">
        <f t="shared" si="5"/>
        <v>0.12429999999999999</v>
      </c>
      <c r="AE22" s="98" t="e">
        <f t="shared" si="6"/>
        <v>#REF!</v>
      </c>
      <c r="AG22" s="93">
        <f t="shared" si="7"/>
        <v>0.1075</v>
      </c>
      <c r="AH22" s="30">
        <f t="shared" si="8"/>
        <v>16</v>
      </c>
      <c r="AI22" s="93">
        <f t="shared" si="9"/>
        <v>0.1075</v>
      </c>
      <c r="AJ22" s="97" t="e">
        <f t="shared" si="10"/>
        <v>#REF!</v>
      </c>
      <c r="AL22" s="93">
        <f t="shared" si="11"/>
        <v>0.1075</v>
      </c>
      <c r="AM22" s="30">
        <f t="shared" si="12"/>
        <v>23</v>
      </c>
      <c r="AN22" s="93">
        <f t="shared" si="13"/>
        <v>0.1075</v>
      </c>
      <c r="AO22" s="93" t="e">
        <f t="shared" si="14"/>
        <v>#REF!</v>
      </c>
    </row>
    <row r="23" spans="1:41" x14ac:dyDescent="0.2">
      <c r="A23" s="30">
        <f>'[1]Synthèse Agence'!A23</f>
        <v>43739</v>
      </c>
      <c r="B23" s="62">
        <f>'[1]Synthèse Agence'!B23</f>
        <v>51848</v>
      </c>
      <c r="C23" s="63" t="s">
        <v>78</v>
      </c>
      <c r="D23" s="57">
        <f>'[1]Synthèse Agence'!D23</f>
        <v>0.10011792004260336</v>
      </c>
      <c r="E23" s="58">
        <f>'[1]Synthèse Agence'!E23</f>
        <v>20</v>
      </c>
      <c r="F23" s="59">
        <f>'[1]Synthèse Agence'!F23</f>
        <v>0.10079841550011795</v>
      </c>
      <c r="G23" s="58">
        <f>'[1]Synthèse Agence'!G23</f>
        <v>19</v>
      </c>
      <c r="H23" s="59">
        <f>'[1]Synthèse Agence'!H23</f>
        <v>9.874297374297375E-2</v>
      </c>
      <c r="I23" s="58">
        <f>'[1]Synthèse Agence'!I23</f>
        <v>18</v>
      </c>
      <c r="J23" s="59">
        <f>'[1]Synthèse Agence'!J23</f>
        <v>0.26399812000626666</v>
      </c>
      <c r="K23" s="58">
        <f>'[1]Synthèse Agence'!K23</f>
        <v>1</v>
      </c>
      <c r="L23" s="59">
        <f>'[1]Synthèse Agence'!L23</f>
        <v>0.12434640522875817</v>
      </c>
      <c r="M23" s="60">
        <f>'[1]Synthèse Agence'!M23</f>
        <v>27</v>
      </c>
      <c r="N23" s="53">
        <f>'[1]Synthèse Agence'!N23</f>
        <v>0</v>
      </c>
      <c r="O23" s="53">
        <f>'[1]Synthèse Agence'!O23</f>
        <v>0</v>
      </c>
      <c r="P23" s="53">
        <f>'[1]Synthèse Agence'!P23</f>
        <v>0</v>
      </c>
      <c r="Q23" s="53">
        <f>'[1]Synthèse Agence'!Q23</f>
        <v>1</v>
      </c>
      <c r="R23" s="53">
        <f>'[1]Synthèse Agence'!R23</f>
        <v>0</v>
      </c>
      <c r="S23" s="61">
        <f>'[1]Synthèse Agence'!S23</f>
        <v>1</v>
      </c>
      <c r="T23" s="58">
        <f>'[1]Synthèse Agence'!T23</f>
        <v>85</v>
      </c>
      <c r="U23" s="60">
        <f>'[1]Synthèse Agence'!U23</f>
        <v>17</v>
      </c>
      <c r="W23" s="30">
        <v>18</v>
      </c>
      <c r="X23" s="30">
        <f t="shared" si="0"/>
        <v>1</v>
      </c>
      <c r="Y23" s="30">
        <f t="shared" si="1"/>
        <v>1</v>
      </c>
      <c r="Z23" s="30">
        <f t="shared" si="2"/>
        <v>1</v>
      </c>
      <c r="AB23" s="93">
        <f t="shared" si="3"/>
        <v>0.13100000000000001</v>
      </c>
      <c r="AC23" s="30">
        <f t="shared" si="4"/>
        <v>23</v>
      </c>
      <c r="AD23" s="93">
        <f t="shared" si="5"/>
        <v>0.13100000000000001</v>
      </c>
      <c r="AE23" s="98" t="e">
        <f t="shared" si="6"/>
        <v>#REF!</v>
      </c>
      <c r="AG23" s="93">
        <f t="shared" si="7"/>
        <v>0.1709</v>
      </c>
      <c r="AH23" s="30">
        <f t="shared" si="8"/>
        <v>6</v>
      </c>
      <c r="AI23" s="93">
        <f t="shared" si="9"/>
        <v>0.1709</v>
      </c>
      <c r="AJ23" s="97" t="e">
        <f t="shared" si="10"/>
        <v>#REF!</v>
      </c>
      <c r="AL23" s="93">
        <f t="shared" si="11"/>
        <v>0.21879999999999999</v>
      </c>
      <c r="AM23" s="30">
        <f t="shared" si="12"/>
        <v>1</v>
      </c>
      <c r="AN23" s="93">
        <f t="shared" si="13"/>
        <v>0.21879999999999999</v>
      </c>
      <c r="AO23" s="93" t="e">
        <f t="shared" si="14"/>
        <v>#REF!</v>
      </c>
    </row>
    <row r="24" spans="1:41" x14ac:dyDescent="0.2">
      <c r="A24" s="30">
        <f>'[1]Synthèse Agence'!A24</f>
        <v>43804</v>
      </c>
      <c r="B24" s="55">
        <f>'[1]Synthèse Agence'!B24</f>
        <v>57800</v>
      </c>
      <c r="C24" s="56" t="s">
        <v>79</v>
      </c>
      <c r="D24" s="57">
        <f>'[1]Synthèse Agence'!D24</f>
        <v>0.11315632400793268</v>
      </c>
      <c r="E24" s="58">
        <f>'[1]Synthèse Agence'!E24</f>
        <v>16</v>
      </c>
      <c r="F24" s="59">
        <f>'[1]Synthèse Agence'!F24</f>
        <v>8.7249640780020524E-2</v>
      </c>
      <c r="G24" s="58">
        <f>'[1]Synthèse Agence'!G24</f>
        <v>28</v>
      </c>
      <c r="H24" s="59">
        <f>'[1]Synthèse Agence'!H24</f>
        <v>0.10452380952380952</v>
      </c>
      <c r="I24" s="58">
        <f>'[1]Synthèse Agence'!I24</f>
        <v>13</v>
      </c>
      <c r="J24" s="59">
        <f>'[1]Synthèse Agence'!J24</f>
        <v>0.21589997289944651</v>
      </c>
      <c r="K24" s="58">
        <f>'[1]Synthèse Agence'!K24</f>
        <v>5</v>
      </c>
      <c r="L24" s="59">
        <f>'[1]Synthèse Agence'!L24</f>
        <v>0.13098734770561396</v>
      </c>
      <c r="M24" s="60">
        <f>'[1]Synthèse Agence'!M24</f>
        <v>23</v>
      </c>
      <c r="N24" s="53">
        <f>'[1]Synthèse Agence'!N24</f>
        <v>0</v>
      </c>
      <c r="O24" s="53">
        <f>'[1]Synthèse Agence'!O24</f>
        <v>0</v>
      </c>
      <c r="P24" s="53">
        <f>'[1]Synthèse Agence'!P24</f>
        <v>0</v>
      </c>
      <c r="Q24" s="53">
        <f>'[1]Synthèse Agence'!Q24</f>
        <v>1</v>
      </c>
      <c r="R24" s="53">
        <f>'[1]Synthèse Agence'!R24</f>
        <v>1</v>
      </c>
      <c r="S24" s="61">
        <f>'[1]Synthèse Agence'!S24</f>
        <v>2</v>
      </c>
      <c r="T24" s="58">
        <f>'[1]Synthèse Agence'!T24</f>
        <v>85</v>
      </c>
      <c r="U24" s="60">
        <f>'[1]Synthèse Agence'!U24</f>
        <v>17</v>
      </c>
      <c r="W24" s="30">
        <v>19</v>
      </c>
      <c r="X24" s="30">
        <f t="shared" si="0"/>
        <v>1</v>
      </c>
      <c r="Y24" s="30">
        <f t="shared" si="1"/>
        <v>1</v>
      </c>
      <c r="Z24" s="30">
        <f t="shared" si="2"/>
        <v>1</v>
      </c>
      <c r="AB24" s="93">
        <f t="shared" si="3"/>
        <v>0.13100000000000001</v>
      </c>
      <c r="AC24" s="30">
        <f t="shared" si="4"/>
        <v>23</v>
      </c>
      <c r="AD24" s="93">
        <f t="shared" si="5"/>
        <v>0.13100000000000001</v>
      </c>
      <c r="AE24" s="98" t="e">
        <f t="shared" si="6"/>
        <v>#REF!</v>
      </c>
      <c r="AG24" s="93">
        <f t="shared" si="7"/>
        <v>0.13370000000000001</v>
      </c>
      <c r="AH24" s="30">
        <f t="shared" si="8"/>
        <v>12</v>
      </c>
      <c r="AI24" s="93">
        <f t="shared" si="9"/>
        <v>0.13370000000000001</v>
      </c>
      <c r="AJ24" s="97" t="e">
        <f t="shared" si="10"/>
        <v>#REF!</v>
      </c>
      <c r="AL24" s="93">
        <f t="shared" si="11"/>
        <v>0.16789999999999999</v>
      </c>
      <c r="AM24" s="30">
        <f t="shared" si="12"/>
        <v>8</v>
      </c>
      <c r="AN24" s="93">
        <f t="shared" si="13"/>
        <v>0.16789999999999999</v>
      </c>
      <c r="AO24" s="93" t="e">
        <f t="shared" si="14"/>
        <v>#REF!</v>
      </c>
    </row>
    <row r="25" spans="1:41" x14ac:dyDescent="0.2">
      <c r="A25" s="30">
        <f>'[1]Synthèse Agence'!A25</f>
        <v>43804</v>
      </c>
      <c r="B25" s="62">
        <f>'[1]Synthèse Agence'!B25</f>
        <v>57836</v>
      </c>
      <c r="C25" s="63" t="s">
        <v>80</v>
      </c>
      <c r="D25" s="57">
        <f>'[1]Synthèse Agence'!D25</f>
        <v>0.11386439647309213</v>
      </c>
      <c r="E25" s="58">
        <f>'[1]Synthèse Agence'!E25</f>
        <v>15</v>
      </c>
      <c r="F25" s="59">
        <f>'[1]Synthèse Agence'!F25</f>
        <v>8.8039459560090461E-2</v>
      </c>
      <c r="G25" s="58">
        <f>'[1]Synthèse Agence'!G25</f>
        <v>27</v>
      </c>
      <c r="H25" s="59">
        <f>'[1]Synthèse Agence'!H25</f>
        <v>0.10708269675245818</v>
      </c>
      <c r="I25" s="58">
        <f>'[1]Synthèse Agence'!I25</f>
        <v>12</v>
      </c>
      <c r="J25" s="59">
        <f>'[1]Synthèse Agence'!J25</f>
        <v>0.17446323092463112</v>
      </c>
      <c r="K25" s="58">
        <f>'[1]Synthèse Agence'!K25</f>
        <v>8</v>
      </c>
      <c r="L25" s="59">
        <f>'[1]Synthèse Agence'!L25</f>
        <v>0.13098734770561396</v>
      </c>
      <c r="M25" s="60">
        <f>'[1]Synthèse Agence'!M25</f>
        <v>23</v>
      </c>
      <c r="N25" s="53">
        <f>'[1]Synthèse Agence'!N25</f>
        <v>0</v>
      </c>
      <c r="O25" s="53">
        <f>'[1]Synthèse Agence'!O25</f>
        <v>0</v>
      </c>
      <c r="P25" s="53">
        <f>'[1]Synthèse Agence'!P25</f>
        <v>0</v>
      </c>
      <c r="Q25" s="53">
        <f>'[1]Synthèse Agence'!Q25</f>
        <v>1</v>
      </c>
      <c r="R25" s="53">
        <f>'[1]Synthèse Agence'!R25</f>
        <v>1</v>
      </c>
      <c r="S25" s="61">
        <f>'[1]Synthèse Agence'!S25</f>
        <v>2</v>
      </c>
      <c r="T25" s="58">
        <f>'[1]Synthèse Agence'!T25</f>
        <v>85</v>
      </c>
      <c r="U25" s="60">
        <f>'[1]Synthèse Agence'!U25</f>
        <v>17</v>
      </c>
      <c r="W25" s="30">
        <v>20</v>
      </c>
      <c r="X25" s="30">
        <f t="shared" si="0"/>
        <v>1</v>
      </c>
      <c r="Y25" s="30">
        <f t="shared" si="1"/>
        <v>1</v>
      </c>
      <c r="Z25" s="30">
        <f t="shared" si="2"/>
        <v>1</v>
      </c>
      <c r="AB25" s="93">
        <f t="shared" si="3"/>
        <v>0.18790000000000001</v>
      </c>
      <c r="AC25" s="30">
        <f t="shared" si="4"/>
        <v>2</v>
      </c>
      <c r="AD25" s="93">
        <f t="shared" si="5"/>
        <v>0.18790000000000001</v>
      </c>
      <c r="AE25" s="98" t="e">
        <f t="shared" si="6"/>
        <v>#REF!</v>
      </c>
      <c r="AG25" s="93">
        <f t="shared" si="7"/>
        <v>0.1075</v>
      </c>
      <c r="AH25" s="30">
        <f t="shared" si="8"/>
        <v>16</v>
      </c>
      <c r="AI25" s="93">
        <f t="shared" si="9"/>
        <v>0.1075</v>
      </c>
      <c r="AJ25" s="97" t="e">
        <f t="shared" si="10"/>
        <v>#REF!</v>
      </c>
      <c r="AL25" s="93">
        <f t="shared" si="11"/>
        <v>0.13669999999999999</v>
      </c>
      <c r="AM25" s="30">
        <f t="shared" si="12"/>
        <v>12</v>
      </c>
      <c r="AN25" s="93">
        <f t="shared" si="13"/>
        <v>0.13669999999999999</v>
      </c>
      <c r="AO25" s="93" t="e">
        <f t="shared" si="14"/>
        <v>#REF!</v>
      </c>
    </row>
    <row r="26" spans="1:41" ht="15" x14ac:dyDescent="0.25">
      <c r="A26" s="30">
        <f>'[1]Synthèse Agence'!A26</f>
        <v>43812</v>
      </c>
      <c r="B26" s="66">
        <f>'[1]Synthèse Agence'!B26</f>
        <v>57833</v>
      </c>
      <c r="C26" s="65" t="s">
        <v>81</v>
      </c>
      <c r="D26" s="57">
        <f>'[1]Synthèse Agence'!D26</f>
        <v>8.967091040115302E-2</v>
      </c>
      <c r="E26" s="58">
        <f>'[1]Synthèse Agence'!E26</f>
        <v>24</v>
      </c>
      <c r="F26" s="59">
        <f>'[1]Synthèse Agence'!F26</f>
        <v>8.3489003034605644E-2</v>
      </c>
      <c r="G26" s="58">
        <f>'[1]Synthèse Agence'!G26</f>
        <v>30</v>
      </c>
      <c r="H26" s="59">
        <f>'[1]Synthèse Agence'!H26</f>
        <v>9.0713511840272404E-2</v>
      </c>
      <c r="I26" s="58">
        <f>'[1]Synthèse Agence'!I26</f>
        <v>24</v>
      </c>
      <c r="J26" s="59">
        <f>'[1]Synthèse Agence'!J26</f>
        <v>0.18324345298145286</v>
      </c>
      <c r="K26" s="58">
        <f>'[1]Synthèse Agence'!K26</f>
        <v>7</v>
      </c>
      <c r="L26" s="59">
        <f>'[1]Synthèse Agence'!L26</f>
        <v>0.18794869321242233</v>
      </c>
      <c r="M26" s="60">
        <f>'[1]Synthèse Agence'!M26</f>
        <v>2</v>
      </c>
      <c r="N26" s="53">
        <f>'[1]Synthèse Agence'!N26</f>
        <v>0</v>
      </c>
      <c r="O26" s="53">
        <f>'[1]Synthèse Agence'!O26</f>
        <v>0</v>
      </c>
      <c r="P26" s="53">
        <f>'[1]Synthèse Agence'!P26</f>
        <v>0</v>
      </c>
      <c r="Q26" s="53">
        <f>'[1]Synthèse Agence'!Q26</f>
        <v>1</v>
      </c>
      <c r="R26" s="53">
        <f>'[1]Synthèse Agence'!R26</f>
        <v>1</v>
      </c>
      <c r="S26" s="61">
        <f>'[1]Synthèse Agence'!S26</f>
        <v>2</v>
      </c>
      <c r="T26" s="58">
        <f>'[1]Synthèse Agence'!T26</f>
        <v>87</v>
      </c>
      <c r="U26" s="60">
        <f>'[1]Synthèse Agence'!U26</f>
        <v>20</v>
      </c>
      <c r="W26" s="26">
        <v>21</v>
      </c>
      <c r="X26" s="30">
        <f t="shared" si="0"/>
        <v>1</v>
      </c>
      <c r="Y26" s="30">
        <f t="shared" si="1"/>
        <v>1</v>
      </c>
      <c r="Z26" s="30">
        <f t="shared" si="2"/>
        <v>1</v>
      </c>
      <c r="AB26" s="93">
        <f t="shared" si="3"/>
        <v>0.1363</v>
      </c>
      <c r="AC26" s="30">
        <f t="shared" si="4"/>
        <v>14</v>
      </c>
      <c r="AD26" s="93">
        <f t="shared" si="5"/>
        <v>0.1363</v>
      </c>
      <c r="AE26" s="98" t="e">
        <f t="shared" si="6"/>
        <v>#REF!</v>
      </c>
      <c r="AG26" s="94" t="e">
        <f>ROUND(#REF!-#REF!,4)</f>
        <v>#REF!</v>
      </c>
      <c r="AH26" s="101" t="e">
        <f t="array" ref="AH26">RANK(AG26,AG6:AG26)+IF(OR(AG26=prob),0,-1)</f>
        <v>#REF!</v>
      </c>
      <c r="AI26" s="94" t="e">
        <f>ROUND(#REF!,4)</f>
        <v>#REF!</v>
      </c>
      <c r="AJ26" s="95" t="e">
        <f>RANK(AI26,$AI$6:$AI$26)</f>
        <v>#REF!</v>
      </c>
      <c r="AL26" s="93">
        <f t="shared" si="11"/>
        <v>0.1363</v>
      </c>
      <c r="AM26" s="30">
        <f t="shared" si="12"/>
        <v>15</v>
      </c>
      <c r="AN26" s="93">
        <f t="shared" si="13"/>
        <v>0.1363</v>
      </c>
      <c r="AO26" s="93" t="e">
        <f t="shared" si="14"/>
        <v>#REF!</v>
      </c>
    </row>
    <row r="27" spans="1:41" x14ac:dyDescent="0.2">
      <c r="A27" s="30">
        <f>'[1]Synthèse Agence'!A27</f>
        <v>43717</v>
      </c>
      <c r="B27" s="55">
        <f>'[1]Synthèse Agence'!B27</f>
        <v>51845</v>
      </c>
      <c r="C27" s="56" t="s">
        <v>82</v>
      </c>
      <c r="D27" s="57">
        <f>'[1]Synthèse Agence'!D27</f>
        <v>7.8934350929262945E-2</v>
      </c>
      <c r="E27" s="58">
        <f>'[1]Synthèse Agence'!E27</f>
        <v>28</v>
      </c>
      <c r="F27" s="59">
        <f>'[1]Synthèse Agence'!F27</f>
        <v>0.10117435029925176</v>
      </c>
      <c r="G27" s="58">
        <f>'[1]Synthèse Agence'!G27</f>
        <v>18</v>
      </c>
      <c r="H27" s="59">
        <f>'[1]Synthèse Agence'!H27</f>
        <v>6.1557408927876929E-2</v>
      </c>
      <c r="I27" s="58">
        <f>'[1]Synthèse Agence'!I27</f>
        <v>30</v>
      </c>
      <c r="J27" s="59">
        <f>'[1]Synthèse Agence'!J27</f>
        <v>0.26247270420518437</v>
      </c>
      <c r="K27" s="58">
        <f>'[1]Synthèse Agence'!K27</f>
        <v>2</v>
      </c>
      <c r="L27" s="59">
        <f>'[1]Synthèse Agence'!L27</f>
        <v>0.13634999659005662</v>
      </c>
      <c r="M27" s="60">
        <f>'[1]Synthèse Agence'!M27</f>
        <v>14</v>
      </c>
      <c r="N27" s="53">
        <f>'[1]Synthèse Agence'!N27</f>
        <v>0</v>
      </c>
      <c r="O27" s="53">
        <f>'[1]Synthèse Agence'!O27</f>
        <v>0</v>
      </c>
      <c r="P27" s="53">
        <f>'[1]Synthèse Agence'!P27</f>
        <v>0</v>
      </c>
      <c r="Q27" s="53">
        <f>'[1]Synthèse Agence'!Q27</f>
        <v>1</v>
      </c>
      <c r="R27" s="53">
        <f>'[1]Synthèse Agence'!R27</f>
        <v>1</v>
      </c>
      <c r="S27" s="61">
        <f>'[1]Synthèse Agence'!S27</f>
        <v>2</v>
      </c>
      <c r="T27" s="58">
        <f>'[1]Synthèse Agence'!T27</f>
        <v>92</v>
      </c>
      <c r="U27" s="60">
        <f>'[1]Synthèse Agence'!U27</f>
        <v>21</v>
      </c>
      <c r="W27" s="30">
        <v>22</v>
      </c>
      <c r="X27" s="30">
        <f t="shared" si="0"/>
        <v>2</v>
      </c>
      <c r="Y27" s="30">
        <f t="shared" si="1"/>
        <v>1</v>
      </c>
      <c r="Z27" s="30">
        <f t="shared" si="2"/>
        <v>1</v>
      </c>
      <c r="AB27" s="93">
        <f t="shared" si="3"/>
        <v>0.1709</v>
      </c>
      <c r="AC27" s="30">
        <f t="shared" si="4"/>
        <v>7</v>
      </c>
      <c r="AD27" s="93">
        <f t="shared" si="5"/>
        <v>0.1709</v>
      </c>
      <c r="AE27" s="98" t="e">
        <f t="shared" si="6"/>
        <v>#REF!</v>
      </c>
      <c r="AJ27" s="30" t="e">
        <f>AH26-AJ26</f>
        <v>#REF!</v>
      </c>
      <c r="AL27" s="93">
        <f t="shared" si="11"/>
        <v>0.12520000000000001</v>
      </c>
      <c r="AM27" s="30">
        <f t="shared" si="12"/>
        <v>20</v>
      </c>
      <c r="AN27" s="93">
        <f t="shared" si="13"/>
        <v>0.12520000000000001</v>
      </c>
      <c r="AO27" s="93" t="e">
        <f t="shared" si="14"/>
        <v>#REF!</v>
      </c>
    </row>
    <row r="28" spans="1:41" x14ac:dyDescent="0.2">
      <c r="A28" s="30">
        <f>'[1]Synthèse Agence'!A28</f>
        <v>43741</v>
      </c>
      <c r="B28" s="55">
        <f>'[1]Synthèse Agence'!B28</f>
        <v>51835</v>
      </c>
      <c r="C28" s="56" t="s">
        <v>83</v>
      </c>
      <c r="D28" s="57">
        <f>'[1]Synthèse Agence'!D28</f>
        <v>8.237410071942447E-2</v>
      </c>
      <c r="E28" s="58">
        <f>'[1]Synthèse Agence'!E28</f>
        <v>27</v>
      </c>
      <c r="F28" s="59">
        <f>'[1]Synthèse Agence'!F28</f>
        <v>9.6232558874119509E-2</v>
      </c>
      <c r="G28" s="58">
        <f>'[1]Synthèse Agence'!G28</f>
        <v>24</v>
      </c>
      <c r="H28" s="59">
        <f>'[1]Synthèse Agence'!H28</f>
        <v>0.14079618020973694</v>
      </c>
      <c r="I28" s="58">
        <f>'[1]Synthèse Agence'!I28</f>
        <v>4</v>
      </c>
      <c r="J28" s="59">
        <f>'[1]Synthèse Agence'!J28</f>
        <v>9.1266633846521061E-2</v>
      </c>
      <c r="K28" s="58">
        <f>'[1]Synthèse Agence'!K28</f>
        <v>30</v>
      </c>
      <c r="L28" s="59">
        <f>'[1]Synthèse Agence'!L28</f>
        <v>0.17094293417167872</v>
      </c>
      <c r="M28" s="60">
        <f>'[1]Synthèse Agence'!M28</f>
        <v>7</v>
      </c>
      <c r="N28" s="53">
        <f>'[1]Synthèse Agence'!N28</f>
        <v>0</v>
      </c>
      <c r="O28" s="53">
        <f>'[1]Synthèse Agence'!O28</f>
        <v>0</v>
      </c>
      <c r="P28" s="53">
        <f>'[1]Synthèse Agence'!P28</f>
        <v>1</v>
      </c>
      <c r="Q28" s="53">
        <f>'[1]Synthèse Agence'!Q28</f>
        <v>0</v>
      </c>
      <c r="R28" s="53">
        <f>'[1]Synthèse Agence'!R28</f>
        <v>1</v>
      </c>
      <c r="S28" s="61">
        <f>'[1]Synthèse Agence'!S28</f>
        <v>2</v>
      </c>
      <c r="T28" s="58">
        <f>'[1]Synthèse Agence'!T28</f>
        <v>92</v>
      </c>
      <c r="U28" s="60">
        <f>'[1]Synthèse Agence'!U28</f>
        <v>21</v>
      </c>
      <c r="W28" s="85">
        <v>23</v>
      </c>
      <c r="X28" s="30">
        <f t="shared" si="0"/>
        <v>2</v>
      </c>
      <c r="Y28" s="30">
        <f t="shared" si="1"/>
        <v>1</v>
      </c>
      <c r="Z28" s="30">
        <f t="shared" si="2"/>
        <v>1</v>
      </c>
      <c r="AB28" s="93">
        <f t="shared" si="3"/>
        <v>0.14580000000000001</v>
      </c>
      <c r="AC28" s="30">
        <f t="shared" si="4"/>
        <v>10</v>
      </c>
      <c r="AD28" s="93">
        <f t="shared" si="5"/>
        <v>0.14580000000000001</v>
      </c>
      <c r="AE28" s="98" t="e">
        <f t="shared" si="6"/>
        <v>#REF!</v>
      </c>
      <c r="AL28" s="93">
        <f t="shared" si="11"/>
        <v>0.1363</v>
      </c>
      <c r="AM28" s="30">
        <f t="shared" si="12"/>
        <v>15</v>
      </c>
      <c r="AN28" s="93">
        <f t="shared" si="13"/>
        <v>0.1363</v>
      </c>
      <c r="AO28" s="93" t="e">
        <f t="shared" si="14"/>
        <v>#REF!</v>
      </c>
    </row>
    <row r="29" spans="1:41" x14ac:dyDescent="0.2">
      <c r="A29" s="30">
        <f>'[1]Synthèse Agence'!A29</f>
        <v>43787</v>
      </c>
      <c r="B29" s="67">
        <f>'[1]Synthèse Agence'!B29</f>
        <v>51732</v>
      </c>
      <c r="C29" s="68" t="s">
        <v>84</v>
      </c>
      <c r="D29" s="57">
        <f>'[1]Synthèse Agence'!D29</f>
        <v>0.13752913752913754</v>
      </c>
      <c r="E29" s="58">
        <f>'[1]Synthèse Agence'!E29</f>
        <v>6</v>
      </c>
      <c r="F29" s="59">
        <f>'[1]Synthèse Agence'!F29</f>
        <v>8.5560209923300184E-2</v>
      </c>
      <c r="G29" s="58">
        <f>'[1]Synthèse Agence'!G29</f>
        <v>29</v>
      </c>
      <c r="H29" s="59">
        <f>'[1]Synthèse Agence'!H29</f>
        <v>9.3062096155952248E-2</v>
      </c>
      <c r="I29" s="58">
        <f>'[1]Synthèse Agence'!I29</f>
        <v>22</v>
      </c>
      <c r="J29" s="59">
        <f>'[1]Synthèse Agence'!J29</f>
        <v>8.7752234843590321E-2</v>
      </c>
      <c r="K29" s="58">
        <f>'[1]Synthèse Agence'!K29</f>
        <v>31</v>
      </c>
      <c r="L29" s="59">
        <f>'[1]Synthèse Agence'!L29</f>
        <v>0.14580712333521323</v>
      </c>
      <c r="M29" s="60">
        <f>'[1]Synthèse Agence'!M29</f>
        <v>10</v>
      </c>
      <c r="N29" s="53">
        <f>'[1]Synthèse Agence'!N29</f>
        <v>1</v>
      </c>
      <c r="O29" s="53">
        <f>'[1]Synthèse Agence'!O29</f>
        <v>0</v>
      </c>
      <c r="P29" s="53">
        <f>'[1]Synthèse Agence'!P29</f>
        <v>0</v>
      </c>
      <c r="Q29" s="53">
        <f>'[1]Synthèse Agence'!Q29</f>
        <v>0</v>
      </c>
      <c r="R29" s="53">
        <f>'[1]Synthèse Agence'!R29</f>
        <v>1</v>
      </c>
      <c r="S29" s="61">
        <f>'[1]Synthèse Agence'!S29</f>
        <v>2</v>
      </c>
      <c r="T29" s="58" t="e">
        <f>'Synthèse Magasins'!AO31&amp;" rangs ( "&amp;'Synthèse Magasins'!AM30&amp;" =&gt; "</f>
        <v>#REF!</v>
      </c>
      <c r="U29" s="60">
        <f>'[1]Synthèse Agence'!U29</f>
        <v>23</v>
      </c>
      <c r="W29" s="30">
        <v>24</v>
      </c>
      <c r="X29" s="30">
        <f t="shared" si="0"/>
        <v>2</v>
      </c>
      <c r="Y29" s="30">
        <f t="shared" si="1"/>
        <v>1</v>
      </c>
      <c r="Z29" s="30">
        <f t="shared" si="2"/>
        <v>1</v>
      </c>
      <c r="AB29" s="93">
        <f t="shared" si="3"/>
        <v>0.12429999999999999</v>
      </c>
      <c r="AC29" s="30">
        <f t="shared" si="4"/>
        <v>27</v>
      </c>
      <c r="AD29" s="93">
        <f t="shared" si="5"/>
        <v>0.12429999999999999</v>
      </c>
      <c r="AE29" s="98" t="e">
        <f t="shared" si="6"/>
        <v>#REF!</v>
      </c>
      <c r="AL29" s="93">
        <f t="shared" si="11"/>
        <v>0.13669999999999999</v>
      </c>
      <c r="AM29" s="30">
        <f t="shared" si="12"/>
        <v>12</v>
      </c>
      <c r="AN29" s="93">
        <f t="shared" si="13"/>
        <v>0.13669999999999999</v>
      </c>
      <c r="AO29" s="93" t="e">
        <f t="shared" si="14"/>
        <v>#REF!</v>
      </c>
    </row>
    <row r="30" spans="1:41" x14ac:dyDescent="0.2">
      <c r="A30" s="30">
        <f>'[1]Synthèse Agence'!A30</f>
        <v>43739</v>
      </c>
      <c r="B30" s="64">
        <f>'[1]Synthèse Agence'!B30</f>
        <v>51852</v>
      </c>
      <c r="C30" s="65" t="s">
        <v>85</v>
      </c>
      <c r="D30" s="57">
        <f>'[1]Synthèse Agence'!D30</f>
        <v>0.11687624867787048</v>
      </c>
      <c r="E30" s="58">
        <f>'[1]Synthèse Agence'!E30</f>
        <v>12</v>
      </c>
      <c r="F30" s="59">
        <f>'[1]Synthèse Agence'!F30</f>
        <v>7.7727599590666455E-2</v>
      </c>
      <c r="G30" s="58">
        <f>'[1]Synthèse Agence'!G30</f>
        <v>32</v>
      </c>
      <c r="H30" s="59">
        <f>'[1]Synthèse Agence'!H30</f>
        <v>9.816354900860913E-2</v>
      </c>
      <c r="I30" s="58">
        <f>'[1]Synthèse Agence'!I30</f>
        <v>19</v>
      </c>
      <c r="J30" s="59">
        <f>'[1]Synthèse Agence'!J30</f>
        <v>0.16964649195826928</v>
      </c>
      <c r="K30" s="58">
        <f>'[1]Synthèse Agence'!K30</f>
        <v>10</v>
      </c>
      <c r="L30" s="59">
        <f>'[1]Synthèse Agence'!L30</f>
        <v>0.12434640522875817</v>
      </c>
      <c r="M30" s="60">
        <f>'[1]Synthèse Agence'!M30</f>
        <v>27</v>
      </c>
      <c r="N30" s="53">
        <f>'[1]Synthèse Agence'!N30</f>
        <v>0</v>
      </c>
      <c r="O30" s="53">
        <f>'[1]Synthèse Agence'!O30</f>
        <v>0</v>
      </c>
      <c r="P30" s="53">
        <f>'[1]Synthèse Agence'!P30</f>
        <v>0</v>
      </c>
      <c r="Q30" s="53">
        <f>'[1]Synthèse Agence'!Q30</f>
        <v>1</v>
      </c>
      <c r="R30" s="53">
        <f>'[1]Synthèse Agence'!R30</f>
        <v>0</v>
      </c>
      <c r="S30" s="61">
        <f>'[1]Synthèse Agence'!S30</f>
        <v>1</v>
      </c>
      <c r="T30" s="58">
        <f>'[1]Synthèse Agence'!T30</f>
        <v>100</v>
      </c>
      <c r="U30" s="60">
        <f>'[1]Synthèse Agence'!U30</f>
        <v>24</v>
      </c>
      <c r="W30" s="30">
        <v>25</v>
      </c>
      <c r="X30" s="30">
        <f t="shared" si="0"/>
        <v>3</v>
      </c>
      <c r="Y30" s="30">
        <f t="shared" si="1"/>
        <v>1</v>
      </c>
      <c r="Z30" s="30">
        <f t="shared" si="2"/>
        <v>1</v>
      </c>
      <c r="AB30" s="93">
        <f t="shared" si="3"/>
        <v>8.2799999999999999E-2</v>
      </c>
      <c r="AC30" s="30">
        <f t="shared" si="4"/>
        <v>32</v>
      </c>
      <c r="AD30" s="93">
        <f t="shared" si="5"/>
        <v>8.2799999999999999E-2</v>
      </c>
      <c r="AE30" s="98" t="e">
        <f t="shared" si="6"/>
        <v>#REF!</v>
      </c>
      <c r="AL30" s="94" t="e">
        <f>ROUND(#REF!-#REF!,4)</f>
        <v>#REF!</v>
      </c>
      <c r="AM30" s="101" t="e">
        <f t="array" ref="AM30">RANK(AL30,$AL$6:$AL$29)+IF(OR(AL30=$AL$6:$AL$29),0,-1)</f>
        <v>#REF!</v>
      </c>
      <c r="AN30" s="94" t="e">
        <f>ROUND(#REF!,4)</f>
        <v>#REF!</v>
      </c>
      <c r="AO30" s="95" t="e">
        <f>RANK(AN30,$AN$6:$AN$30)</f>
        <v>#REF!</v>
      </c>
    </row>
    <row r="31" spans="1:41" x14ac:dyDescent="0.2">
      <c r="A31" s="30">
        <f>'[1]Synthèse Agence'!A31</f>
        <v>43864</v>
      </c>
      <c r="B31" s="55">
        <f>'[1]Synthèse Agence'!B31</f>
        <v>6700</v>
      </c>
      <c r="C31" s="56" t="s">
        <v>86</v>
      </c>
      <c r="D31" s="57">
        <f>'[1]Synthèse Agence'!D31</f>
        <v>0.13356442119032047</v>
      </c>
      <c r="E31" s="58">
        <f>'[1]Synthèse Agence'!E31</f>
        <v>8</v>
      </c>
      <c r="F31" s="59">
        <f>'[1]Synthèse Agence'!F31</f>
        <v>8.8069837651136046E-2</v>
      </c>
      <c r="G31" s="58">
        <f>'[1]Synthèse Agence'!G31</f>
        <v>26</v>
      </c>
      <c r="H31" s="59">
        <f>'[1]Synthèse Agence'!H31</f>
        <v>8.3297985153764575E-2</v>
      </c>
      <c r="I31" s="58">
        <f>'[1]Synthèse Agence'!I31</f>
        <v>25</v>
      </c>
      <c r="J31" s="59">
        <f>'[1]Synthèse Agence'!J31</f>
        <v>0.17262234874653581</v>
      </c>
      <c r="K31" s="58">
        <f>'[1]Synthèse Agence'!K31</f>
        <v>9</v>
      </c>
      <c r="L31" s="59">
        <f>'[1]Synthèse Agence'!L31</f>
        <v>8.2834050693448111E-2</v>
      </c>
      <c r="M31" s="60">
        <f>'[1]Synthèse Agence'!M31</f>
        <v>32</v>
      </c>
      <c r="N31" s="53">
        <f>'[1]Synthèse Agence'!N31</f>
        <v>1</v>
      </c>
      <c r="O31" s="53">
        <f>'[1]Synthèse Agence'!O31</f>
        <v>0</v>
      </c>
      <c r="P31" s="53">
        <f>'[1]Synthèse Agence'!P31</f>
        <v>0</v>
      </c>
      <c r="Q31" s="53">
        <f>'[1]Synthèse Agence'!Q31</f>
        <v>1</v>
      </c>
      <c r="R31" s="53">
        <f>'[1]Synthèse Agence'!R31</f>
        <v>0</v>
      </c>
      <c r="S31" s="61">
        <f>'[1]Synthèse Agence'!S31</f>
        <v>2</v>
      </c>
      <c r="T31" s="58">
        <f>'[1]Synthèse Agence'!T31</f>
        <v>100</v>
      </c>
      <c r="U31" s="60">
        <f>'[1]Synthèse Agence'!U31</f>
        <v>24</v>
      </c>
      <c r="W31" s="30">
        <v>26</v>
      </c>
      <c r="X31" s="30">
        <f t="shared" si="0"/>
        <v>3</v>
      </c>
      <c r="Y31" s="30">
        <f t="shared" si="1"/>
        <v>2</v>
      </c>
      <c r="Z31" s="30">
        <f t="shared" si="2"/>
        <v>1</v>
      </c>
      <c r="AB31" s="93">
        <f t="shared" si="3"/>
        <v>0.1709</v>
      </c>
      <c r="AC31" s="30">
        <f t="shared" si="4"/>
        <v>7</v>
      </c>
      <c r="AD31" s="93">
        <f t="shared" si="5"/>
        <v>0.1709</v>
      </c>
      <c r="AE31" s="98" t="e">
        <f t="shared" si="6"/>
        <v>#REF!</v>
      </c>
      <c r="AL31" s="93"/>
      <c r="AO31" s="30" t="e">
        <f>AM30-AO30</f>
        <v>#REF!</v>
      </c>
    </row>
    <row r="32" spans="1:41" x14ac:dyDescent="0.2">
      <c r="A32" s="30">
        <f>'[1]Synthèse Agence'!A32</f>
        <v>43741</v>
      </c>
      <c r="B32" s="64">
        <f>'[1]Synthèse Agence'!B32</f>
        <v>51853</v>
      </c>
      <c r="C32" s="65" t="s">
        <v>87</v>
      </c>
      <c r="D32" s="57">
        <f>'[1]Synthèse Agence'!D32</f>
        <v>0.11612083568605308</v>
      </c>
      <c r="E32" s="58">
        <f>'[1]Synthèse Agence'!E32</f>
        <v>13</v>
      </c>
      <c r="F32" s="59">
        <f>'[1]Synthèse Agence'!F32</f>
        <v>9.7935022899484581E-2</v>
      </c>
      <c r="G32" s="58">
        <f>'[1]Synthèse Agence'!G32</f>
        <v>21</v>
      </c>
      <c r="H32" s="59">
        <f>'[1]Synthèse Agence'!H32</f>
        <v>5.9978582980025355E-2</v>
      </c>
      <c r="I32" s="58">
        <f>'[1]Synthèse Agence'!I32</f>
        <v>32</v>
      </c>
      <c r="J32" s="59">
        <f>'[1]Synthèse Agence'!J32</f>
        <v>0.11491591535288651</v>
      </c>
      <c r="K32" s="58">
        <f>'[1]Synthèse Agence'!K32</f>
        <v>28</v>
      </c>
      <c r="L32" s="59">
        <f>'[1]Synthèse Agence'!L32</f>
        <v>0.17094293417167872</v>
      </c>
      <c r="M32" s="60">
        <f>'[1]Synthèse Agence'!M32</f>
        <v>7</v>
      </c>
      <c r="N32" s="53">
        <f>'[1]Synthèse Agence'!N32</f>
        <v>0</v>
      </c>
      <c r="O32" s="53">
        <f>'[1]Synthèse Agence'!O32</f>
        <v>0</v>
      </c>
      <c r="P32" s="53">
        <f>'[1]Synthèse Agence'!P32</f>
        <v>0</v>
      </c>
      <c r="Q32" s="53">
        <f>'[1]Synthèse Agence'!Q32</f>
        <v>0</v>
      </c>
      <c r="R32" s="53">
        <f>'[1]Synthèse Agence'!R32</f>
        <v>1</v>
      </c>
      <c r="S32" s="61">
        <f>'[1]Synthèse Agence'!S32</f>
        <v>1</v>
      </c>
      <c r="T32" s="58">
        <f>'[1]Synthèse Agence'!T32</f>
        <v>101</v>
      </c>
      <c r="U32" s="60">
        <f>'[1]Synthèse Agence'!U32</f>
        <v>26</v>
      </c>
      <c r="W32" s="30">
        <v>27</v>
      </c>
      <c r="X32" s="30">
        <f t="shared" si="0"/>
        <v>3</v>
      </c>
      <c r="Y32" s="30">
        <f t="shared" si="1"/>
        <v>2</v>
      </c>
      <c r="Z32" s="30">
        <f t="shared" si="2"/>
        <v>1</v>
      </c>
      <c r="AB32" s="93">
        <f t="shared" si="3"/>
        <v>0.13120000000000001</v>
      </c>
      <c r="AC32" s="30">
        <f t="shared" si="4"/>
        <v>19</v>
      </c>
      <c r="AD32" s="93">
        <f t="shared" si="5"/>
        <v>0.13120000000000001</v>
      </c>
      <c r="AE32" s="98" t="e">
        <f t="shared" si="6"/>
        <v>#REF!</v>
      </c>
      <c r="AL32" s="93"/>
    </row>
    <row r="33" spans="1:31" x14ac:dyDescent="0.2">
      <c r="A33" s="30">
        <f>'[1]Synthèse Agence'!A33</f>
        <v>43783</v>
      </c>
      <c r="B33" s="55">
        <f>'[1]Synthèse Agence'!B33</f>
        <v>51731</v>
      </c>
      <c r="C33" s="56" t="s">
        <v>88</v>
      </c>
      <c r="D33" s="57">
        <f>'[1]Synthèse Agence'!D33</f>
        <v>8.4321835492430164E-2</v>
      </c>
      <c r="E33" s="58">
        <f>'[1]Synthèse Agence'!E33</f>
        <v>26</v>
      </c>
      <c r="F33" s="59">
        <f>'[1]Synthèse Agence'!F33</f>
        <v>9.7382147370969785E-2</v>
      </c>
      <c r="G33" s="58">
        <f>'[1]Synthèse Agence'!G33</f>
        <v>22</v>
      </c>
      <c r="H33" s="59">
        <f>'[1]Synthèse Agence'!H33</f>
        <v>9.9441476444876165E-2</v>
      </c>
      <c r="I33" s="58">
        <f>'[1]Synthèse Agence'!I33</f>
        <v>15</v>
      </c>
      <c r="J33" s="59">
        <f>'[1]Synthèse Agence'!J33</f>
        <v>0.14307321650074742</v>
      </c>
      <c r="K33" s="58">
        <f>'[1]Synthèse Agence'!K33</f>
        <v>19</v>
      </c>
      <c r="L33" s="59">
        <f>'[1]Synthèse Agence'!L33</f>
        <v>0.13119203286728021</v>
      </c>
      <c r="M33" s="60">
        <f>'[1]Synthèse Agence'!M33</f>
        <v>19</v>
      </c>
      <c r="N33" s="53">
        <f>'[1]Synthèse Agence'!N33</f>
        <v>0</v>
      </c>
      <c r="O33" s="53">
        <f>'[1]Synthèse Agence'!O33</f>
        <v>0</v>
      </c>
      <c r="P33" s="53">
        <f>'[1]Synthèse Agence'!P33</f>
        <v>0</v>
      </c>
      <c r="Q33" s="53">
        <f>'[1]Synthèse Agence'!Q33</f>
        <v>1</v>
      </c>
      <c r="R33" s="53">
        <f>'[1]Synthèse Agence'!R33</f>
        <v>1</v>
      </c>
      <c r="S33" s="61">
        <f>'[1]Synthèse Agence'!S33</f>
        <v>2</v>
      </c>
      <c r="T33" s="58">
        <f>'[1]Synthèse Agence'!T33</f>
        <v>101</v>
      </c>
      <c r="U33" s="60">
        <f>'[1]Synthèse Agence'!U33</f>
        <v>26</v>
      </c>
      <c r="W33" s="30">
        <v>28</v>
      </c>
      <c r="X33" s="30">
        <f t="shared" si="0"/>
        <v>3</v>
      </c>
      <c r="Y33" s="30">
        <f t="shared" si="1"/>
        <v>2</v>
      </c>
      <c r="Z33" s="30">
        <f t="shared" si="2"/>
        <v>1</v>
      </c>
      <c r="AB33" s="93">
        <f t="shared" si="3"/>
        <v>0.13120000000000001</v>
      </c>
      <c r="AC33" s="30">
        <f t="shared" si="4"/>
        <v>19</v>
      </c>
      <c r="AD33" s="93">
        <f t="shared" si="5"/>
        <v>0.13120000000000001</v>
      </c>
      <c r="AE33" s="98" t="e">
        <f t="shared" si="6"/>
        <v>#REF!</v>
      </c>
    </row>
    <row r="34" spans="1:31" x14ac:dyDescent="0.2">
      <c r="A34" s="30">
        <f>'[1]Synthèse Agence'!A34</f>
        <v>43783</v>
      </c>
      <c r="B34" s="64">
        <f>'[1]Synthèse Agence'!B34</f>
        <v>51700</v>
      </c>
      <c r="C34" s="65" t="s">
        <v>89</v>
      </c>
      <c r="D34" s="57">
        <f>'[1]Synthèse Agence'!D34</f>
        <v>9.4197479573466275E-2</v>
      </c>
      <c r="E34" s="58">
        <f>'[1]Synthèse Agence'!E34</f>
        <v>21</v>
      </c>
      <c r="F34" s="59">
        <f>'[1]Synthèse Agence'!F34</f>
        <v>7.8558766534670144E-2</v>
      </c>
      <c r="G34" s="58">
        <f>'[1]Synthèse Agence'!G34</f>
        <v>31</v>
      </c>
      <c r="H34" s="59">
        <f>'[1]Synthèse Agence'!H34</f>
        <v>0.13057646160558464</v>
      </c>
      <c r="I34" s="58">
        <f>'[1]Synthèse Agence'!I34</f>
        <v>6</v>
      </c>
      <c r="J34" s="59">
        <f>'[1]Synthèse Agence'!J34</f>
        <v>0.12056776652396367</v>
      </c>
      <c r="K34" s="58">
        <f>'[1]Synthèse Agence'!K34</f>
        <v>27</v>
      </c>
      <c r="L34" s="59">
        <f>'[1]Synthèse Agence'!L34</f>
        <v>0.13119203286728021</v>
      </c>
      <c r="M34" s="60">
        <f>'[1]Synthèse Agence'!M34</f>
        <v>19</v>
      </c>
      <c r="N34" s="53">
        <f>'[1]Synthèse Agence'!N34</f>
        <v>0</v>
      </c>
      <c r="O34" s="53">
        <f>'[1]Synthèse Agence'!O34</f>
        <v>0</v>
      </c>
      <c r="P34" s="53">
        <f>'[1]Synthèse Agence'!P34</f>
        <v>1</v>
      </c>
      <c r="Q34" s="53">
        <f>'[1]Synthèse Agence'!Q34</f>
        <v>0</v>
      </c>
      <c r="R34" s="53">
        <f>'[1]Synthèse Agence'!R34</f>
        <v>1</v>
      </c>
      <c r="S34" s="61">
        <f>'[1]Synthèse Agence'!S34</f>
        <v>2</v>
      </c>
      <c r="T34" s="58">
        <f>'[1]Synthèse Agence'!T34</f>
        <v>104</v>
      </c>
      <c r="U34" s="60">
        <f>'[1]Synthèse Agence'!U34</f>
        <v>28</v>
      </c>
      <c r="W34" s="30">
        <v>29</v>
      </c>
      <c r="X34" s="30">
        <f t="shared" si="0"/>
        <v>3</v>
      </c>
      <c r="Y34" s="30">
        <f t="shared" si="1"/>
        <v>3</v>
      </c>
      <c r="Z34" s="30">
        <f t="shared" si="2"/>
        <v>1</v>
      </c>
      <c r="AB34" s="93">
        <f t="shared" si="3"/>
        <v>0.1075</v>
      </c>
      <c r="AC34" s="30">
        <f t="shared" si="4"/>
        <v>29</v>
      </c>
      <c r="AD34" s="93">
        <f t="shared" si="5"/>
        <v>0.1075</v>
      </c>
      <c r="AE34" s="98" t="e">
        <f t="shared" si="6"/>
        <v>#REF!</v>
      </c>
    </row>
    <row r="35" spans="1:31" x14ac:dyDescent="0.2">
      <c r="A35" s="30">
        <f>'[1]Synthèse Agence'!A35</f>
        <v>43711</v>
      </c>
      <c r="B35" s="55">
        <f>'[1]Synthèse Agence'!B35</f>
        <v>51851</v>
      </c>
      <c r="C35" s="56" t="s">
        <v>90</v>
      </c>
      <c r="D35" s="57">
        <f>'[1]Synthèse Agence'!D35</f>
        <v>9.4157839557499734E-2</v>
      </c>
      <c r="E35" s="58">
        <f>'[1]Synthèse Agence'!E35</f>
        <v>22</v>
      </c>
      <c r="F35" s="59">
        <f>'[1]Synthèse Agence'!F35</f>
        <v>0.10646470489205348</v>
      </c>
      <c r="G35" s="58">
        <f>'[1]Synthèse Agence'!G35</f>
        <v>10</v>
      </c>
      <c r="H35" s="59">
        <f>'[1]Synthèse Agence'!H35</f>
        <v>9.234993475424097E-2</v>
      </c>
      <c r="I35" s="58">
        <f>'[1]Synthèse Agence'!I35</f>
        <v>23</v>
      </c>
      <c r="J35" s="59">
        <f>'[1]Synthèse Agence'!J35</f>
        <v>0.13269745341697634</v>
      </c>
      <c r="K35" s="58">
        <f>'[1]Synthèse Agence'!K35</f>
        <v>22</v>
      </c>
      <c r="L35" s="59">
        <f>'[1]Synthèse Agence'!L35</f>
        <v>0.10754985754985753</v>
      </c>
      <c r="M35" s="60">
        <f>'[1]Synthèse Agence'!M35</f>
        <v>29</v>
      </c>
      <c r="N35" s="53">
        <f>'[1]Synthèse Agence'!N35</f>
        <v>0</v>
      </c>
      <c r="O35" s="53">
        <f>'[1]Synthèse Agence'!O35</f>
        <v>0</v>
      </c>
      <c r="P35" s="53">
        <f>'[1]Synthèse Agence'!P35</f>
        <v>0</v>
      </c>
      <c r="Q35" s="53">
        <f>'[1]Synthèse Agence'!Q35</f>
        <v>1</v>
      </c>
      <c r="R35" s="53">
        <f>'[1]Synthèse Agence'!R35</f>
        <v>0</v>
      </c>
      <c r="S35" s="61">
        <f>'[1]Synthèse Agence'!S35</f>
        <v>1</v>
      </c>
      <c r="T35" s="58">
        <f>'[1]Synthèse Agence'!T35</f>
        <v>106</v>
      </c>
      <c r="U35" s="60">
        <f>'[1]Synthèse Agence'!U35</f>
        <v>29</v>
      </c>
      <c r="W35" s="30">
        <v>30</v>
      </c>
      <c r="X35" s="30">
        <f t="shared" si="0"/>
        <v>3</v>
      </c>
      <c r="Y35" s="30">
        <f t="shared" si="1"/>
        <v>3</v>
      </c>
      <c r="Z35" s="30">
        <f t="shared" si="2"/>
        <v>1</v>
      </c>
      <c r="AB35" s="93">
        <f t="shared" si="3"/>
        <v>0.1363</v>
      </c>
      <c r="AC35" s="30">
        <f t="shared" si="4"/>
        <v>14</v>
      </c>
      <c r="AD35" s="93">
        <f t="shared" si="5"/>
        <v>0.1363</v>
      </c>
      <c r="AE35" s="98" t="e">
        <f t="shared" si="6"/>
        <v>#REF!</v>
      </c>
    </row>
    <row r="36" spans="1:31" ht="15" x14ac:dyDescent="0.25">
      <c r="A36" s="30">
        <f>'[1]Synthèse Agence'!A36</f>
        <v>43717</v>
      </c>
      <c r="B36" s="55">
        <f>'[1]Synthèse Agence'!B36</f>
        <v>51855</v>
      </c>
      <c r="C36" s="56" t="s">
        <v>91</v>
      </c>
      <c r="D36" s="57">
        <f>'[1]Synthèse Agence'!D36</f>
        <v>9.1324861782499211E-2</v>
      </c>
      <c r="E36" s="58">
        <f>'[1]Synthèse Agence'!E36</f>
        <v>23</v>
      </c>
      <c r="F36" s="59">
        <f>'[1]Synthèse Agence'!F36</f>
        <v>0.10017317560292413</v>
      </c>
      <c r="G36" s="58">
        <f>'[1]Synthèse Agence'!G36</f>
        <v>20</v>
      </c>
      <c r="H36" s="59">
        <f>'[1]Synthèse Agence'!H36</f>
        <v>8.1581516433452655E-2</v>
      </c>
      <c r="I36" s="58">
        <f>'[1]Synthèse Agence'!I36</f>
        <v>26</v>
      </c>
      <c r="J36" s="59">
        <f>'[1]Synthèse Agence'!J36</f>
        <v>0.12742971567381506</v>
      </c>
      <c r="K36" s="58">
        <f>'[1]Synthèse Agence'!K36</f>
        <v>26</v>
      </c>
      <c r="L36" s="59">
        <f>'[1]Synthèse Agence'!L36</f>
        <v>0.13634999659005662</v>
      </c>
      <c r="M36" s="60">
        <f>'[1]Synthèse Agence'!M36</f>
        <v>14</v>
      </c>
      <c r="N36" s="53">
        <f>'[1]Synthèse Agence'!N36</f>
        <v>0</v>
      </c>
      <c r="O36" s="53">
        <f>'[1]Synthèse Agence'!O36</f>
        <v>0</v>
      </c>
      <c r="P36" s="53">
        <f>'[1]Synthèse Agence'!P36</f>
        <v>0</v>
      </c>
      <c r="Q36" s="53">
        <f>'[1]Synthèse Agence'!Q36</f>
        <v>1</v>
      </c>
      <c r="R36" s="53">
        <f>'[1]Synthèse Agence'!R36</f>
        <v>1</v>
      </c>
      <c r="S36" s="61">
        <f>'[1]Synthèse Agence'!S36</f>
        <v>2</v>
      </c>
      <c r="T36" s="58">
        <f>'[1]Synthèse Agence'!T36</f>
        <v>109</v>
      </c>
      <c r="U36" s="60">
        <f>'[1]Synthèse Agence'!U36</f>
        <v>30</v>
      </c>
      <c r="W36" s="26">
        <v>31</v>
      </c>
      <c r="X36" s="30">
        <f t="shared" si="0"/>
        <v>3</v>
      </c>
      <c r="Y36" s="30">
        <f t="shared" si="1"/>
        <v>3</v>
      </c>
      <c r="Z36" s="30">
        <f t="shared" si="2"/>
        <v>1</v>
      </c>
      <c r="AB36" s="93">
        <f t="shared" si="3"/>
        <v>0.13370000000000001</v>
      </c>
      <c r="AC36" s="30">
        <f t="shared" si="4"/>
        <v>16</v>
      </c>
      <c r="AD36" s="93">
        <f t="shared" si="5"/>
        <v>0.13370000000000001</v>
      </c>
      <c r="AE36" s="98" t="e">
        <f t="shared" si="6"/>
        <v>#REF!</v>
      </c>
    </row>
    <row r="37" spans="1:31" x14ac:dyDescent="0.2">
      <c r="A37" s="30">
        <f>'[1]Synthèse Agence'!A37</f>
        <v>43765</v>
      </c>
      <c r="B37" s="66">
        <f>'[1]Synthèse Agence'!B37</f>
        <v>53538</v>
      </c>
      <c r="C37" s="65" t="s">
        <v>92</v>
      </c>
      <c r="D37" s="57">
        <f>'[1]Synthèse Agence'!D37</f>
        <v>8.8014240506329111E-2</v>
      </c>
      <c r="E37" s="58">
        <f>'[1]Synthèse Agence'!E37</f>
        <v>25</v>
      </c>
      <c r="F37" s="59">
        <f>'[1]Synthèse Agence'!F37</f>
        <v>0.10223963957072513</v>
      </c>
      <c r="G37" s="58">
        <f>'[1]Synthèse Agence'!G37</f>
        <v>15</v>
      </c>
      <c r="H37" s="59">
        <f>'[1]Synthèse Agence'!H37</f>
        <v>6.8150990836007536E-2</v>
      </c>
      <c r="I37" s="58">
        <f>'[1]Synthèse Agence'!I37</f>
        <v>29</v>
      </c>
      <c r="J37" s="59">
        <f>'[1]Synthèse Agence'!J37</f>
        <v>0.11312601861608711</v>
      </c>
      <c r="K37" s="58">
        <f>'[1]Synthèse Agence'!K37</f>
        <v>29</v>
      </c>
      <c r="L37" s="59">
        <f>'[1]Synthèse Agence'!L37</f>
        <v>0.13369558321596689</v>
      </c>
      <c r="M37" s="60">
        <f>'[1]Synthèse Agence'!M37</f>
        <v>16</v>
      </c>
      <c r="N37" s="53">
        <f>'[1]Synthèse Agence'!N37</f>
        <v>0</v>
      </c>
      <c r="O37" s="53">
        <f>'[1]Synthèse Agence'!O37</f>
        <v>0</v>
      </c>
      <c r="P37" s="53">
        <f>'[1]Synthèse Agence'!P37</f>
        <v>0</v>
      </c>
      <c r="Q37" s="53">
        <f>'[1]Synthèse Agence'!Q37</f>
        <v>0</v>
      </c>
      <c r="R37" s="53">
        <f>'[1]Synthèse Agence'!R37</f>
        <v>1</v>
      </c>
      <c r="S37" s="61">
        <f>'[1]Synthèse Agence'!S37</f>
        <v>1</v>
      </c>
      <c r="T37" s="58">
        <f>'[1]Synthèse Agence'!T37</f>
        <v>114</v>
      </c>
      <c r="U37" s="60">
        <f>'[1]Synthèse Agence'!U37</f>
        <v>31</v>
      </c>
      <c r="W37" s="30">
        <v>32</v>
      </c>
      <c r="X37" s="30">
        <f t="shared" si="0"/>
        <v>3</v>
      </c>
      <c r="Y37" s="30">
        <f t="shared" si="1"/>
        <v>3</v>
      </c>
      <c r="Z37" s="30">
        <f t="shared" si="2"/>
        <v>1</v>
      </c>
      <c r="AB37" s="93">
        <f t="shared" si="3"/>
        <v>0.1075</v>
      </c>
      <c r="AC37" s="30">
        <f t="shared" si="4"/>
        <v>29</v>
      </c>
      <c r="AD37" s="93">
        <f t="shared" si="5"/>
        <v>0.1075</v>
      </c>
      <c r="AE37" s="98" t="e">
        <f t="shared" si="6"/>
        <v>#REF!</v>
      </c>
    </row>
    <row r="38" spans="1:31" ht="13.5" thickBot="1" x14ac:dyDescent="0.25">
      <c r="A38" s="30">
        <f>'[1]Synthèse Agence'!A38</f>
        <v>43711</v>
      </c>
      <c r="B38" s="69">
        <f>'[1]Synthèse Agence'!B38</f>
        <v>1840</v>
      </c>
      <c r="C38" s="70" t="s">
        <v>93</v>
      </c>
      <c r="D38" s="71">
        <f>'[1]Synthèse Agence'!D38</f>
        <v>6.6828695396861648E-2</v>
      </c>
      <c r="E38" s="72">
        <f>'[1]Synthèse Agence'!E38</f>
        <v>31</v>
      </c>
      <c r="F38" s="73">
        <f>'[1]Synthèse Agence'!F38</f>
        <v>9.1531168831168838E-2</v>
      </c>
      <c r="G38" s="72">
        <f>'[1]Synthèse Agence'!G38</f>
        <v>25</v>
      </c>
      <c r="H38" s="73">
        <f>'[1]Synthèse Agence'!H38</f>
        <v>7.9265990723762267E-2</v>
      </c>
      <c r="I38" s="72">
        <f>'[1]Synthèse Agence'!I38</f>
        <v>27</v>
      </c>
      <c r="J38" s="73">
        <f>'[1]Synthèse Agence'!J38</f>
        <v>8.4404948939512961E-2</v>
      </c>
      <c r="K38" s="72">
        <f>'[1]Synthèse Agence'!K38</f>
        <v>32</v>
      </c>
      <c r="L38" s="73">
        <f>'[1]Synthèse Agence'!L38</f>
        <v>0.10754985754985753</v>
      </c>
      <c r="M38" s="74">
        <f>'[1]Synthèse Agence'!M38</f>
        <v>29</v>
      </c>
      <c r="N38" s="53">
        <f>'[1]Synthèse Agence'!N38</f>
        <v>0</v>
      </c>
      <c r="O38" s="53">
        <f>'[1]Synthèse Agence'!O38</f>
        <v>0</v>
      </c>
      <c r="P38" s="53">
        <f>'[1]Synthèse Agence'!P38</f>
        <v>0</v>
      </c>
      <c r="Q38" s="53">
        <f>'[1]Synthèse Agence'!Q38</f>
        <v>0</v>
      </c>
      <c r="R38" s="53">
        <f>'[1]Synthèse Agence'!R38</f>
        <v>0</v>
      </c>
      <c r="S38" s="75">
        <f>'[1]Synthèse Agence'!S38</f>
        <v>0</v>
      </c>
      <c r="T38" s="72">
        <f>'[1]Synthèse Agence'!T38</f>
        <v>144</v>
      </c>
      <c r="U38" s="74">
        <f>'[1]Synthèse Agence'!U38</f>
        <v>32</v>
      </c>
      <c r="W38" s="85">
        <v>33</v>
      </c>
      <c r="X38" s="30">
        <f t="shared" si="0"/>
        <v>3</v>
      </c>
      <c r="Y38" s="30">
        <f t="shared" si="1"/>
        <v>3</v>
      </c>
      <c r="Z38" s="30">
        <f t="shared" si="2"/>
        <v>1</v>
      </c>
      <c r="AB38" s="94" t="e">
        <f>ROUND(#REF!-#REF!,4)</f>
        <v>#REF!</v>
      </c>
      <c r="AC38" s="101" t="e">
        <f t="array" ref="AC38">RANK(AB38,$AB$6:$AB$37)+IF(OR($AB$38=$AB$6:$AB$37),0,-1)</f>
        <v>#REF!</v>
      </c>
      <c r="AD38" s="94" t="e">
        <f>ROUND(#REF!,4)</f>
        <v>#REF!</v>
      </c>
      <c r="AE38" s="100" t="e">
        <f>RANK(AD38,$AD$6:$AD$38)</f>
        <v>#REF!</v>
      </c>
    </row>
    <row r="39" spans="1:31" ht="13.5" thickBot="1" x14ac:dyDescent="0.25">
      <c r="A39" s="30" t="e">
        <f>'[1]Synthèse Agence'!A39</f>
        <v>#REF!</v>
      </c>
      <c r="B39" s="232" t="s">
        <v>60</v>
      </c>
      <c r="C39" s="233" t="e">
        <f>'[1]Synthèse Agence'!C39</f>
        <v>#REF!</v>
      </c>
      <c r="D39" s="234" t="str">
        <f>'[1]Synthèse Agence'!D39</f>
        <v>Plafonnement à 44%</v>
      </c>
      <c r="E39" s="235" t="e">
        <f>'[1]Synthèse Agence'!E39</f>
        <v>#REF!</v>
      </c>
      <c r="F39" s="235" t="e">
        <f>'[1]Synthèse Agence'!F39</f>
        <v>#REF!</v>
      </c>
      <c r="G39" s="235" t="e">
        <f>'[1]Synthèse Agence'!G39</f>
        <v>#REF!</v>
      </c>
      <c r="H39" s="235" t="e">
        <f>'[1]Synthèse Agence'!H39</f>
        <v>#REF!</v>
      </c>
      <c r="I39" s="235" t="e">
        <f>'[1]Synthèse Agence'!I39</f>
        <v>#REF!</v>
      </c>
      <c r="J39" s="235" t="e">
        <f>'[1]Synthèse Agence'!J39</f>
        <v>#REF!</v>
      </c>
      <c r="K39" s="235" t="e">
        <f>'[1]Synthèse Agence'!K39</f>
        <v>#REF!</v>
      </c>
      <c r="L39" s="235" t="e">
        <f>'[1]Synthèse Agence'!L39</f>
        <v>#REF!</v>
      </c>
      <c r="M39" s="236" t="e">
        <f>'[1]Synthèse Agence'!M39</f>
        <v>#REF!</v>
      </c>
      <c r="N39" s="46" t="e">
        <f>'[1]Synthèse Agence'!N39</f>
        <v>#REF!</v>
      </c>
      <c r="O39" s="46" t="e">
        <f>'[1]Synthèse Agence'!O39</f>
        <v>#REF!</v>
      </c>
      <c r="P39" s="46" t="e">
        <f>'[1]Synthèse Agence'!P39</f>
        <v>#REF!</v>
      </c>
      <c r="Q39" s="46" t="e">
        <f>'[1]Synthèse Agence'!Q39</f>
        <v>#REF!</v>
      </c>
      <c r="R39" s="46" t="e">
        <f>'[1]Synthèse Agence'!R39</f>
        <v>#REF!</v>
      </c>
      <c r="S39" s="76" t="e">
        <f>'[1]Synthèse Agence'!S39</f>
        <v>#REF!</v>
      </c>
      <c r="T39" s="237" t="e">
        <f>'[1]Synthèse Agence'!T39</f>
        <v>#REF!</v>
      </c>
      <c r="U39" s="233" t="e">
        <f>'[1]Synthèse Agence'!U39</f>
        <v>#REF!</v>
      </c>
      <c r="W39" s="30">
        <v>34</v>
      </c>
      <c r="X39" s="30">
        <f t="shared" si="0"/>
        <v>3</v>
      </c>
      <c r="Y39" s="30">
        <f t="shared" si="1"/>
        <v>4</v>
      </c>
      <c r="Z39" s="30">
        <f t="shared" si="2"/>
        <v>1</v>
      </c>
      <c r="AE39" s="97" t="e">
        <f>AC38-AE38</f>
        <v>#REF!</v>
      </c>
    </row>
    <row r="40" spans="1:31" x14ac:dyDescent="0.2">
      <c r="A40" s="30">
        <f>'[1]Synthèse Agence'!A40</f>
        <v>43864</v>
      </c>
      <c r="B40" s="77">
        <f>'[1]Synthèse Agence'!B40</f>
        <v>56733</v>
      </c>
      <c r="C40" s="78" t="s">
        <v>94</v>
      </c>
      <c r="D40" s="49">
        <f>'[1]Synthèse Agence'!D40</f>
        <v>0.13203463203463203</v>
      </c>
      <c r="E40" s="50">
        <f>'[1]Synthèse Agence'!E40</f>
        <v>4</v>
      </c>
      <c r="F40" s="51">
        <f>'[1]Synthèse Agence'!F40</f>
        <v>0.1353828670407749</v>
      </c>
      <c r="G40" s="50">
        <f>'[1]Synthèse Agence'!G40</f>
        <v>1</v>
      </c>
      <c r="H40" s="51">
        <f>'[1]Synthèse Agence'!H40</f>
        <v>0.19595174518405495</v>
      </c>
      <c r="I40" s="50">
        <f>'[1]Synthèse Agence'!I40</f>
        <v>1</v>
      </c>
      <c r="J40" s="51">
        <f>'[1]Synthèse Agence'!J40</f>
        <v>0.29231044277360069</v>
      </c>
      <c r="K40" s="50">
        <f>'[1]Synthèse Agence'!K40</f>
        <v>1</v>
      </c>
      <c r="L40" s="51">
        <f>'[1]Synthèse Agence'!L40</f>
        <v>8.2834050693448111E-2</v>
      </c>
      <c r="M40" s="52">
        <f>'[1]Synthèse Agence'!M40</f>
        <v>18</v>
      </c>
      <c r="N40" s="53">
        <f>'[1]Synthèse Agence'!N40</f>
        <v>1</v>
      </c>
      <c r="O40" s="53">
        <f>'[1]Synthèse Agence'!O40</f>
        <v>1</v>
      </c>
      <c r="P40" s="53">
        <f>'[1]Synthèse Agence'!P40</f>
        <v>1</v>
      </c>
      <c r="Q40" s="53">
        <f>'[1]Synthèse Agence'!Q40</f>
        <v>1</v>
      </c>
      <c r="R40" s="53">
        <f>'[1]Synthèse Agence'!R40</f>
        <v>0</v>
      </c>
      <c r="S40" s="61">
        <f>'[1]Synthèse Agence'!S40</f>
        <v>4</v>
      </c>
      <c r="T40" s="58">
        <f>'[1]Synthèse Agence'!T40</f>
        <v>25</v>
      </c>
      <c r="U40" s="60">
        <f>'[1]Synthèse Agence'!U40</f>
        <v>1</v>
      </c>
      <c r="W40" s="30">
        <v>35</v>
      </c>
      <c r="X40" s="30">
        <f t="shared" si="0"/>
        <v>3</v>
      </c>
      <c r="Y40" s="30">
        <f t="shared" si="1"/>
        <v>4</v>
      </c>
      <c r="Z40" s="30">
        <f t="shared" si="2"/>
        <v>1</v>
      </c>
      <c r="AC40" s="96"/>
    </row>
    <row r="41" spans="1:31" x14ac:dyDescent="0.2">
      <c r="A41" s="30">
        <f>'[1]Synthèse Agence'!A41</f>
        <v>43866</v>
      </c>
      <c r="B41" s="67">
        <f>'[1]Synthèse Agence'!B41</f>
        <v>56741</v>
      </c>
      <c r="C41" s="68" t="s">
        <v>95</v>
      </c>
      <c r="D41" s="57">
        <f>'[1]Synthèse Agence'!D41</f>
        <v>0.12904109589041096</v>
      </c>
      <c r="E41" s="58">
        <f>'[1]Synthèse Agence'!E41</f>
        <v>6</v>
      </c>
      <c r="F41" s="59">
        <f>'[1]Synthèse Agence'!F41</f>
        <v>0.12630806736151948</v>
      </c>
      <c r="G41" s="58">
        <f>'[1]Synthèse Agence'!G41</f>
        <v>3</v>
      </c>
      <c r="H41" s="59">
        <f>'[1]Synthèse Agence'!H41</f>
        <v>0.12459052194802359</v>
      </c>
      <c r="I41" s="58">
        <f>'[1]Synthèse Agence'!I41</f>
        <v>5</v>
      </c>
      <c r="J41" s="59">
        <f>'[1]Synthèse Agence'!J41</f>
        <v>0.23297153098220169</v>
      </c>
      <c r="K41" s="58">
        <f>'[1]Synthèse Agence'!K41</f>
        <v>5</v>
      </c>
      <c r="L41" s="59">
        <f>'[1]Synthèse Agence'!L41</f>
        <v>0.14999651689306862</v>
      </c>
      <c r="M41" s="60">
        <f>'[1]Synthèse Agence'!M41</f>
        <v>9</v>
      </c>
      <c r="N41" s="53">
        <f>'[1]Synthèse Agence'!N41</f>
        <v>1</v>
      </c>
      <c r="O41" s="53">
        <f>'[1]Synthèse Agence'!O41</f>
        <v>0</v>
      </c>
      <c r="P41" s="53">
        <f>'[1]Synthèse Agence'!P41</f>
        <v>0</v>
      </c>
      <c r="Q41" s="53">
        <f>'[1]Synthèse Agence'!Q41</f>
        <v>1</v>
      </c>
      <c r="R41" s="53">
        <f>'[1]Synthèse Agence'!R41</f>
        <v>1</v>
      </c>
      <c r="S41" s="61">
        <f>'[1]Synthèse Agence'!S41</f>
        <v>3</v>
      </c>
      <c r="T41" s="58">
        <f>'[1]Synthèse Agence'!T41</f>
        <v>28</v>
      </c>
      <c r="U41" s="60">
        <f>'[1]Synthèse Agence'!U41</f>
        <v>2</v>
      </c>
      <c r="W41" s="30">
        <v>36</v>
      </c>
      <c r="X41" s="30">
        <f t="shared" si="0"/>
        <v>3</v>
      </c>
      <c r="Y41" s="30">
        <f t="shared" si="1"/>
        <v>7</v>
      </c>
      <c r="Z41" s="30">
        <f t="shared" si="2"/>
        <v>1</v>
      </c>
    </row>
    <row r="42" spans="1:31" x14ac:dyDescent="0.2">
      <c r="A42" s="30">
        <f>'[1]Synthèse Agence'!A42</f>
        <v>43741</v>
      </c>
      <c r="B42" s="64">
        <f>'[1]Synthèse Agence'!B42</f>
        <v>1836</v>
      </c>
      <c r="C42" s="65" t="s">
        <v>96</v>
      </c>
      <c r="D42" s="57">
        <f>'[1]Synthèse Agence'!D42</f>
        <v>0.13660191181005243</v>
      </c>
      <c r="E42" s="58">
        <f>'[1]Synthèse Agence'!E42</f>
        <v>3</v>
      </c>
      <c r="F42" s="59">
        <f>'[1]Synthèse Agence'!F42</f>
        <v>0.10846565331377264</v>
      </c>
      <c r="G42" s="58">
        <f>'[1]Synthèse Agence'!G42</f>
        <v>8</v>
      </c>
      <c r="H42" s="59">
        <f>'[1]Synthèse Agence'!H42</f>
        <v>9.9179292929292923E-2</v>
      </c>
      <c r="I42" s="58">
        <f>'[1]Synthèse Agence'!I42</f>
        <v>6</v>
      </c>
      <c r="J42" s="59">
        <f>'[1]Synthèse Agence'!J42</f>
        <v>0.14091824240766967</v>
      </c>
      <c r="K42" s="58">
        <f>'[1]Synthèse Agence'!K42</f>
        <v>10</v>
      </c>
      <c r="L42" s="59">
        <f>'[1]Synthèse Agence'!L42</f>
        <v>0.17094293417167872</v>
      </c>
      <c r="M42" s="60">
        <f>'[1]Synthèse Agence'!M42</f>
        <v>6</v>
      </c>
      <c r="N42" s="53">
        <f>'[1]Synthèse Agence'!N42</f>
        <v>1</v>
      </c>
      <c r="O42" s="53">
        <f>'[1]Synthèse Agence'!O42</f>
        <v>0</v>
      </c>
      <c r="P42" s="53">
        <f>'[1]Synthèse Agence'!P42</f>
        <v>0</v>
      </c>
      <c r="Q42" s="53">
        <f>'[1]Synthèse Agence'!Q42</f>
        <v>1</v>
      </c>
      <c r="R42" s="53">
        <f>'[1]Synthèse Agence'!R42</f>
        <v>1</v>
      </c>
      <c r="S42" s="61">
        <f>'[1]Synthèse Agence'!S42</f>
        <v>3</v>
      </c>
      <c r="T42" s="58">
        <f>'[1]Synthèse Agence'!T42</f>
        <v>33</v>
      </c>
      <c r="U42" s="60">
        <f>'[1]Synthèse Agence'!U42</f>
        <v>3</v>
      </c>
      <c r="W42" s="30">
        <v>37</v>
      </c>
      <c r="X42" s="30">
        <f t="shared" si="0"/>
        <v>3</v>
      </c>
      <c r="Y42" s="30">
        <f t="shared" si="1"/>
        <v>7</v>
      </c>
      <c r="Z42" s="30">
        <f t="shared" si="2"/>
        <v>1</v>
      </c>
    </row>
    <row r="43" spans="1:31" x14ac:dyDescent="0.2">
      <c r="A43" s="30">
        <f>'[1]Synthèse Agence'!A43</f>
        <v>43747</v>
      </c>
      <c r="B43" s="62">
        <f>'[1]Synthèse Agence'!B43</f>
        <v>55235</v>
      </c>
      <c r="C43" s="63" t="s">
        <v>97</v>
      </c>
      <c r="D43" s="57">
        <f>'[1]Synthèse Agence'!D43</f>
        <v>0.10465470033465166</v>
      </c>
      <c r="E43" s="58">
        <f>'[1]Synthèse Agence'!E43</f>
        <v>10</v>
      </c>
      <c r="F43" s="59">
        <f>'[1]Synthèse Agence'!F43</f>
        <v>9.3617157238086654E-2</v>
      </c>
      <c r="G43" s="58">
        <f>'[1]Synthèse Agence'!G43</f>
        <v>10</v>
      </c>
      <c r="H43" s="59">
        <f>'[1]Synthèse Agence'!H43</f>
        <v>9.7111931200369039E-2</v>
      </c>
      <c r="I43" s="58">
        <f>'[1]Synthèse Agence'!I43</f>
        <v>8</v>
      </c>
      <c r="J43" s="59">
        <f>'[1]Synthèse Agence'!J43</f>
        <v>0.16709807178685429</v>
      </c>
      <c r="K43" s="58">
        <f>'[1]Synthèse Agence'!K43</f>
        <v>6</v>
      </c>
      <c r="L43" s="59">
        <f>'[1]Synthèse Agence'!L43</f>
        <v>0.21881953867028492</v>
      </c>
      <c r="M43" s="60">
        <f>'[1]Synthèse Agence'!M43</f>
        <v>1</v>
      </c>
      <c r="N43" s="53">
        <f>'[1]Synthèse Agence'!N43</f>
        <v>0</v>
      </c>
      <c r="O43" s="53">
        <f>'[1]Synthèse Agence'!O43</f>
        <v>0</v>
      </c>
      <c r="P43" s="53">
        <f>'[1]Synthèse Agence'!P43</f>
        <v>0</v>
      </c>
      <c r="Q43" s="53">
        <f>'[1]Synthèse Agence'!Q43</f>
        <v>1</v>
      </c>
      <c r="R43" s="53">
        <f>'[1]Synthèse Agence'!R43</f>
        <v>1</v>
      </c>
      <c r="S43" s="61">
        <f>'[1]Synthèse Agence'!S43</f>
        <v>2</v>
      </c>
      <c r="T43" s="58">
        <f>'[1]Synthèse Agence'!T43</f>
        <v>35</v>
      </c>
      <c r="U43" s="60">
        <f>'[1]Synthèse Agence'!U43</f>
        <v>4</v>
      </c>
      <c r="W43" s="30">
        <v>38</v>
      </c>
      <c r="X43" s="30">
        <f t="shared" si="0"/>
        <v>3</v>
      </c>
      <c r="Y43" s="30">
        <f t="shared" si="1"/>
        <v>9</v>
      </c>
      <c r="Z43" s="30">
        <f t="shared" si="2"/>
        <v>2</v>
      </c>
    </row>
    <row r="44" spans="1:31" x14ac:dyDescent="0.2">
      <c r="A44" s="30">
        <f>'[1]Synthèse Agence'!A44</f>
        <v>43733</v>
      </c>
      <c r="B44" s="62">
        <f>'[1]Synthèse Agence'!B44</f>
        <v>51232</v>
      </c>
      <c r="C44" s="63" t="s">
        <v>98</v>
      </c>
      <c r="D44" s="57">
        <f>'[1]Synthèse Agence'!D44</f>
        <v>0.16311252268602541</v>
      </c>
      <c r="E44" s="58">
        <f>'[1]Synthèse Agence'!E44</f>
        <v>1</v>
      </c>
      <c r="F44" s="59">
        <f>'[1]Synthèse Agence'!F44</f>
        <v>8.7528411479725482E-2</v>
      </c>
      <c r="G44" s="58">
        <f>'[1]Synthèse Agence'!G44</f>
        <v>13</v>
      </c>
      <c r="H44" s="59">
        <f>'[1]Synthèse Agence'!H44</f>
        <v>0.13660477453580902</v>
      </c>
      <c r="I44" s="58">
        <f>'[1]Synthèse Agence'!I44</f>
        <v>3</v>
      </c>
      <c r="J44" s="59">
        <f>'[1]Synthèse Agence'!J44</f>
        <v>0.12773825065274153</v>
      </c>
      <c r="K44" s="58">
        <f>'[1]Synthèse Agence'!K44</f>
        <v>13</v>
      </c>
      <c r="L44" s="59">
        <f>'[1]Synthèse Agence'!L44</f>
        <v>0.17154749031269712</v>
      </c>
      <c r="M44" s="60">
        <f>'[1]Synthèse Agence'!M44</f>
        <v>5</v>
      </c>
      <c r="N44" s="53">
        <f>'[1]Synthèse Agence'!N44</f>
        <v>1</v>
      </c>
      <c r="O44" s="53">
        <f>'[1]Synthèse Agence'!O44</f>
        <v>0</v>
      </c>
      <c r="P44" s="53">
        <f>'[1]Synthèse Agence'!P44</f>
        <v>1</v>
      </c>
      <c r="Q44" s="53">
        <f>'[1]Synthèse Agence'!Q44</f>
        <v>1</v>
      </c>
      <c r="R44" s="53">
        <f>'[1]Synthèse Agence'!R44</f>
        <v>1</v>
      </c>
      <c r="S44" s="61">
        <f>'[1]Synthèse Agence'!S44</f>
        <v>4</v>
      </c>
      <c r="T44" s="58">
        <f>'[1]Synthèse Agence'!T44</f>
        <v>35</v>
      </c>
      <c r="U44" s="60">
        <f>'[1]Synthèse Agence'!U44</f>
        <v>4</v>
      </c>
      <c r="W44" s="30">
        <v>39</v>
      </c>
      <c r="X44" s="30">
        <f t="shared" si="0"/>
        <v>3</v>
      </c>
      <c r="Y44" s="30">
        <f t="shared" si="1"/>
        <v>9</v>
      </c>
      <c r="Z44" s="30">
        <f t="shared" si="2"/>
        <v>2</v>
      </c>
    </row>
    <row r="45" spans="1:31" x14ac:dyDescent="0.2">
      <c r="A45" s="30">
        <f>'[1]Synthèse Agence'!A45</f>
        <v>43816</v>
      </c>
      <c r="B45" s="62">
        <f>'[1]Synthèse Agence'!B45</f>
        <v>58135</v>
      </c>
      <c r="C45" s="63" t="s">
        <v>99</v>
      </c>
      <c r="D45" s="57">
        <f>'[1]Synthèse Agence'!D45</f>
        <v>0.11444805194805195</v>
      </c>
      <c r="E45" s="58">
        <f>'[1]Synthèse Agence'!E45</f>
        <v>8</v>
      </c>
      <c r="F45" s="59">
        <f>'[1]Synthèse Agence'!F45</f>
        <v>9.2941651109071932E-2</v>
      </c>
      <c r="G45" s="58">
        <f>'[1]Synthèse Agence'!G45</f>
        <v>11</v>
      </c>
      <c r="H45" s="59">
        <f>'[1]Synthèse Agence'!H45</f>
        <v>0.14412838454517796</v>
      </c>
      <c r="I45" s="58">
        <f>'[1]Synthèse Agence'!I45</f>
        <v>2</v>
      </c>
      <c r="J45" s="59">
        <f>'[1]Synthèse Agence'!J45</f>
        <v>0.13790941867380313</v>
      </c>
      <c r="K45" s="58">
        <f>'[1]Synthèse Agence'!K45</f>
        <v>11</v>
      </c>
      <c r="L45" s="59">
        <f>'[1]Synthèse Agence'!L45</f>
        <v>0.18957044673539522</v>
      </c>
      <c r="M45" s="60">
        <f>'[1]Synthèse Agence'!M45</f>
        <v>3</v>
      </c>
      <c r="N45" s="53">
        <f>'[1]Synthèse Agence'!N45</f>
        <v>0</v>
      </c>
      <c r="O45" s="53">
        <f>'[1]Synthèse Agence'!O45</f>
        <v>0</v>
      </c>
      <c r="P45" s="53">
        <f>'[1]Synthèse Agence'!P45</f>
        <v>1</v>
      </c>
      <c r="Q45" s="53">
        <f>'[1]Synthèse Agence'!Q45</f>
        <v>1</v>
      </c>
      <c r="R45" s="53">
        <f>'[1]Synthèse Agence'!R45</f>
        <v>1</v>
      </c>
      <c r="S45" s="61">
        <f>'[1]Synthèse Agence'!S45</f>
        <v>3</v>
      </c>
      <c r="T45" s="58">
        <f>'[1]Synthèse Agence'!T45</f>
        <v>35</v>
      </c>
      <c r="U45" s="60">
        <f>'[1]Synthèse Agence'!U45</f>
        <v>4</v>
      </c>
      <c r="W45" s="30">
        <v>40</v>
      </c>
      <c r="X45" s="30">
        <f t="shared" si="0"/>
        <v>3</v>
      </c>
      <c r="Y45" s="30">
        <f t="shared" si="1"/>
        <v>9</v>
      </c>
      <c r="Z45" s="30">
        <f>IF(ISNA(VLOOKUP(W45,$T$7:$U$38,2,FALSE)),Z46,VLOOKUP(W45,$T$7:$U$38,2,FALSE))</f>
        <v>2</v>
      </c>
    </row>
    <row r="46" spans="1:31" ht="15" x14ac:dyDescent="0.25">
      <c r="A46" s="30">
        <f>'[1]Synthèse Agence'!A46</f>
        <v>43804</v>
      </c>
      <c r="B46" s="67">
        <f>'[1]Synthèse Agence'!B46</f>
        <v>7831</v>
      </c>
      <c r="C46" s="68" t="s">
        <v>100</v>
      </c>
      <c r="D46" s="57">
        <f>'[1]Synthèse Agence'!D46</f>
        <v>0.10060160427807487</v>
      </c>
      <c r="E46" s="58">
        <f>'[1]Synthèse Agence'!E46</f>
        <v>12</v>
      </c>
      <c r="F46" s="59">
        <f>'[1]Synthèse Agence'!F46</f>
        <v>0.12432041435970709</v>
      </c>
      <c r="G46" s="58">
        <f>'[1]Synthèse Agence'!G46</f>
        <v>4</v>
      </c>
      <c r="H46" s="59">
        <f>'[1]Synthèse Agence'!H46</f>
        <v>0.12553956834532376</v>
      </c>
      <c r="I46" s="58">
        <f>'[1]Synthèse Agence'!I46</f>
        <v>4</v>
      </c>
      <c r="J46" s="59">
        <f>'[1]Synthèse Agence'!J46</f>
        <v>0.24889529180971065</v>
      </c>
      <c r="K46" s="58">
        <f>'[1]Synthèse Agence'!K46</f>
        <v>3</v>
      </c>
      <c r="L46" s="59">
        <f>'[1]Synthèse Agence'!L46</f>
        <v>0.13098734770561396</v>
      </c>
      <c r="M46" s="60">
        <f>'[1]Synthèse Agence'!M46</f>
        <v>14</v>
      </c>
      <c r="N46" s="53">
        <f>'[1]Synthèse Agence'!N46</f>
        <v>0</v>
      </c>
      <c r="O46" s="53">
        <f>'[1]Synthèse Agence'!O46</f>
        <v>0</v>
      </c>
      <c r="P46" s="53">
        <f>'[1]Synthèse Agence'!P46</f>
        <v>0</v>
      </c>
      <c r="Q46" s="53">
        <f>'[1]Synthèse Agence'!Q46</f>
        <v>1</v>
      </c>
      <c r="R46" s="53">
        <f>'[1]Synthèse Agence'!R46</f>
        <v>1</v>
      </c>
      <c r="S46" s="61">
        <f>'[1]Synthèse Agence'!S46</f>
        <v>2</v>
      </c>
      <c r="T46" s="58">
        <f>'[1]Synthèse Agence'!T46</f>
        <v>37</v>
      </c>
      <c r="U46" s="60">
        <f>'[1]Synthèse Agence'!U46</f>
        <v>7</v>
      </c>
      <c r="W46" s="26">
        <v>41</v>
      </c>
      <c r="X46" s="30">
        <f t="shared" si="0"/>
        <v>3</v>
      </c>
      <c r="Y46" s="30">
        <f t="shared" si="1"/>
        <v>9</v>
      </c>
      <c r="Z46" s="30">
        <f t="shared" ref="Z46:Z70" si="15">IF(ISNA(VLOOKUP(W46,$T$7:$U$38,2,FALSE)),Z47,VLOOKUP(W46,$T$7:$U$38,2,FALSE))</f>
        <v>2</v>
      </c>
    </row>
    <row r="47" spans="1:31" ht="13.5" customHeight="1" x14ac:dyDescent="0.2">
      <c r="A47" s="30">
        <f>'[1]Synthèse Agence'!A47</f>
        <v>43816</v>
      </c>
      <c r="B47" s="55">
        <f>'[1]Synthèse Agence'!B47</f>
        <v>8140</v>
      </c>
      <c r="C47" s="56" t="s">
        <v>101</v>
      </c>
      <c r="D47" s="57">
        <f>'[1]Synthèse Agence'!D47</f>
        <v>0.13877551020408163</v>
      </c>
      <c r="E47" s="58">
        <f>'[1]Synthèse Agence'!E47</f>
        <v>2</v>
      </c>
      <c r="F47" s="59">
        <f>'[1]Synthèse Agence'!F47</f>
        <v>0.11042062779463788</v>
      </c>
      <c r="G47" s="58">
        <f>'[1]Synthèse Agence'!G47</f>
        <v>6</v>
      </c>
      <c r="H47" s="59">
        <f>'[1]Synthèse Agence'!H47</f>
        <v>5.8384279475982528E-2</v>
      </c>
      <c r="I47" s="58">
        <f>'[1]Synthèse Agence'!I47</f>
        <v>18</v>
      </c>
      <c r="J47" s="59">
        <f>'[1]Synthèse Agence'!J47</f>
        <v>0.16355718456461033</v>
      </c>
      <c r="K47" s="58">
        <f>'[1]Synthèse Agence'!K47</f>
        <v>8</v>
      </c>
      <c r="L47" s="59">
        <f>'[1]Synthèse Agence'!L47</f>
        <v>0.18957044673539522</v>
      </c>
      <c r="M47" s="60">
        <f>'[1]Synthèse Agence'!M47</f>
        <v>3</v>
      </c>
      <c r="N47" s="53">
        <f>'[1]Synthèse Agence'!N47</f>
        <v>1</v>
      </c>
      <c r="O47" s="53">
        <f>'[1]Synthèse Agence'!O47</f>
        <v>0</v>
      </c>
      <c r="P47" s="53">
        <f>'[1]Synthèse Agence'!P47</f>
        <v>0</v>
      </c>
      <c r="Q47" s="53">
        <f>'[1]Synthèse Agence'!Q47</f>
        <v>1</v>
      </c>
      <c r="R47" s="53">
        <f>'[1]Synthèse Agence'!R47</f>
        <v>1</v>
      </c>
      <c r="S47" s="61">
        <f>'[1]Synthèse Agence'!S47</f>
        <v>3</v>
      </c>
      <c r="T47" s="58">
        <f>'[1]Synthèse Agence'!T47</f>
        <v>37</v>
      </c>
      <c r="U47" s="60">
        <f>'[1]Synthèse Agence'!U47</f>
        <v>7</v>
      </c>
      <c r="W47" s="30">
        <v>42</v>
      </c>
      <c r="X47" s="30">
        <f t="shared" si="0"/>
        <v>3</v>
      </c>
      <c r="Y47" s="30">
        <f t="shared" si="1"/>
        <v>9</v>
      </c>
      <c r="Z47" s="30">
        <f t="shared" si="15"/>
        <v>3</v>
      </c>
    </row>
    <row r="48" spans="1:31" x14ac:dyDescent="0.2">
      <c r="A48" s="30">
        <f>'[1]Synthèse Agence'!A48</f>
        <v>43739</v>
      </c>
      <c r="B48" s="55">
        <f>'[1]Synthèse Agence'!B48</f>
        <v>1831</v>
      </c>
      <c r="C48" s="56" t="s">
        <v>102</v>
      </c>
      <c r="D48" s="57">
        <f>'[1]Synthèse Agence'!D48</f>
        <v>0.10392082223068139</v>
      </c>
      <c r="E48" s="58">
        <f>'[1]Synthèse Agence'!E48</f>
        <v>11</v>
      </c>
      <c r="F48" s="59">
        <f>'[1]Synthèse Agence'!F48</f>
        <v>0.11632280863534733</v>
      </c>
      <c r="G48" s="58">
        <f>'[1]Synthèse Agence'!G48</f>
        <v>5</v>
      </c>
      <c r="H48" s="59">
        <f>'[1]Synthèse Agence'!H48</f>
        <v>9.1809381980640356E-2</v>
      </c>
      <c r="I48" s="58">
        <f>'[1]Synthèse Agence'!I48</f>
        <v>11</v>
      </c>
      <c r="J48" s="59">
        <f>'[1]Synthèse Agence'!J48</f>
        <v>0.26259777324760858</v>
      </c>
      <c r="K48" s="58">
        <f>'[1]Synthèse Agence'!K48</f>
        <v>2</v>
      </c>
      <c r="L48" s="59">
        <f>'[1]Synthèse Agence'!L48</f>
        <v>0.12434640522875817</v>
      </c>
      <c r="M48" s="60">
        <f>'[1]Synthèse Agence'!M48</f>
        <v>15</v>
      </c>
      <c r="N48" s="53">
        <f>'[1]Synthèse Agence'!N48</f>
        <v>0</v>
      </c>
      <c r="O48" s="53">
        <f>'[1]Synthèse Agence'!O48</f>
        <v>0</v>
      </c>
      <c r="P48" s="53">
        <f>'[1]Synthèse Agence'!P48</f>
        <v>0</v>
      </c>
      <c r="Q48" s="53">
        <f>'[1]Synthèse Agence'!Q48</f>
        <v>1</v>
      </c>
      <c r="R48" s="53">
        <f>'[1]Synthèse Agence'!R48</f>
        <v>0</v>
      </c>
      <c r="S48" s="61">
        <f>'[1]Synthèse Agence'!S48</f>
        <v>1</v>
      </c>
      <c r="T48" s="58">
        <f>'[1]Synthèse Agence'!T48</f>
        <v>44</v>
      </c>
      <c r="U48" s="60">
        <f>'[1]Synthèse Agence'!U48</f>
        <v>9</v>
      </c>
      <c r="W48" s="85">
        <v>43</v>
      </c>
      <c r="X48" s="30">
        <f t="shared" si="0"/>
        <v>3</v>
      </c>
      <c r="Y48" s="30">
        <f t="shared" si="1"/>
        <v>9</v>
      </c>
      <c r="Z48" s="30">
        <f t="shared" si="15"/>
        <v>3</v>
      </c>
    </row>
    <row r="49" spans="1:26" x14ac:dyDescent="0.2">
      <c r="A49" s="30">
        <f>'[1]Synthèse Agence'!A49</f>
        <v>43763</v>
      </c>
      <c r="B49" s="64">
        <f>'[1]Synthèse Agence'!B49</f>
        <v>51736</v>
      </c>
      <c r="C49" s="65" t="s">
        <v>103</v>
      </c>
      <c r="D49" s="57">
        <f>'[1]Synthèse Agence'!D49</f>
        <v>0.13141295206055509</v>
      </c>
      <c r="E49" s="58">
        <f>'[1]Synthèse Agence'!E49</f>
        <v>5</v>
      </c>
      <c r="F49" s="59">
        <f>'[1]Synthèse Agence'!F49</f>
        <v>0.10531576834498932</v>
      </c>
      <c r="G49" s="58">
        <f>'[1]Synthèse Agence'!G49</f>
        <v>9</v>
      </c>
      <c r="H49" s="59">
        <f>'[1]Synthèse Agence'!H49</f>
        <v>9.7047203160740281E-2</v>
      </c>
      <c r="I49" s="58">
        <f>'[1]Synthèse Agence'!I49</f>
        <v>9</v>
      </c>
      <c r="J49" s="59">
        <f>'[1]Synthèse Agence'!J49</f>
        <v>0.11372057555864995</v>
      </c>
      <c r="K49" s="58">
        <f>'[1]Synthèse Agence'!K49</f>
        <v>16</v>
      </c>
      <c r="L49" s="59">
        <f>'[1]Synthèse Agence'!L49</f>
        <v>0.16792726624187301</v>
      </c>
      <c r="M49" s="60">
        <f>'[1]Synthèse Agence'!M49</f>
        <v>8</v>
      </c>
      <c r="N49" s="53">
        <f>'[1]Synthèse Agence'!N49</f>
        <v>1</v>
      </c>
      <c r="O49" s="53">
        <f>'[1]Synthèse Agence'!O49</f>
        <v>0</v>
      </c>
      <c r="P49" s="53">
        <f>'[1]Synthèse Agence'!P49</f>
        <v>0</v>
      </c>
      <c r="Q49" s="53">
        <f>'[1]Synthèse Agence'!Q49</f>
        <v>0</v>
      </c>
      <c r="R49" s="53">
        <f>'[1]Synthèse Agence'!R49</f>
        <v>1</v>
      </c>
      <c r="S49" s="61">
        <f>'[1]Synthèse Agence'!S49</f>
        <v>2</v>
      </c>
      <c r="T49" s="58">
        <f>'[1]Synthèse Agence'!T49</f>
        <v>47</v>
      </c>
      <c r="U49" s="60">
        <f>'[1]Synthèse Agence'!U49</f>
        <v>10</v>
      </c>
      <c r="W49" s="30">
        <v>44</v>
      </c>
      <c r="X49" s="30">
        <f t="shared" si="0"/>
        <v>3</v>
      </c>
      <c r="Y49" s="30">
        <f t="shared" si="1"/>
        <v>9</v>
      </c>
      <c r="Z49" s="30">
        <f t="shared" si="15"/>
        <v>3</v>
      </c>
    </row>
    <row r="50" spans="1:26" x14ac:dyDescent="0.2">
      <c r="A50" s="30">
        <f>'[1]Synthèse Agence'!A50</f>
        <v>43866</v>
      </c>
      <c r="B50" s="67">
        <f>'[1]Synthèse Agence'!B50</f>
        <v>6732</v>
      </c>
      <c r="C50" s="68" t="s">
        <v>104</v>
      </c>
      <c r="D50" s="57">
        <f>'[1]Synthèse Agence'!D50</f>
        <v>7.0420168067226896E-2</v>
      </c>
      <c r="E50" s="58">
        <f>'[1]Synthèse Agence'!E50</f>
        <v>16</v>
      </c>
      <c r="F50" s="59">
        <f>'[1]Synthèse Agence'!F50</f>
        <v>8.9340756492803264E-2</v>
      </c>
      <c r="G50" s="58">
        <f>'[1]Synthèse Agence'!G50</f>
        <v>12</v>
      </c>
      <c r="H50" s="59">
        <f>'[1]Synthèse Agence'!H50</f>
        <v>9.8256134546457125E-2</v>
      </c>
      <c r="I50" s="58">
        <f>'[1]Synthèse Agence'!I50</f>
        <v>7</v>
      </c>
      <c r="J50" s="59">
        <f>'[1]Synthèse Agence'!J50</f>
        <v>0.16557663538691691</v>
      </c>
      <c r="K50" s="58">
        <f>'[1]Synthèse Agence'!K50</f>
        <v>7</v>
      </c>
      <c r="L50" s="59">
        <f>'[1]Synthèse Agence'!L50</f>
        <v>0.14999651689306862</v>
      </c>
      <c r="M50" s="60">
        <f>'[1]Synthèse Agence'!M50</f>
        <v>9</v>
      </c>
      <c r="N50" s="53">
        <f>'[1]Synthèse Agence'!N50</f>
        <v>0</v>
      </c>
      <c r="O50" s="53">
        <f>'[1]Synthèse Agence'!O50</f>
        <v>0</v>
      </c>
      <c r="P50" s="53">
        <f>'[1]Synthèse Agence'!P50</f>
        <v>0</v>
      </c>
      <c r="Q50" s="53">
        <f>'[1]Synthèse Agence'!Q50</f>
        <v>1</v>
      </c>
      <c r="R50" s="53">
        <f>'[1]Synthèse Agence'!R50</f>
        <v>1</v>
      </c>
      <c r="S50" s="61">
        <f>'[1]Synthèse Agence'!S50</f>
        <v>2</v>
      </c>
      <c r="T50" s="58">
        <f>'[1]Synthèse Agence'!T50</f>
        <v>51</v>
      </c>
      <c r="U50" s="60">
        <f>'[1]Synthèse Agence'!U50</f>
        <v>11</v>
      </c>
      <c r="W50" s="30">
        <v>45</v>
      </c>
      <c r="X50" s="30">
        <f t="shared" si="0"/>
        <v>3</v>
      </c>
      <c r="Y50" s="30">
        <f t="shared" si="1"/>
        <v>10</v>
      </c>
      <c r="Z50" s="30">
        <f t="shared" si="15"/>
        <v>3</v>
      </c>
    </row>
    <row r="51" spans="1:26" x14ac:dyDescent="0.2">
      <c r="A51" s="30">
        <f>'[1]Synthèse Agence'!A51</f>
        <v>43703</v>
      </c>
      <c r="B51" s="67">
        <f>'[1]Synthèse Agence'!B51</f>
        <v>51847</v>
      </c>
      <c r="C51" s="68" t="s">
        <v>105</v>
      </c>
      <c r="D51" s="57">
        <f>'[1]Synthèse Agence'!D51</f>
        <v>7.1602914389799641E-2</v>
      </c>
      <c r="E51" s="58">
        <f>'[1]Synthèse Agence'!E51</f>
        <v>14</v>
      </c>
      <c r="F51" s="59">
        <f>'[1]Synthèse Agence'!F51</f>
        <v>0.13362511522636827</v>
      </c>
      <c r="G51" s="58">
        <f>'[1]Synthèse Agence'!G51</f>
        <v>2</v>
      </c>
      <c r="H51" s="59">
        <f>'[1]Synthèse Agence'!H51</f>
        <v>7.8531181969522343E-2</v>
      </c>
      <c r="I51" s="58">
        <f>'[1]Synthèse Agence'!I51</f>
        <v>13</v>
      </c>
      <c r="J51" s="59">
        <f>'[1]Synthèse Agence'!J51</f>
        <v>9.1090498079105464E-2</v>
      </c>
      <c r="K51" s="58">
        <f>'[1]Synthèse Agence'!K51</f>
        <v>19</v>
      </c>
      <c r="L51" s="59">
        <f>'[1]Synthèse Agence'!L51</f>
        <v>0.1367224311386748</v>
      </c>
      <c r="M51" s="60">
        <f>'[1]Synthèse Agence'!M51</f>
        <v>11</v>
      </c>
      <c r="N51" s="53">
        <f>'[1]Synthèse Agence'!N51</f>
        <v>0</v>
      </c>
      <c r="O51" s="53">
        <f>'[1]Synthèse Agence'!O51</f>
        <v>1</v>
      </c>
      <c r="P51" s="53">
        <f>'[1]Synthèse Agence'!P51</f>
        <v>0</v>
      </c>
      <c r="Q51" s="53">
        <f>'[1]Synthèse Agence'!Q51</f>
        <v>0</v>
      </c>
      <c r="R51" s="53">
        <f>'[1]Synthèse Agence'!R51</f>
        <v>1</v>
      </c>
      <c r="S51" s="61">
        <f>'[1]Synthèse Agence'!S51</f>
        <v>2</v>
      </c>
      <c r="T51" s="58">
        <f>'[1]Synthèse Agence'!T51</f>
        <v>59</v>
      </c>
      <c r="U51" s="60">
        <f>'[1]Synthèse Agence'!U51</f>
        <v>12</v>
      </c>
      <c r="W51" s="30">
        <v>46</v>
      </c>
      <c r="X51" s="30">
        <f t="shared" si="0"/>
        <v>4</v>
      </c>
      <c r="Y51" s="30">
        <f t="shared" si="1"/>
        <v>10</v>
      </c>
      <c r="Z51" s="30">
        <f t="shared" si="15"/>
        <v>3</v>
      </c>
    </row>
    <row r="52" spans="1:26" x14ac:dyDescent="0.2">
      <c r="A52" s="30">
        <f>'[1]Synthèse Agence'!A52</f>
        <v>43747</v>
      </c>
      <c r="B52" s="55">
        <f>'[1]Synthèse Agence'!B52</f>
        <v>5233</v>
      </c>
      <c r="C52" s="56" t="s">
        <v>106</v>
      </c>
      <c r="D52" s="57">
        <f>'[1]Synthèse Agence'!D52</f>
        <v>9.642966127555691E-2</v>
      </c>
      <c r="E52" s="58">
        <f>'[1]Synthèse Agence'!E52</f>
        <v>13</v>
      </c>
      <c r="F52" s="59">
        <f>'[1]Synthèse Agence'!F52</f>
        <v>8.4946254121562231E-2</v>
      </c>
      <c r="G52" s="58">
        <f>'[1]Synthèse Agence'!G52</f>
        <v>14</v>
      </c>
      <c r="H52" s="59">
        <f>'[1]Synthèse Agence'!H52</f>
        <v>5.8134920634920637E-2</v>
      </c>
      <c r="I52" s="58">
        <f>'[1]Synthèse Agence'!I52</f>
        <v>19</v>
      </c>
      <c r="J52" s="59">
        <f>'[1]Synthèse Agence'!J52</f>
        <v>0.12019079939668176</v>
      </c>
      <c r="K52" s="58">
        <f>'[1]Synthèse Agence'!K52</f>
        <v>15</v>
      </c>
      <c r="L52" s="59">
        <f>'[1]Synthèse Agence'!L52</f>
        <v>0.21881953867028492</v>
      </c>
      <c r="M52" s="60">
        <f>'[1]Synthèse Agence'!M52</f>
        <v>1</v>
      </c>
      <c r="N52" s="53">
        <f>'[1]Synthèse Agence'!N52</f>
        <v>0</v>
      </c>
      <c r="O52" s="53">
        <f>'[1]Synthèse Agence'!O52</f>
        <v>0</v>
      </c>
      <c r="P52" s="53">
        <f>'[1]Synthèse Agence'!P52</f>
        <v>0</v>
      </c>
      <c r="Q52" s="53">
        <f>'[1]Synthèse Agence'!Q52</f>
        <v>0</v>
      </c>
      <c r="R52" s="53">
        <f>'[1]Synthèse Agence'!R52</f>
        <v>1</v>
      </c>
      <c r="S52" s="61">
        <f>'[1]Synthèse Agence'!S52</f>
        <v>1</v>
      </c>
      <c r="T52" s="58">
        <f>'[1]Synthèse Agence'!T52</f>
        <v>62</v>
      </c>
      <c r="U52" s="60">
        <f>'[1]Synthèse Agence'!U52</f>
        <v>13</v>
      </c>
      <c r="W52" s="30">
        <v>47</v>
      </c>
      <c r="X52" s="30">
        <f t="shared" si="0"/>
        <v>4</v>
      </c>
      <c r="Y52" s="30">
        <f t="shared" si="1"/>
        <v>10</v>
      </c>
      <c r="Z52" s="30">
        <f t="shared" si="15"/>
        <v>3</v>
      </c>
    </row>
    <row r="53" spans="1:26" x14ac:dyDescent="0.2">
      <c r="A53" s="30">
        <f>'[1]Synthèse Agence'!A53</f>
        <v>43765</v>
      </c>
      <c r="B53" s="64">
        <f>'[1]Synthèse Agence'!B53</f>
        <v>53542</v>
      </c>
      <c r="C53" s="65" t="s">
        <v>107</v>
      </c>
      <c r="D53" s="57">
        <f>'[1]Synthèse Agence'!D53</f>
        <v>7.1544715447154475E-2</v>
      </c>
      <c r="E53" s="58">
        <f>'[1]Synthèse Agence'!E53</f>
        <v>15</v>
      </c>
      <c r="F53" s="59">
        <f>'[1]Synthèse Agence'!F53</f>
        <v>6.960399197958439E-2</v>
      </c>
      <c r="G53" s="58">
        <f>'[1]Synthèse Agence'!G53</f>
        <v>18</v>
      </c>
      <c r="H53" s="59">
        <f>'[1]Synthèse Agence'!H53</f>
        <v>6.2866173296330569E-2</v>
      </c>
      <c r="I53" s="58">
        <f>'[1]Synthèse Agence'!I53</f>
        <v>16</v>
      </c>
      <c r="J53" s="59">
        <f>'[1]Synthèse Agence'!J53</f>
        <v>0.24457751762576221</v>
      </c>
      <c r="K53" s="58">
        <f>'[1]Synthèse Agence'!K53</f>
        <v>4</v>
      </c>
      <c r="L53" s="59">
        <f>'[1]Synthèse Agence'!L53</f>
        <v>0.13369558321596689</v>
      </c>
      <c r="M53" s="60">
        <f>'[1]Synthèse Agence'!M53</f>
        <v>12</v>
      </c>
      <c r="N53" s="53">
        <f>'[1]Synthèse Agence'!N53</f>
        <v>0</v>
      </c>
      <c r="O53" s="53">
        <f>'[1]Synthèse Agence'!O53</f>
        <v>0</v>
      </c>
      <c r="P53" s="53">
        <f>'[1]Synthèse Agence'!P53</f>
        <v>0</v>
      </c>
      <c r="Q53" s="53">
        <f>'[1]Synthèse Agence'!Q53</f>
        <v>1</v>
      </c>
      <c r="R53" s="53">
        <f>'[1]Synthèse Agence'!R53</f>
        <v>1</v>
      </c>
      <c r="S53" s="61">
        <f>'[1]Synthèse Agence'!S53</f>
        <v>2</v>
      </c>
      <c r="T53" s="58">
        <f>'[1]Synthèse Agence'!T53</f>
        <v>65</v>
      </c>
      <c r="U53" s="60">
        <f>'[1]Synthèse Agence'!U53</f>
        <v>14</v>
      </c>
      <c r="W53" s="30">
        <v>48</v>
      </c>
      <c r="X53" s="30">
        <f t="shared" si="0"/>
        <v>4</v>
      </c>
      <c r="Y53" s="30">
        <f t="shared" si="1"/>
        <v>11</v>
      </c>
      <c r="Z53" s="30">
        <f t="shared" si="15"/>
        <v>3</v>
      </c>
    </row>
    <row r="54" spans="1:26" x14ac:dyDescent="0.2">
      <c r="A54" s="30">
        <f>'[1]Synthèse Agence'!A54</f>
        <v>43864</v>
      </c>
      <c r="B54" s="67">
        <f>'[1]Synthèse Agence'!B54</f>
        <v>56734</v>
      </c>
      <c r="C54" s="68" t="s">
        <v>108</v>
      </c>
      <c r="D54" s="57">
        <f>'[1]Synthèse Agence'!D54</f>
        <v>0.11234610123119015</v>
      </c>
      <c r="E54" s="58">
        <f>'[1]Synthèse Agence'!E54</f>
        <v>9</v>
      </c>
      <c r="F54" s="59">
        <f>'[1]Synthèse Agence'!F54</f>
        <v>0.10930031600740983</v>
      </c>
      <c r="G54" s="58">
        <f>'[1]Synthèse Agence'!G54</f>
        <v>7</v>
      </c>
      <c r="H54" s="59">
        <f>'[1]Synthèse Agence'!H54</f>
        <v>7.6117713638936046E-2</v>
      </c>
      <c r="I54" s="58">
        <f>'[1]Synthèse Agence'!I54</f>
        <v>14</v>
      </c>
      <c r="J54" s="59">
        <f>'[1]Synthèse Agence'!J54</f>
        <v>9.3823012593146987E-2</v>
      </c>
      <c r="K54" s="58">
        <f>'[1]Synthèse Agence'!K54</f>
        <v>18</v>
      </c>
      <c r="L54" s="59">
        <f>'[1]Synthèse Agence'!L54</f>
        <v>8.2834050693448111E-2</v>
      </c>
      <c r="M54" s="60">
        <f>'[1]Synthèse Agence'!M54</f>
        <v>18</v>
      </c>
      <c r="N54" s="53">
        <f>'[1]Synthèse Agence'!N54</f>
        <v>0</v>
      </c>
      <c r="O54" s="53">
        <f>'[1]Synthèse Agence'!O54</f>
        <v>0</v>
      </c>
      <c r="P54" s="53">
        <f>'[1]Synthèse Agence'!P54</f>
        <v>0</v>
      </c>
      <c r="Q54" s="53">
        <f>'[1]Synthèse Agence'!Q54</f>
        <v>0</v>
      </c>
      <c r="R54" s="53">
        <f>'[1]Synthèse Agence'!R54</f>
        <v>0</v>
      </c>
      <c r="S54" s="61">
        <f>'[1]Synthèse Agence'!S54</f>
        <v>0</v>
      </c>
      <c r="T54" s="58">
        <f>'[1]Synthèse Agence'!T54</f>
        <v>66</v>
      </c>
      <c r="U54" s="60">
        <f>'[1]Synthèse Agence'!U54</f>
        <v>15</v>
      </c>
      <c r="W54" s="30">
        <v>49</v>
      </c>
      <c r="X54" s="30">
        <f t="shared" si="0"/>
        <v>4</v>
      </c>
      <c r="Y54" s="30">
        <f t="shared" si="1"/>
        <v>11</v>
      </c>
      <c r="Z54" s="30">
        <f t="shared" si="15"/>
        <v>3</v>
      </c>
    </row>
    <row r="55" spans="1:26" x14ac:dyDescent="0.2">
      <c r="A55" s="30">
        <f>'[1]Synthèse Agence'!A55</f>
        <v>43864</v>
      </c>
      <c r="B55" s="67">
        <f>'[1]Synthèse Agence'!B55</f>
        <v>56738</v>
      </c>
      <c r="C55" s="68" t="s">
        <v>109</v>
      </c>
      <c r="D55" s="57">
        <f>'[1]Synthèse Agence'!D55</f>
        <v>6.0820158102766794E-2</v>
      </c>
      <c r="E55" s="58">
        <f>'[1]Synthèse Agence'!E55</f>
        <v>18</v>
      </c>
      <c r="F55" s="59">
        <f>'[1]Synthèse Agence'!F55</f>
        <v>8.3866226578442893E-2</v>
      </c>
      <c r="G55" s="58">
        <f>'[1]Synthèse Agence'!G55</f>
        <v>15</v>
      </c>
      <c r="H55" s="59">
        <f>'[1]Synthèse Agence'!H55</f>
        <v>9.3049078392182988E-2</v>
      </c>
      <c r="I55" s="58">
        <f>'[1]Synthèse Agence'!I55</f>
        <v>10</v>
      </c>
      <c r="J55" s="59">
        <f>'[1]Synthèse Agence'!J55</f>
        <v>0.15213510913241146</v>
      </c>
      <c r="K55" s="58">
        <f>'[1]Synthèse Agence'!K55</f>
        <v>9</v>
      </c>
      <c r="L55" s="59">
        <f>'[1]Synthèse Agence'!L55</f>
        <v>8.2834050693448111E-2</v>
      </c>
      <c r="M55" s="60">
        <f>'[1]Synthèse Agence'!M55</f>
        <v>18</v>
      </c>
      <c r="N55" s="53">
        <f>'[1]Synthèse Agence'!N55</f>
        <v>0</v>
      </c>
      <c r="O55" s="53">
        <f>'[1]Synthèse Agence'!O55</f>
        <v>0</v>
      </c>
      <c r="P55" s="53">
        <f>'[1]Synthèse Agence'!P55</f>
        <v>0</v>
      </c>
      <c r="Q55" s="53">
        <f>'[1]Synthèse Agence'!Q55</f>
        <v>1</v>
      </c>
      <c r="R55" s="53">
        <f>'[1]Synthèse Agence'!R55</f>
        <v>0</v>
      </c>
      <c r="S55" s="61">
        <f>'[1]Synthèse Agence'!S55</f>
        <v>1</v>
      </c>
      <c r="T55" s="58">
        <f>'[1]Synthèse Agence'!T55</f>
        <v>70</v>
      </c>
      <c r="U55" s="60">
        <f>'[1]Synthèse Agence'!U55</f>
        <v>16</v>
      </c>
      <c r="W55" s="30">
        <v>50</v>
      </c>
      <c r="X55" s="30">
        <f t="shared" si="0"/>
        <v>5</v>
      </c>
      <c r="Y55" s="30">
        <f t="shared" si="1"/>
        <v>11</v>
      </c>
      <c r="Z55" s="30">
        <f t="shared" si="15"/>
        <v>3</v>
      </c>
    </row>
    <row r="56" spans="1:26" ht="15" x14ac:dyDescent="0.25">
      <c r="A56" s="30">
        <f>'[1]Synthèse Agence'!A56</f>
        <v>43711</v>
      </c>
      <c r="B56" s="55">
        <f>'[1]Synthèse Agence'!B56</f>
        <v>1850</v>
      </c>
      <c r="C56" s="56" t="s">
        <v>110</v>
      </c>
      <c r="D56" s="57">
        <f>'[1]Synthèse Agence'!D56</f>
        <v>0.12274096385542169</v>
      </c>
      <c r="E56" s="58">
        <f>'[1]Synthèse Agence'!E56</f>
        <v>7</v>
      </c>
      <c r="F56" s="59">
        <f>'[1]Synthèse Agence'!F56</f>
        <v>7.7460509235786734E-2</v>
      </c>
      <c r="G56" s="58">
        <f>'[1]Synthèse Agence'!G56</f>
        <v>16</v>
      </c>
      <c r="H56" s="59">
        <f>'[1]Synthèse Agence'!H56</f>
        <v>5.9959349593495928E-2</v>
      </c>
      <c r="I56" s="58">
        <f>'[1]Synthèse Agence'!I56</f>
        <v>17</v>
      </c>
      <c r="J56" s="59">
        <f>'[1]Synthèse Agence'!J56</f>
        <v>0.10239710688778599</v>
      </c>
      <c r="K56" s="58">
        <f>'[1]Synthèse Agence'!K56</f>
        <v>17</v>
      </c>
      <c r="L56" s="59">
        <f>'[1]Synthèse Agence'!L56</f>
        <v>0.10754985754985753</v>
      </c>
      <c r="M56" s="60">
        <f>'[1]Synthèse Agence'!M56</f>
        <v>16</v>
      </c>
      <c r="N56" s="53">
        <f>'[1]Synthèse Agence'!N56</f>
        <v>0</v>
      </c>
      <c r="O56" s="53">
        <f>'[1]Synthèse Agence'!O56</f>
        <v>0</v>
      </c>
      <c r="P56" s="53">
        <f>'[1]Synthèse Agence'!P56</f>
        <v>0</v>
      </c>
      <c r="Q56" s="53">
        <f>'[1]Synthèse Agence'!Q56</f>
        <v>0</v>
      </c>
      <c r="R56" s="53">
        <f>'[1]Synthèse Agence'!R56</f>
        <v>0</v>
      </c>
      <c r="S56" s="61">
        <f>'[1]Synthèse Agence'!S56</f>
        <v>0</v>
      </c>
      <c r="T56" s="58">
        <f>'[1]Synthèse Agence'!T56</f>
        <v>73</v>
      </c>
      <c r="U56" s="60">
        <f>'[1]Synthèse Agence'!U56</f>
        <v>17</v>
      </c>
      <c r="W56" s="26">
        <v>51</v>
      </c>
      <c r="X56" s="30">
        <f t="shared" si="0"/>
        <v>6</v>
      </c>
      <c r="Y56" s="30">
        <f t="shared" si="1"/>
        <v>11</v>
      </c>
      <c r="Z56" s="30">
        <f t="shared" si="15"/>
        <v>3</v>
      </c>
    </row>
    <row r="57" spans="1:26" x14ac:dyDescent="0.2">
      <c r="A57" s="30">
        <f>'[1]Synthèse Agence'!A57</f>
        <v>43741</v>
      </c>
      <c r="B57" s="55">
        <f>'[1]Synthèse Agence'!B57</f>
        <v>1834</v>
      </c>
      <c r="C57" s="56" t="s">
        <v>111</v>
      </c>
      <c r="D57" s="57">
        <f>'[1]Synthèse Agence'!D57</f>
        <v>6.3783053138464135E-2</v>
      </c>
      <c r="E57" s="58">
        <f>'[1]Synthèse Agence'!E57</f>
        <v>17</v>
      </c>
      <c r="F57" s="59">
        <f>'[1]Synthèse Agence'!F57</f>
        <v>7.0190832200717881E-2</v>
      </c>
      <c r="G57" s="58">
        <f>'[1]Synthèse Agence'!G57</f>
        <v>17</v>
      </c>
      <c r="H57" s="59">
        <f>'[1]Synthèse Agence'!H57</f>
        <v>4.9875998897767976E-2</v>
      </c>
      <c r="I57" s="58">
        <f>'[1]Synthèse Agence'!I57</f>
        <v>20</v>
      </c>
      <c r="J57" s="59">
        <f>'[1]Synthèse Agence'!J57</f>
        <v>0.12187296177572285</v>
      </c>
      <c r="K57" s="58">
        <f>'[1]Synthèse Agence'!K57</f>
        <v>14</v>
      </c>
      <c r="L57" s="59">
        <f>'[1]Synthèse Agence'!L57</f>
        <v>0.17094293417167872</v>
      </c>
      <c r="M57" s="60">
        <f>'[1]Synthèse Agence'!M57</f>
        <v>6</v>
      </c>
      <c r="N57" s="53">
        <f>'[1]Synthèse Agence'!N57</f>
        <v>0</v>
      </c>
      <c r="O57" s="53">
        <f>'[1]Synthèse Agence'!O57</f>
        <v>0</v>
      </c>
      <c r="P57" s="53">
        <f>'[1]Synthèse Agence'!P57</f>
        <v>0</v>
      </c>
      <c r="Q57" s="53">
        <f>'[1]Synthèse Agence'!Q57</f>
        <v>0</v>
      </c>
      <c r="R57" s="53">
        <f>'[1]Synthèse Agence'!R57</f>
        <v>1</v>
      </c>
      <c r="S57" s="61">
        <f>'[1]Synthèse Agence'!S57</f>
        <v>1</v>
      </c>
      <c r="T57" s="58">
        <f>'[1]Synthèse Agence'!T57</f>
        <v>74</v>
      </c>
      <c r="U57" s="60">
        <f>'[1]Synthèse Agence'!U57</f>
        <v>18</v>
      </c>
      <c r="W57" s="30">
        <v>52</v>
      </c>
      <c r="X57" s="30">
        <f t="shared" si="0"/>
        <v>8</v>
      </c>
      <c r="Y57" s="30">
        <f t="shared" si="1"/>
        <v>12</v>
      </c>
      <c r="Z57" s="30">
        <f t="shared" si="15"/>
        <v>4</v>
      </c>
    </row>
    <row r="58" spans="1:26" x14ac:dyDescent="0.2">
      <c r="A58" s="30">
        <f>'[1]Synthèse Agence'!A58</f>
        <v>43765</v>
      </c>
      <c r="B58" s="64">
        <f>'[1]Synthèse Agence'!B58</f>
        <v>3535</v>
      </c>
      <c r="C58" s="65" t="s">
        <v>112</v>
      </c>
      <c r="D58" s="57">
        <f>'[1]Synthèse Agence'!D58</f>
        <v>7.462686567164179E-3</v>
      </c>
      <c r="E58" s="58">
        <f>'[1]Synthèse Agence'!E58</f>
        <v>20</v>
      </c>
      <c r="F58" s="59">
        <f>'[1]Synthèse Agence'!F58</f>
        <v>6.6238495721756274E-2</v>
      </c>
      <c r="G58" s="58">
        <f>'[1]Synthèse Agence'!G58</f>
        <v>20</v>
      </c>
      <c r="H58" s="59">
        <f>'[1]Synthèse Agence'!H58</f>
        <v>8.1359816653934297E-2</v>
      </c>
      <c r="I58" s="58">
        <f>'[1]Synthèse Agence'!I58</f>
        <v>12</v>
      </c>
      <c r="J58" s="59">
        <f>'[1]Synthèse Agence'!J58</f>
        <v>0.12972580645161289</v>
      </c>
      <c r="K58" s="58">
        <f>'[1]Synthèse Agence'!K58</f>
        <v>12</v>
      </c>
      <c r="L58" s="59">
        <f>'[1]Synthèse Agence'!L58</f>
        <v>0.13369558321596689</v>
      </c>
      <c r="M58" s="60">
        <f>'[1]Synthèse Agence'!M58</f>
        <v>12</v>
      </c>
      <c r="N58" s="53">
        <f>'[1]Synthèse Agence'!N58</f>
        <v>0</v>
      </c>
      <c r="O58" s="53">
        <f>'[1]Synthèse Agence'!O58</f>
        <v>0</v>
      </c>
      <c r="P58" s="53">
        <f>'[1]Synthèse Agence'!P58</f>
        <v>0</v>
      </c>
      <c r="Q58" s="53">
        <f>'[1]Synthèse Agence'!Q58</f>
        <v>1</v>
      </c>
      <c r="R58" s="53">
        <f>'[1]Synthèse Agence'!R58</f>
        <v>1</v>
      </c>
      <c r="S58" s="61">
        <f>'[1]Synthèse Agence'!S58</f>
        <v>2</v>
      </c>
      <c r="T58" s="58">
        <f>'[1]Synthèse Agence'!T58</f>
        <v>76</v>
      </c>
      <c r="U58" s="60">
        <f>'[1]Synthèse Agence'!U58</f>
        <v>19</v>
      </c>
      <c r="W58" s="85">
        <v>53</v>
      </c>
      <c r="X58" s="30">
        <f t="shared" si="0"/>
        <v>8</v>
      </c>
      <c r="Y58" s="30">
        <f t="shared" si="1"/>
        <v>12</v>
      </c>
      <c r="Z58" s="30">
        <f t="shared" si="15"/>
        <v>4</v>
      </c>
    </row>
    <row r="59" spans="1:26" ht="13.5" thickBot="1" x14ac:dyDescent="0.25">
      <c r="A59" s="30">
        <f>'[1]Synthèse Agence'!A59</f>
        <v>43711</v>
      </c>
      <c r="B59" s="69">
        <f>'[1]Synthèse Agence'!B59</f>
        <v>1843</v>
      </c>
      <c r="C59" s="70" t="s">
        <v>113</v>
      </c>
      <c r="D59" s="71">
        <f>'[1]Synthèse Agence'!D59</f>
        <v>5.8286328229922107E-2</v>
      </c>
      <c r="E59" s="72">
        <f>'[1]Synthèse Agence'!E59</f>
        <v>19</v>
      </c>
      <c r="F59" s="73">
        <f>'[1]Synthèse Agence'!F59</f>
        <v>6.8028200332976033E-2</v>
      </c>
      <c r="G59" s="72">
        <f>'[1]Synthèse Agence'!G59</f>
        <v>19</v>
      </c>
      <c r="H59" s="73">
        <f>'[1]Synthèse Agence'!H59</f>
        <v>7.5846479415159679E-2</v>
      </c>
      <c r="I59" s="72">
        <f>'[1]Synthèse Agence'!I59</f>
        <v>15</v>
      </c>
      <c r="J59" s="73">
        <f>'[1]Synthèse Agence'!J59</f>
        <v>6.7560168720535926E-2</v>
      </c>
      <c r="K59" s="72">
        <f>'[1]Synthèse Agence'!K59</f>
        <v>20</v>
      </c>
      <c r="L59" s="73">
        <f>'[1]Synthèse Agence'!L59</f>
        <v>0.10754985754985753</v>
      </c>
      <c r="M59" s="74">
        <f>'[1]Synthèse Agence'!M59</f>
        <v>16</v>
      </c>
      <c r="N59" s="53">
        <f>'[1]Synthèse Agence'!N59</f>
        <v>0</v>
      </c>
      <c r="O59" s="53">
        <f>'[1]Synthèse Agence'!O59</f>
        <v>0</v>
      </c>
      <c r="P59" s="53">
        <f>'[1]Synthèse Agence'!P59</f>
        <v>0</v>
      </c>
      <c r="Q59" s="53">
        <f>'[1]Synthèse Agence'!Q59</f>
        <v>0</v>
      </c>
      <c r="R59" s="53">
        <f>'[1]Synthèse Agence'!R59</f>
        <v>0</v>
      </c>
      <c r="S59" s="75">
        <f>'[1]Synthèse Agence'!S59</f>
        <v>0</v>
      </c>
      <c r="T59" s="72">
        <f>'[1]Synthèse Agence'!T59</f>
        <v>89</v>
      </c>
      <c r="U59" s="74">
        <f>'[1]Synthèse Agence'!U59</f>
        <v>20</v>
      </c>
      <c r="W59" s="30">
        <v>54</v>
      </c>
      <c r="X59" s="30">
        <f t="shared" si="0"/>
        <v>8</v>
      </c>
      <c r="Y59" s="30">
        <f t="shared" si="1"/>
        <v>12</v>
      </c>
      <c r="Z59" s="30">
        <f t="shared" si="15"/>
        <v>4</v>
      </c>
    </row>
    <row r="60" spans="1:26" ht="13.5" customHeight="1" thickBot="1" x14ac:dyDescent="0.25">
      <c r="A60" s="30" t="e">
        <f>'[1]Synthèse Agence'!A60</f>
        <v>#REF!</v>
      </c>
      <c r="B60" s="232" t="s">
        <v>61</v>
      </c>
      <c r="C60" s="233" t="e">
        <f>'[1]Synthèse Agence'!C60</f>
        <v>#REF!</v>
      </c>
      <c r="D60" s="234" t="str">
        <f>'[1]Synthèse Agence'!D60</f>
        <v>Plafonnement à 44%</v>
      </c>
      <c r="E60" s="235" t="e">
        <f>'[1]Synthèse Agence'!E60</f>
        <v>#REF!</v>
      </c>
      <c r="F60" s="235" t="e">
        <f>'[1]Synthèse Agence'!F60</f>
        <v>#REF!</v>
      </c>
      <c r="G60" s="235" t="e">
        <f>'[1]Synthèse Agence'!G60</f>
        <v>#REF!</v>
      </c>
      <c r="H60" s="235" t="e">
        <f>'[1]Synthèse Agence'!H60</f>
        <v>#REF!</v>
      </c>
      <c r="I60" s="235" t="e">
        <f>'[1]Synthèse Agence'!I60</f>
        <v>#REF!</v>
      </c>
      <c r="J60" s="235" t="e">
        <f>'[1]Synthèse Agence'!J60</f>
        <v>#REF!</v>
      </c>
      <c r="K60" s="235" t="e">
        <f>'[1]Synthèse Agence'!K60</f>
        <v>#REF!</v>
      </c>
      <c r="L60" s="235" t="e">
        <f>'[1]Synthèse Agence'!L60</f>
        <v>#REF!</v>
      </c>
      <c r="M60" s="236" t="e">
        <f>'[1]Synthèse Agence'!M60</f>
        <v>#REF!</v>
      </c>
      <c r="N60" s="46" t="e">
        <f>'[1]Synthèse Agence'!N60</f>
        <v>#REF!</v>
      </c>
      <c r="O60" s="46" t="e">
        <f>'[1]Synthèse Agence'!O60</f>
        <v>#REF!</v>
      </c>
      <c r="P60" s="46" t="e">
        <f>'[1]Synthèse Agence'!P60</f>
        <v>#REF!</v>
      </c>
      <c r="Q60" s="46" t="e">
        <f>'[1]Synthèse Agence'!Q60</f>
        <v>#REF!</v>
      </c>
      <c r="R60" s="46" t="e">
        <f>'[1]Synthèse Agence'!R60</f>
        <v>#REF!</v>
      </c>
      <c r="S60" s="76" t="e">
        <f>'[1]Synthèse Agence'!S60</f>
        <v>#REF!</v>
      </c>
      <c r="T60" s="237" t="e">
        <f>'[1]Synthèse Agence'!T60</f>
        <v>#REF!</v>
      </c>
      <c r="U60" s="233" t="e">
        <f>'[1]Synthèse Agence'!U60</f>
        <v>#REF!</v>
      </c>
      <c r="W60" s="30">
        <v>55</v>
      </c>
      <c r="X60" s="30">
        <f t="shared" si="0"/>
        <v>8</v>
      </c>
      <c r="Y60" s="30">
        <f t="shared" si="1"/>
        <v>12</v>
      </c>
      <c r="Z60" s="30">
        <f t="shared" si="15"/>
        <v>4</v>
      </c>
    </row>
    <row r="61" spans="1:26" x14ac:dyDescent="0.2">
      <c r="A61" s="30">
        <f>'[1]Synthèse Agence'!A61</f>
        <v>43866</v>
      </c>
      <c r="B61" s="77">
        <f>'[1]Synthèse Agence'!B61</f>
        <v>6735</v>
      </c>
      <c r="C61" s="78" t="s">
        <v>114</v>
      </c>
      <c r="D61" s="49">
        <f>'[1]Synthèse Agence'!D61</f>
        <v>0.1763975155279503</v>
      </c>
      <c r="E61" s="50">
        <f>'[1]Synthèse Agence'!E61</f>
        <v>3</v>
      </c>
      <c r="F61" s="51">
        <f>'[1]Synthèse Agence'!F61</f>
        <v>0.16736157941437446</v>
      </c>
      <c r="G61" s="50">
        <f>'[1]Synthèse Agence'!G61</f>
        <v>2</v>
      </c>
      <c r="H61" s="51">
        <f>'[1]Synthèse Agence'!H61</f>
        <v>0.16985645933014354</v>
      </c>
      <c r="I61" s="50">
        <f>'[1]Synthèse Agence'!I61</f>
        <v>3</v>
      </c>
      <c r="J61" s="51">
        <f>'[1]Synthèse Agence'!J61</f>
        <v>0.17622440087145969</v>
      </c>
      <c r="K61" s="50">
        <f>'[1]Synthèse Agence'!K61</f>
        <v>4</v>
      </c>
      <c r="L61" s="51">
        <f>'[1]Synthèse Agence'!L61</f>
        <v>0.14999651689306862</v>
      </c>
      <c r="M61" s="52">
        <f>'[1]Synthèse Agence'!M61</f>
        <v>9</v>
      </c>
      <c r="N61" s="53">
        <f>'[1]Synthèse Agence'!N61</f>
        <v>1</v>
      </c>
      <c r="O61" s="53">
        <f>'[1]Synthèse Agence'!O61</f>
        <v>1</v>
      </c>
      <c r="P61" s="53">
        <f>'[1]Synthèse Agence'!P61</f>
        <v>1</v>
      </c>
      <c r="Q61" s="53">
        <f>'[1]Synthèse Agence'!Q61</f>
        <v>1</v>
      </c>
      <c r="R61" s="53">
        <f>'[1]Synthèse Agence'!R61</f>
        <v>1</v>
      </c>
      <c r="S61" s="54">
        <f>'[1]Synthèse Agence'!S61</f>
        <v>5</v>
      </c>
      <c r="T61" s="50">
        <f>'[1]Synthèse Agence'!T61</f>
        <v>21</v>
      </c>
      <c r="U61" s="52">
        <f>'[1]Synthèse Agence'!U61</f>
        <v>1</v>
      </c>
      <c r="W61" s="30">
        <v>56</v>
      </c>
      <c r="X61" s="30">
        <f t="shared" si="0"/>
        <v>8</v>
      </c>
      <c r="Y61" s="30">
        <f t="shared" si="1"/>
        <v>12</v>
      </c>
      <c r="Z61" s="30">
        <f t="shared" si="15"/>
        <v>5</v>
      </c>
    </row>
    <row r="62" spans="1:26" x14ac:dyDescent="0.2">
      <c r="A62" s="30">
        <f>'[1]Synthèse Agence'!A62</f>
        <v>43866</v>
      </c>
      <c r="B62" s="67">
        <f>'[1]Synthèse Agence'!B62</f>
        <v>6742</v>
      </c>
      <c r="C62" s="68" t="s">
        <v>115</v>
      </c>
      <c r="D62" s="57">
        <f>'[1]Synthèse Agence'!D62</f>
        <v>0.13188405797101449</v>
      </c>
      <c r="E62" s="58">
        <f>'[1]Synthèse Agence'!E62</f>
        <v>7</v>
      </c>
      <c r="F62" s="59">
        <f>'[1]Synthèse Agence'!F62</f>
        <v>0.1358265327474367</v>
      </c>
      <c r="G62" s="58">
        <f>'[1]Synthèse Agence'!G62</f>
        <v>3</v>
      </c>
      <c r="H62" s="59">
        <f>'[1]Synthèse Agence'!H62</f>
        <v>0.17366946778711484</v>
      </c>
      <c r="I62" s="58">
        <f>'[1]Synthèse Agence'!I62</f>
        <v>2</v>
      </c>
      <c r="J62" s="59">
        <f>'[1]Synthèse Agence'!J62</f>
        <v>0.17772533333333332</v>
      </c>
      <c r="K62" s="58">
        <f>'[1]Synthèse Agence'!K62</f>
        <v>3</v>
      </c>
      <c r="L62" s="59">
        <f>'[1]Synthèse Agence'!L62</f>
        <v>0.14999651689306862</v>
      </c>
      <c r="M62" s="60">
        <f>'[1]Synthèse Agence'!M62</f>
        <v>9</v>
      </c>
      <c r="N62" s="53">
        <f>'[1]Synthèse Agence'!N62</f>
        <v>1</v>
      </c>
      <c r="O62" s="53">
        <f>'[1]Synthèse Agence'!O62</f>
        <v>1</v>
      </c>
      <c r="P62" s="53">
        <f>'[1]Synthèse Agence'!P62</f>
        <v>1</v>
      </c>
      <c r="Q62" s="53">
        <f>'[1]Synthèse Agence'!Q62</f>
        <v>1</v>
      </c>
      <c r="R62" s="53">
        <f>'[1]Synthèse Agence'!R62</f>
        <v>1</v>
      </c>
      <c r="S62" s="61">
        <f>'[1]Synthèse Agence'!S62</f>
        <v>5</v>
      </c>
      <c r="T62" s="58">
        <f>'[1]Synthèse Agence'!T62</f>
        <v>24</v>
      </c>
      <c r="U62" s="60">
        <f>'[1]Synthèse Agence'!U62</f>
        <v>2</v>
      </c>
      <c r="W62" s="30">
        <v>57</v>
      </c>
      <c r="X62" s="30">
        <f t="shared" si="0"/>
        <v>9</v>
      </c>
      <c r="Y62" s="30">
        <f t="shared" si="1"/>
        <v>12</v>
      </c>
      <c r="Z62" s="30">
        <f t="shared" si="15"/>
        <v>5</v>
      </c>
    </row>
    <row r="63" spans="1:26" x14ac:dyDescent="0.2">
      <c r="A63" s="30">
        <f>'[1]Synthèse Agence'!A63</f>
        <v>43864</v>
      </c>
      <c r="B63" s="62">
        <f>'[1]Synthèse Agence'!B63</f>
        <v>6731</v>
      </c>
      <c r="C63" s="63" t="s">
        <v>116</v>
      </c>
      <c r="D63" s="57">
        <f>'[1]Synthèse Agence'!D63</f>
        <v>0.29936974789915966</v>
      </c>
      <c r="E63" s="58">
        <f>'[1]Synthèse Agence'!E63</f>
        <v>1</v>
      </c>
      <c r="F63" s="59">
        <f>'[1]Synthèse Agence'!F63</f>
        <v>9.2423443362785948E-2</v>
      </c>
      <c r="G63" s="58">
        <f>'[1]Synthèse Agence'!G63</f>
        <v>12</v>
      </c>
      <c r="H63" s="59">
        <f>'[1]Synthèse Agence'!H63</f>
        <v>0.17692750287686998</v>
      </c>
      <c r="I63" s="58">
        <f>'[1]Synthèse Agence'!I63</f>
        <v>1</v>
      </c>
      <c r="J63" s="59">
        <f>'[1]Synthèse Agence'!J63</f>
        <v>0.16486452249513295</v>
      </c>
      <c r="K63" s="58">
        <f>'[1]Synthèse Agence'!K63</f>
        <v>7</v>
      </c>
      <c r="L63" s="59">
        <f>'[1]Synthèse Agence'!L63</f>
        <v>8.2834050693448111E-2</v>
      </c>
      <c r="M63" s="60">
        <f>'[1]Synthèse Agence'!M63</f>
        <v>24</v>
      </c>
      <c r="N63" s="53">
        <f>'[1]Synthèse Agence'!N63</f>
        <v>1</v>
      </c>
      <c r="O63" s="53">
        <f>'[1]Synthèse Agence'!O63</f>
        <v>0</v>
      </c>
      <c r="P63" s="53">
        <f>'[1]Synthèse Agence'!P63</f>
        <v>1</v>
      </c>
      <c r="Q63" s="53">
        <f>'[1]Synthèse Agence'!Q63</f>
        <v>1</v>
      </c>
      <c r="R63" s="53">
        <f>'[1]Synthèse Agence'!R63</f>
        <v>0</v>
      </c>
      <c r="S63" s="61">
        <f>'[1]Synthèse Agence'!S63</f>
        <v>3</v>
      </c>
      <c r="T63" s="58">
        <f>'[1]Synthèse Agence'!T63</f>
        <v>45</v>
      </c>
      <c r="U63" s="60">
        <f>'[1]Synthèse Agence'!U63</f>
        <v>3</v>
      </c>
      <c r="W63" s="30">
        <v>58</v>
      </c>
      <c r="X63" s="30">
        <f t="shared" si="0"/>
        <v>10</v>
      </c>
      <c r="Y63" s="30">
        <f t="shared" si="1"/>
        <v>12</v>
      </c>
      <c r="Z63" s="30">
        <f t="shared" si="15"/>
        <v>5</v>
      </c>
    </row>
    <row r="64" spans="1:26" x14ac:dyDescent="0.2">
      <c r="A64" s="30">
        <f>'[1]Synthèse Agence'!A64</f>
        <v>43866</v>
      </c>
      <c r="B64" s="67">
        <f>'[1]Synthèse Agence'!B64</f>
        <v>6736</v>
      </c>
      <c r="C64" s="68" t="s">
        <v>117</v>
      </c>
      <c r="D64" s="57">
        <f>'[1]Synthèse Agence'!D64</f>
        <v>0.15773809523809523</v>
      </c>
      <c r="E64" s="58">
        <f>'[1]Synthèse Agence'!E64</f>
        <v>4</v>
      </c>
      <c r="F64" s="59">
        <f>'[1]Synthèse Agence'!F64</f>
        <v>0.12703659976387249</v>
      </c>
      <c r="G64" s="58">
        <f>'[1]Synthèse Agence'!G64</f>
        <v>4</v>
      </c>
      <c r="H64" s="59">
        <f>'[1]Synthèse Agence'!H64</f>
        <v>7.2932330827067668E-2</v>
      </c>
      <c r="I64" s="58">
        <f>'[1]Synthèse Agence'!I64</f>
        <v>11</v>
      </c>
      <c r="J64" s="59">
        <f>'[1]Synthèse Agence'!J64</f>
        <v>4.9160714285714287E-2</v>
      </c>
      <c r="K64" s="58">
        <f>'[1]Synthèse Agence'!K64</f>
        <v>21</v>
      </c>
      <c r="L64" s="59">
        <f>'[1]Synthèse Agence'!L64</f>
        <v>0.14999651689306862</v>
      </c>
      <c r="M64" s="60">
        <f>'[1]Synthèse Agence'!M64</f>
        <v>9</v>
      </c>
      <c r="N64" s="53">
        <f>'[1]Synthèse Agence'!N64</f>
        <v>1</v>
      </c>
      <c r="O64" s="53">
        <f>'[1]Synthèse Agence'!O64</f>
        <v>0</v>
      </c>
      <c r="P64" s="53">
        <f>'[1]Synthèse Agence'!P64</f>
        <v>0</v>
      </c>
      <c r="Q64" s="53">
        <f>'[1]Synthèse Agence'!Q64</f>
        <v>0</v>
      </c>
      <c r="R64" s="53">
        <f>'[1]Synthèse Agence'!R64</f>
        <v>1</v>
      </c>
      <c r="S64" s="61">
        <f>'[1]Synthèse Agence'!S64</f>
        <v>2</v>
      </c>
      <c r="T64" s="58">
        <f>'[1]Synthèse Agence'!T64</f>
        <v>49</v>
      </c>
      <c r="U64" s="60">
        <f>'[1]Synthèse Agence'!U64</f>
        <v>4</v>
      </c>
      <c r="W64" s="30">
        <v>59</v>
      </c>
      <c r="X64" s="30">
        <f t="shared" si="0"/>
        <v>11</v>
      </c>
      <c r="Y64" s="30">
        <f t="shared" si="1"/>
        <v>12</v>
      </c>
      <c r="Z64" s="30">
        <f t="shared" si="15"/>
        <v>5</v>
      </c>
    </row>
    <row r="65" spans="1:26" ht="13.5" customHeight="1" x14ac:dyDescent="0.2">
      <c r="A65" s="30">
        <f>'[1]Synthèse Agence'!A65</f>
        <v>43874</v>
      </c>
      <c r="B65" s="67">
        <f>'[1]Synthèse Agence'!B65</f>
        <v>5234</v>
      </c>
      <c r="C65" s="68" t="s">
        <v>118</v>
      </c>
      <c r="D65" s="57">
        <f>'[1]Synthèse Agence'!D65</f>
        <v>0.14778608395629672</v>
      </c>
      <c r="E65" s="58">
        <f>'[1]Synthèse Agence'!E65</f>
        <v>5</v>
      </c>
      <c r="F65" s="59">
        <f>'[1]Synthèse Agence'!F65</f>
        <v>7.4908995024875621E-2</v>
      </c>
      <c r="G65" s="58">
        <f>'[1]Synthèse Agence'!G65</f>
        <v>16</v>
      </c>
      <c r="H65" s="59">
        <f>'[1]Synthèse Agence'!H65</f>
        <v>0.16657590197413208</v>
      </c>
      <c r="I65" s="58">
        <f>'[1]Synthèse Agence'!I65</f>
        <v>4</v>
      </c>
      <c r="J65" s="59">
        <f>'[1]Synthèse Agence'!J65</f>
        <v>0.17122077028885832</v>
      </c>
      <c r="K65" s="58">
        <f>'[1]Synthèse Agence'!K65</f>
        <v>5</v>
      </c>
      <c r="L65" s="59">
        <f>'[1]Synthèse Agence'!L65</f>
        <v>0.12524285262466878</v>
      </c>
      <c r="M65" s="60">
        <f>'[1]Synthèse Agence'!M65</f>
        <v>20</v>
      </c>
      <c r="N65" s="53">
        <f>'[1]Synthèse Agence'!N65</f>
        <v>1</v>
      </c>
      <c r="O65" s="53">
        <f>'[1]Synthèse Agence'!O65</f>
        <v>0</v>
      </c>
      <c r="P65" s="53">
        <f>'[1]Synthèse Agence'!P65</f>
        <v>1</v>
      </c>
      <c r="Q65" s="53">
        <f>'[1]Synthèse Agence'!Q65</f>
        <v>1</v>
      </c>
      <c r="R65" s="53">
        <f>'[1]Synthèse Agence'!R65</f>
        <v>0</v>
      </c>
      <c r="S65" s="61">
        <f>'[1]Synthèse Agence'!S65</f>
        <v>3</v>
      </c>
      <c r="T65" s="58">
        <f>'[1]Synthèse Agence'!T65</f>
        <v>50</v>
      </c>
      <c r="U65" s="60">
        <f>'[1]Synthèse Agence'!U65</f>
        <v>5</v>
      </c>
      <c r="W65" s="30">
        <v>60</v>
      </c>
      <c r="X65" s="30">
        <f t="shared" si="0"/>
        <v>13</v>
      </c>
      <c r="Y65" s="30">
        <f t="shared" si="1"/>
        <v>13</v>
      </c>
      <c r="Z65" s="30">
        <f t="shared" si="15"/>
        <v>6</v>
      </c>
    </row>
    <row r="66" spans="1:26" ht="15" x14ac:dyDescent="0.25">
      <c r="A66" s="30">
        <f>'[1]Synthèse Agence'!A66</f>
        <v>43703</v>
      </c>
      <c r="B66" s="55">
        <f>'[1]Synthèse Agence'!B66</f>
        <v>1841</v>
      </c>
      <c r="C66" s="56" t="s">
        <v>119</v>
      </c>
      <c r="D66" s="57">
        <f>'[1]Synthèse Agence'!D66</f>
        <v>0.13421658986175114</v>
      </c>
      <c r="E66" s="58">
        <f>'[1]Synthèse Agence'!E66</f>
        <v>6</v>
      </c>
      <c r="F66" s="59">
        <f>'[1]Synthèse Agence'!F66</f>
        <v>9.6718289468799887E-2</v>
      </c>
      <c r="G66" s="58">
        <f>'[1]Synthèse Agence'!G66</f>
        <v>10</v>
      </c>
      <c r="H66" s="59">
        <f>'[1]Synthèse Agence'!H66</f>
        <v>6.5380265761945153E-2</v>
      </c>
      <c r="I66" s="58">
        <f>'[1]Synthèse Agence'!I66</f>
        <v>13</v>
      </c>
      <c r="J66" s="59">
        <f>'[1]Synthèse Agence'!J66</f>
        <v>0.12923636515543035</v>
      </c>
      <c r="K66" s="58">
        <f>'[1]Synthèse Agence'!K66</f>
        <v>10</v>
      </c>
      <c r="L66" s="59">
        <f>'[1]Synthèse Agence'!L66</f>
        <v>0.1367224311386748</v>
      </c>
      <c r="M66" s="60">
        <f>'[1]Synthèse Agence'!M66</f>
        <v>12</v>
      </c>
      <c r="N66" s="53">
        <f>'[1]Synthèse Agence'!N66</f>
        <v>1</v>
      </c>
      <c r="O66" s="53">
        <f>'[1]Synthèse Agence'!O66</f>
        <v>0</v>
      </c>
      <c r="P66" s="53">
        <f>'[1]Synthèse Agence'!P66</f>
        <v>0</v>
      </c>
      <c r="Q66" s="53">
        <f>'[1]Synthèse Agence'!Q66</f>
        <v>1</v>
      </c>
      <c r="R66" s="53">
        <f>'[1]Synthèse Agence'!R66</f>
        <v>1</v>
      </c>
      <c r="S66" s="61">
        <f>'[1]Synthèse Agence'!S66</f>
        <v>3</v>
      </c>
      <c r="T66" s="58">
        <f>'[1]Synthèse Agence'!T66</f>
        <v>51</v>
      </c>
      <c r="U66" s="60">
        <f>'[1]Synthèse Agence'!U66</f>
        <v>6</v>
      </c>
      <c r="W66" s="26">
        <v>61</v>
      </c>
      <c r="X66" s="30">
        <f t="shared" si="0"/>
        <v>13</v>
      </c>
      <c r="Y66" s="30">
        <f t="shared" si="1"/>
        <v>13</v>
      </c>
      <c r="Z66" s="30">
        <f t="shared" si="15"/>
        <v>6</v>
      </c>
    </row>
    <row r="67" spans="1:26" x14ac:dyDescent="0.2">
      <c r="A67" s="30">
        <f>'[1]Synthèse Agence'!A67</f>
        <v>43783</v>
      </c>
      <c r="B67" s="66">
        <f>'[1]Synthèse Agence'!B67</f>
        <v>1743</v>
      </c>
      <c r="C67" s="65" t="s">
        <v>120</v>
      </c>
      <c r="D67" s="57">
        <f>'[1]Synthèse Agence'!D67</f>
        <v>0.11553653719552337</v>
      </c>
      <c r="E67" s="58">
        <f>'[1]Synthèse Agence'!E67</f>
        <v>10</v>
      </c>
      <c r="F67" s="59">
        <f>'[1]Synthèse Agence'!F67</f>
        <v>0.16812739597942963</v>
      </c>
      <c r="G67" s="58">
        <f>'[1]Synthèse Agence'!G67</f>
        <v>1</v>
      </c>
      <c r="H67" s="59">
        <f>'[1]Synthèse Agence'!H67</f>
        <v>5.2631578947368418E-2</v>
      </c>
      <c r="I67" s="58">
        <f>'[1]Synthèse Agence'!I67</f>
        <v>20</v>
      </c>
      <c r="J67" s="59">
        <f>'[1]Synthèse Agence'!J67</f>
        <v>0.19237250554323726</v>
      </c>
      <c r="K67" s="58">
        <f>'[1]Synthèse Agence'!K67</f>
        <v>1</v>
      </c>
      <c r="L67" s="59">
        <f>'[1]Synthèse Agence'!L67</f>
        <v>0.13119203286728021</v>
      </c>
      <c r="M67" s="60">
        <f>'[1]Synthèse Agence'!M67</f>
        <v>19</v>
      </c>
      <c r="N67" s="53">
        <f>'[1]Synthèse Agence'!N67</f>
        <v>0</v>
      </c>
      <c r="O67" s="53">
        <f>'[1]Synthèse Agence'!O67</f>
        <v>1</v>
      </c>
      <c r="P67" s="53">
        <f>'[1]Synthèse Agence'!P67</f>
        <v>0</v>
      </c>
      <c r="Q67" s="53">
        <f>'[1]Synthèse Agence'!Q67</f>
        <v>1</v>
      </c>
      <c r="R67" s="53">
        <f>'[1]Synthèse Agence'!R67</f>
        <v>1</v>
      </c>
      <c r="S67" s="61">
        <f>'[1]Synthèse Agence'!S67</f>
        <v>3</v>
      </c>
      <c r="T67" s="58">
        <f>'[1]Synthèse Agence'!T67</f>
        <v>51</v>
      </c>
      <c r="U67" s="60">
        <f>'[1]Synthèse Agence'!U67</f>
        <v>6</v>
      </c>
      <c r="W67" s="30">
        <v>62</v>
      </c>
      <c r="X67" s="30">
        <f t="shared" si="0"/>
        <v>14</v>
      </c>
      <c r="Y67" s="30">
        <f t="shared" si="1"/>
        <v>13</v>
      </c>
      <c r="Z67" s="30">
        <f t="shared" si="15"/>
        <v>7</v>
      </c>
    </row>
    <row r="68" spans="1:26" x14ac:dyDescent="0.2">
      <c r="A68" s="30">
        <f>'[1]Synthèse Agence'!A68</f>
        <v>43816</v>
      </c>
      <c r="B68" s="62">
        <f>'[1]Synthèse Agence'!B68</f>
        <v>8131</v>
      </c>
      <c r="C68" s="63" t="s">
        <v>121</v>
      </c>
      <c r="D68" s="57">
        <f>'[1]Synthèse Agence'!D68</f>
        <v>0.18715277777777778</v>
      </c>
      <c r="E68" s="58">
        <f>'[1]Synthèse Agence'!E68</f>
        <v>2</v>
      </c>
      <c r="F68" s="59">
        <f>'[1]Synthèse Agence'!F68</f>
        <v>5.847675475987496E-2</v>
      </c>
      <c r="G68" s="58">
        <f>'[1]Synthèse Agence'!G68</f>
        <v>22</v>
      </c>
      <c r="H68" s="59">
        <f>'[1]Synthèse Agence'!H68</f>
        <v>0.03</v>
      </c>
      <c r="I68" s="58">
        <f>'[1]Synthèse Agence'!I68</f>
        <v>23</v>
      </c>
      <c r="J68" s="59">
        <f>'[1]Synthèse Agence'!J68</f>
        <v>0.16938888888888889</v>
      </c>
      <c r="K68" s="58">
        <f>'[1]Synthèse Agence'!K68</f>
        <v>6</v>
      </c>
      <c r="L68" s="59">
        <f>'[1]Synthèse Agence'!L68</f>
        <v>0.18957044673539522</v>
      </c>
      <c r="M68" s="60">
        <f>'[1]Synthèse Agence'!M68</f>
        <v>3</v>
      </c>
      <c r="N68" s="53">
        <f>'[1]Synthèse Agence'!N68</f>
        <v>1</v>
      </c>
      <c r="O68" s="53">
        <f>'[1]Synthèse Agence'!O68</f>
        <v>0</v>
      </c>
      <c r="P68" s="53">
        <f>'[1]Synthèse Agence'!P68</f>
        <v>0</v>
      </c>
      <c r="Q68" s="53">
        <f>'[1]Synthèse Agence'!Q68</f>
        <v>1</v>
      </c>
      <c r="R68" s="53">
        <f>'[1]Synthèse Agence'!R68</f>
        <v>1</v>
      </c>
      <c r="S68" s="61">
        <f>'[1]Synthèse Agence'!S68</f>
        <v>3</v>
      </c>
      <c r="T68" s="58">
        <f>'[1]Synthèse Agence'!T68</f>
        <v>56</v>
      </c>
      <c r="U68" s="60">
        <f>'[1]Synthèse Agence'!U68</f>
        <v>8</v>
      </c>
      <c r="W68" s="85">
        <v>63</v>
      </c>
      <c r="X68" s="30">
        <f t="shared" si="0"/>
        <v>14</v>
      </c>
      <c r="Y68" s="30">
        <f t="shared" si="1"/>
        <v>14</v>
      </c>
      <c r="Z68" s="30">
        <f t="shared" si="15"/>
        <v>7</v>
      </c>
    </row>
    <row r="69" spans="1:26" x14ac:dyDescent="0.2">
      <c r="A69" s="30">
        <f>'[1]Synthèse Agence'!A69</f>
        <v>43765</v>
      </c>
      <c r="B69" s="66">
        <f>'[1]Synthèse Agence'!B69</f>
        <v>3532</v>
      </c>
      <c r="C69" s="65" t="s">
        <v>122</v>
      </c>
      <c r="D69" s="57">
        <f>'[1]Synthèse Agence'!D69</f>
        <v>0.10884353741496598</v>
      </c>
      <c r="E69" s="58">
        <f>'[1]Synthèse Agence'!E69</f>
        <v>14</v>
      </c>
      <c r="F69" s="59">
        <f>'[1]Synthèse Agence'!F69</f>
        <v>0.11641494069202876</v>
      </c>
      <c r="G69" s="58">
        <f>'[1]Synthèse Agence'!G69</f>
        <v>6</v>
      </c>
      <c r="H69" s="59">
        <f>'[1]Synthèse Agence'!H69</f>
        <v>9.8807264841420439E-2</v>
      </c>
      <c r="I69" s="58">
        <f>'[1]Synthèse Agence'!I69</f>
        <v>7</v>
      </c>
      <c r="J69" s="59">
        <f>'[1]Synthèse Agence'!J69</f>
        <v>0.10680879852895257</v>
      </c>
      <c r="K69" s="58">
        <f>'[1]Synthèse Agence'!K69</f>
        <v>12</v>
      </c>
      <c r="L69" s="59">
        <f>'[1]Synthèse Agence'!L69</f>
        <v>0.13369558321596689</v>
      </c>
      <c r="M69" s="60">
        <f>'[1]Synthèse Agence'!M69</f>
        <v>18</v>
      </c>
      <c r="N69" s="53">
        <f>'[1]Synthèse Agence'!N69</f>
        <v>0</v>
      </c>
      <c r="O69" s="53">
        <f>'[1]Synthèse Agence'!O69</f>
        <v>0</v>
      </c>
      <c r="P69" s="53">
        <f>'[1]Synthèse Agence'!P69</f>
        <v>0</v>
      </c>
      <c r="Q69" s="53">
        <f>'[1]Synthèse Agence'!Q69</f>
        <v>0</v>
      </c>
      <c r="R69" s="53">
        <f>'[1]Synthèse Agence'!R69</f>
        <v>1</v>
      </c>
      <c r="S69" s="61">
        <f>'[1]Synthèse Agence'!S69</f>
        <v>1</v>
      </c>
      <c r="T69" s="58">
        <f>'[1]Synthèse Agence'!T69</f>
        <v>57</v>
      </c>
      <c r="U69" s="60">
        <f>'[1]Synthèse Agence'!U69</f>
        <v>9</v>
      </c>
      <c r="W69" s="30">
        <v>64</v>
      </c>
      <c r="X69" s="30">
        <f t="shared" si="0"/>
        <v>14</v>
      </c>
      <c r="Y69" s="30">
        <f t="shared" si="1"/>
        <v>14</v>
      </c>
      <c r="Z69" s="30">
        <f t="shared" si="15"/>
        <v>7</v>
      </c>
    </row>
    <row r="70" spans="1:26" x14ac:dyDescent="0.2">
      <c r="A70" s="30">
        <f>'[1]Synthèse Agence'!A70</f>
        <v>43747</v>
      </c>
      <c r="B70" s="79">
        <f>'[1]Synthèse Agence'!B70</f>
        <v>5238</v>
      </c>
      <c r="C70" s="56" t="s">
        <v>123</v>
      </c>
      <c r="D70" s="57">
        <f>'[1]Synthèse Agence'!D70</f>
        <v>3.3936651583710412E-2</v>
      </c>
      <c r="E70" s="58">
        <f>'[1]Synthèse Agence'!E70</f>
        <v>23</v>
      </c>
      <c r="F70" s="59">
        <f>'[1]Synthèse Agence'!F70</f>
        <v>6.4536695268683192E-2</v>
      </c>
      <c r="G70" s="58">
        <f>'[1]Synthèse Agence'!G70</f>
        <v>20</v>
      </c>
      <c r="H70" s="59">
        <f>'[1]Synthèse Agence'!H70</f>
        <v>6.836219336219336E-2</v>
      </c>
      <c r="I70" s="58">
        <f>'[1]Synthèse Agence'!I70</f>
        <v>12</v>
      </c>
      <c r="J70" s="59">
        <f>'[1]Synthèse Agence'!J70</f>
        <v>0.18318966372383694</v>
      </c>
      <c r="K70" s="58">
        <f>'[1]Synthèse Agence'!K70</f>
        <v>2</v>
      </c>
      <c r="L70" s="59">
        <f>'[1]Synthèse Agence'!L70</f>
        <v>0.21881953867028492</v>
      </c>
      <c r="M70" s="60">
        <f>'[1]Synthèse Agence'!M70</f>
        <v>1</v>
      </c>
      <c r="N70" s="53">
        <f>'[1]Synthèse Agence'!N70</f>
        <v>0</v>
      </c>
      <c r="O70" s="53">
        <f>'[1]Synthèse Agence'!O70</f>
        <v>0</v>
      </c>
      <c r="P70" s="53">
        <f>'[1]Synthèse Agence'!P70</f>
        <v>0</v>
      </c>
      <c r="Q70" s="53">
        <f>'[1]Synthèse Agence'!Q70</f>
        <v>1</v>
      </c>
      <c r="R70" s="53">
        <f>'[1]Synthèse Agence'!R70</f>
        <v>1</v>
      </c>
      <c r="S70" s="61">
        <f>'[1]Synthèse Agence'!S70</f>
        <v>2</v>
      </c>
      <c r="T70" s="58">
        <f>'[1]Synthèse Agence'!T70</f>
        <v>58</v>
      </c>
      <c r="U70" s="60">
        <f>'[1]Synthèse Agence'!U70</f>
        <v>10</v>
      </c>
      <c r="W70" s="30">
        <v>65</v>
      </c>
      <c r="X70" s="30">
        <f t="shared" si="0"/>
        <v>14</v>
      </c>
      <c r="Y70" s="30">
        <f t="shared" si="1"/>
        <v>14</v>
      </c>
      <c r="Z70" s="30">
        <f t="shared" si="15"/>
        <v>8</v>
      </c>
    </row>
    <row r="71" spans="1:26" x14ac:dyDescent="0.2">
      <c r="A71" s="30">
        <f>'[1]Synthèse Agence'!A71</f>
        <v>43717</v>
      </c>
      <c r="B71" s="67">
        <f>'[1]Synthèse Agence'!B71</f>
        <v>1856</v>
      </c>
      <c r="C71" s="68" t="s">
        <v>124</v>
      </c>
      <c r="D71" s="57">
        <f>'[1]Synthèse Agence'!D71</f>
        <v>9.4576719576719565E-2</v>
      </c>
      <c r="E71" s="58">
        <f>'[1]Synthèse Agence'!E71</f>
        <v>18</v>
      </c>
      <c r="F71" s="59">
        <f>'[1]Synthèse Agence'!F71</f>
        <v>9.7220094762121109E-2</v>
      </c>
      <c r="G71" s="58">
        <f>'[1]Synthèse Agence'!G71</f>
        <v>9</v>
      </c>
      <c r="H71" s="59">
        <f>'[1]Synthèse Agence'!H71</f>
        <v>9.0937500000000004E-2</v>
      </c>
      <c r="I71" s="58">
        <f>'[1]Synthèse Agence'!I71</f>
        <v>9</v>
      </c>
      <c r="J71" s="59">
        <f>'[1]Synthèse Agence'!J71</f>
        <v>0.15076695602403895</v>
      </c>
      <c r="K71" s="58">
        <f>'[1]Synthèse Agence'!K71</f>
        <v>8</v>
      </c>
      <c r="L71" s="59">
        <f>'[1]Synthèse Agence'!L71</f>
        <v>0.13634999659005662</v>
      </c>
      <c r="M71" s="60">
        <f>'[1]Synthèse Agence'!M71</f>
        <v>15</v>
      </c>
      <c r="N71" s="53">
        <f>'[1]Synthèse Agence'!N71</f>
        <v>0</v>
      </c>
      <c r="O71" s="53">
        <f>'[1]Synthèse Agence'!O71</f>
        <v>0</v>
      </c>
      <c r="P71" s="53">
        <f>'[1]Synthèse Agence'!P71</f>
        <v>0</v>
      </c>
      <c r="Q71" s="53">
        <f>'[1]Synthèse Agence'!Q71</f>
        <v>1</v>
      </c>
      <c r="R71" s="53">
        <f>'[1]Synthèse Agence'!R71</f>
        <v>1</v>
      </c>
      <c r="S71" s="61">
        <f>'[1]Synthèse Agence'!S71</f>
        <v>2</v>
      </c>
      <c r="T71" s="58">
        <f>'[1]Synthèse Agence'!T71</f>
        <v>59</v>
      </c>
      <c r="U71" s="60">
        <f>'[1]Synthèse Agence'!U71</f>
        <v>11</v>
      </c>
      <c r="W71" s="30">
        <v>66</v>
      </c>
      <c r="X71" s="30">
        <f t="shared" ref="X71:X134" si="16">IF(ISNA(VLOOKUP(W71,$T$61:$U$84,2,FALSE)),X72,VLOOKUP(W71,$T$61:$U$84,2,FALSE))</f>
        <v>14</v>
      </c>
      <c r="Y71" s="30">
        <f t="shared" ref="Y71:Y134" si="17">IF(ISNA(VLOOKUP(W71,$T$40:$U$59,2,FALSE)),Y72,VLOOKUP(W71,$T$40:$U$59,2,FALSE))</f>
        <v>15</v>
      </c>
      <c r="Z71" s="30">
        <f t="shared" ref="Z71:Z134" si="18">IF(ISNA(VLOOKUP(W71,$T$7:$U$38,2,FALSE)),Z72,VLOOKUP(W71,$T$7:$U$38,2,FALSE))</f>
        <v>9</v>
      </c>
    </row>
    <row r="72" spans="1:26" x14ac:dyDescent="0.2">
      <c r="A72" s="30">
        <f>'[1]Synthèse Agence'!A72</f>
        <v>43812</v>
      </c>
      <c r="B72" s="62">
        <f>'[1]Synthèse Agence'!B72</f>
        <v>8148</v>
      </c>
      <c r="C72" s="63" t="s">
        <v>125</v>
      </c>
      <c r="D72" s="57">
        <f>'[1]Synthèse Agence'!D72</f>
        <v>0.11846153846153847</v>
      </c>
      <c r="E72" s="58">
        <f>'[1]Synthèse Agence'!E72</f>
        <v>9</v>
      </c>
      <c r="F72" s="59">
        <f>'[1]Synthèse Agence'!F72</f>
        <v>9.0870364183093882E-2</v>
      </c>
      <c r="G72" s="58">
        <f>'[1]Synthèse Agence'!G72</f>
        <v>13</v>
      </c>
      <c r="H72" s="59">
        <f>'[1]Synthèse Agence'!H72</f>
        <v>4.7078842881452074E-2</v>
      </c>
      <c r="I72" s="58">
        <f>'[1]Synthèse Agence'!I72</f>
        <v>22</v>
      </c>
      <c r="J72" s="59">
        <f>'[1]Synthèse Agence'!J72</f>
        <v>0.13346804692392927</v>
      </c>
      <c r="K72" s="58">
        <f>'[1]Synthèse Agence'!K72</f>
        <v>9</v>
      </c>
      <c r="L72" s="59">
        <f>'[1]Synthèse Agence'!L72</f>
        <v>0.18794869321242233</v>
      </c>
      <c r="M72" s="60">
        <f>'[1]Synthèse Agence'!M72</f>
        <v>6</v>
      </c>
      <c r="N72" s="53">
        <f>'[1]Synthèse Agence'!N72</f>
        <v>0</v>
      </c>
      <c r="O72" s="53">
        <f>'[1]Synthèse Agence'!O72</f>
        <v>0</v>
      </c>
      <c r="P72" s="53">
        <f>'[1]Synthèse Agence'!P72</f>
        <v>0</v>
      </c>
      <c r="Q72" s="53">
        <f>'[1]Synthèse Agence'!Q72</f>
        <v>1</v>
      </c>
      <c r="R72" s="53">
        <f>'[1]Synthèse Agence'!R72</f>
        <v>1</v>
      </c>
      <c r="S72" s="61">
        <f>'[1]Synthèse Agence'!S72</f>
        <v>2</v>
      </c>
      <c r="T72" s="58">
        <f>'[1]Synthèse Agence'!T72</f>
        <v>59</v>
      </c>
      <c r="U72" s="60">
        <f>'[1]Synthèse Agence'!U72</f>
        <v>11</v>
      </c>
      <c r="W72" s="30">
        <v>67</v>
      </c>
      <c r="X72" s="30">
        <f t="shared" si="16"/>
        <v>14</v>
      </c>
      <c r="Y72" s="30">
        <f t="shared" si="17"/>
        <v>16</v>
      </c>
      <c r="Z72" s="30">
        <f t="shared" si="18"/>
        <v>11</v>
      </c>
    </row>
    <row r="73" spans="1:26" x14ac:dyDescent="0.2">
      <c r="A73" s="30">
        <f>'[1]Synthèse Agence'!A73</f>
        <v>43874</v>
      </c>
      <c r="B73" s="67">
        <f>'[1]Synthèse Agence'!B73</f>
        <v>5236</v>
      </c>
      <c r="C73" s="68" t="s">
        <v>126</v>
      </c>
      <c r="D73" s="57">
        <f>'[1]Synthèse Agence'!D73</f>
        <v>0.11081081081081082</v>
      </c>
      <c r="E73" s="58">
        <f>'[1]Synthèse Agence'!E73</f>
        <v>12</v>
      </c>
      <c r="F73" s="59">
        <f>'[1]Synthèse Agence'!F73</f>
        <v>9.7901095041006761E-2</v>
      </c>
      <c r="G73" s="58">
        <f>'[1]Synthèse Agence'!G73</f>
        <v>8</v>
      </c>
      <c r="H73" s="59">
        <f>'[1]Synthèse Agence'!H73</f>
        <v>7.5333450333450333E-2</v>
      </c>
      <c r="I73" s="58">
        <f>'[1]Synthèse Agence'!I73</f>
        <v>10</v>
      </c>
      <c r="J73" s="59">
        <f>'[1]Synthèse Agence'!J73</f>
        <v>0.12561797198372199</v>
      </c>
      <c r="K73" s="58">
        <f>'[1]Synthèse Agence'!K73</f>
        <v>11</v>
      </c>
      <c r="L73" s="59">
        <f>'[1]Synthèse Agence'!L73</f>
        <v>0.12524285262466878</v>
      </c>
      <c r="M73" s="60">
        <f>'[1]Synthèse Agence'!M73</f>
        <v>20</v>
      </c>
      <c r="N73" s="53">
        <f>'[1]Synthèse Agence'!N73</f>
        <v>0</v>
      </c>
      <c r="O73" s="53">
        <f>'[1]Synthèse Agence'!O73</f>
        <v>0</v>
      </c>
      <c r="P73" s="53">
        <f>'[1]Synthèse Agence'!P73</f>
        <v>0</v>
      </c>
      <c r="Q73" s="53">
        <f>'[1]Synthèse Agence'!Q73</f>
        <v>0</v>
      </c>
      <c r="R73" s="53">
        <f>'[1]Synthèse Agence'!R73</f>
        <v>0</v>
      </c>
      <c r="S73" s="61">
        <f>'[1]Synthèse Agence'!S73</f>
        <v>0</v>
      </c>
      <c r="T73" s="58">
        <f>'[1]Synthèse Agence'!T73</f>
        <v>61</v>
      </c>
      <c r="U73" s="60">
        <f>'[1]Synthèse Agence'!U73</f>
        <v>13</v>
      </c>
      <c r="W73" s="30">
        <v>68</v>
      </c>
      <c r="X73" s="30">
        <f t="shared" si="16"/>
        <v>17</v>
      </c>
      <c r="Y73" s="30">
        <f t="shared" si="17"/>
        <v>16</v>
      </c>
      <c r="Z73" s="30">
        <f t="shared" si="18"/>
        <v>11</v>
      </c>
    </row>
    <row r="74" spans="1:26" x14ac:dyDescent="0.2">
      <c r="A74" s="30">
        <f>'[1]Synthèse Agence'!A74</f>
        <v>43733</v>
      </c>
      <c r="B74" s="64">
        <f>'[1]Synthèse Agence'!B74</f>
        <v>1235</v>
      </c>
      <c r="C74" s="65" t="s">
        <v>127</v>
      </c>
      <c r="D74" s="57">
        <f>'[1]Synthèse Agence'!D74</f>
        <v>0.11482558139534885</v>
      </c>
      <c r="E74" s="58">
        <f>'[1]Synthèse Agence'!E74</f>
        <v>11</v>
      </c>
      <c r="F74" s="59">
        <f>'[1]Synthèse Agence'!F74</f>
        <v>7.3308369447453947E-2</v>
      </c>
      <c r="G74" s="58">
        <f>'[1]Synthèse Agence'!G74</f>
        <v>17</v>
      </c>
      <c r="H74" s="59">
        <f>'[1]Synthèse Agence'!H74</f>
        <v>5.6427015250544665E-2</v>
      </c>
      <c r="I74" s="58">
        <f>'[1]Synthèse Agence'!I74</f>
        <v>17</v>
      </c>
      <c r="J74" s="59">
        <f>'[1]Synthèse Agence'!J74</f>
        <v>7.7002106627775083E-2</v>
      </c>
      <c r="K74" s="58">
        <f>'[1]Synthèse Agence'!K74</f>
        <v>15</v>
      </c>
      <c r="L74" s="59">
        <f>'[1]Synthèse Agence'!L74</f>
        <v>0.17154749031269712</v>
      </c>
      <c r="M74" s="60">
        <f>'[1]Synthèse Agence'!M74</f>
        <v>7</v>
      </c>
      <c r="N74" s="53">
        <f>'[1]Synthèse Agence'!N74</f>
        <v>0</v>
      </c>
      <c r="O74" s="53">
        <f>'[1]Synthèse Agence'!O74</f>
        <v>0</v>
      </c>
      <c r="P74" s="53">
        <f>'[1]Synthèse Agence'!P74</f>
        <v>0</v>
      </c>
      <c r="Q74" s="53">
        <f>'[1]Synthèse Agence'!Q74</f>
        <v>0</v>
      </c>
      <c r="R74" s="53">
        <f>'[1]Synthèse Agence'!R74</f>
        <v>1</v>
      </c>
      <c r="S74" s="61">
        <f>'[1]Synthèse Agence'!S74</f>
        <v>1</v>
      </c>
      <c r="T74" s="58">
        <f>'[1]Synthèse Agence'!T74</f>
        <v>67</v>
      </c>
      <c r="U74" s="60">
        <f>'[1]Synthèse Agence'!U74</f>
        <v>14</v>
      </c>
      <c r="W74" s="30">
        <v>69</v>
      </c>
      <c r="X74" s="30">
        <f t="shared" si="16"/>
        <v>20</v>
      </c>
      <c r="Y74" s="30">
        <f t="shared" si="17"/>
        <v>16</v>
      </c>
      <c r="Z74" s="30">
        <f t="shared" si="18"/>
        <v>12</v>
      </c>
    </row>
    <row r="75" spans="1:26" x14ac:dyDescent="0.2">
      <c r="A75" s="30">
        <f>'[1]Synthèse Agence'!A75</f>
        <v>43816</v>
      </c>
      <c r="B75" s="55">
        <f>'[1]Synthèse Agence'!B75</f>
        <v>8136</v>
      </c>
      <c r="C75" s="56" t="s">
        <v>128</v>
      </c>
      <c r="D75" s="57">
        <f>'[1]Synthèse Agence'!D75</f>
        <v>0.10229885057471264</v>
      </c>
      <c r="E75" s="58">
        <f>'[1]Synthèse Agence'!E75</f>
        <v>15</v>
      </c>
      <c r="F75" s="59">
        <f>'[1]Synthèse Agence'!F75</f>
        <v>6.2128833147284783E-2</v>
      </c>
      <c r="G75" s="58">
        <f>'[1]Synthèse Agence'!G75</f>
        <v>21</v>
      </c>
      <c r="H75" s="59">
        <f>'[1]Synthèse Agence'!H75</f>
        <v>0.10559079163730326</v>
      </c>
      <c r="I75" s="58">
        <f>'[1]Synthèse Agence'!I75</f>
        <v>6</v>
      </c>
      <c r="J75" s="59">
        <f>'[1]Synthèse Agence'!J75</f>
        <v>4.3314470493128539E-2</v>
      </c>
      <c r="K75" s="58">
        <f>'[1]Synthèse Agence'!K75</f>
        <v>22</v>
      </c>
      <c r="L75" s="59">
        <f>'[1]Synthèse Agence'!L75</f>
        <v>0.18957044673539522</v>
      </c>
      <c r="M75" s="60">
        <f>'[1]Synthèse Agence'!M75</f>
        <v>3</v>
      </c>
      <c r="N75" s="53">
        <f>'[1]Synthèse Agence'!N75</f>
        <v>0</v>
      </c>
      <c r="O75" s="53">
        <f>'[1]Synthèse Agence'!O75</f>
        <v>0</v>
      </c>
      <c r="P75" s="53">
        <f>'[1]Synthèse Agence'!P75</f>
        <v>0</v>
      </c>
      <c r="Q75" s="53">
        <f>'[1]Synthèse Agence'!Q75</f>
        <v>0</v>
      </c>
      <c r="R75" s="53">
        <f>'[1]Synthèse Agence'!R75</f>
        <v>1</v>
      </c>
      <c r="S75" s="61">
        <f>'[1]Synthèse Agence'!S75</f>
        <v>1</v>
      </c>
      <c r="T75" s="58">
        <f>'[1]Synthèse Agence'!T75</f>
        <v>67</v>
      </c>
      <c r="U75" s="60">
        <f>'[1]Synthèse Agence'!U75</f>
        <v>14</v>
      </c>
      <c r="W75" s="30">
        <v>70</v>
      </c>
      <c r="X75" s="30">
        <f t="shared" si="16"/>
        <v>20</v>
      </c>
      <c r="Y75" s="30">
        <f t="shared" si="17"/>
        <v>16</v>
      </c>
      <c r="Z75" s="30">
        <f t="shared" si="18"/>
        <v>12</v>
      </c>
    </row>
    <row r="76" spans="1:26" ht="15" x14ac:dyDescent="0.25">
      <c r="A76" s="30">
        <f>'[1]Synthèse Agence'!A76</f>
        <v>43816</v>
      </c>
      <c r="B76" s="64">
        <f>'[1]Synthèse Agence'!B76</f>
        <v>8139</v>
      </c>
      <c r="C76" s="65" t="s">
        <v>129</v>
      </c>
      <c r="D76" s="57">
        <f>'[1]Synthèse Agence'!D76</f>
        <v>0.10119047619047619</v>
      </c>
      <c r="E76" s="58">
        <f>'[1]Synthèse Agence'!E76</f>
        <v>17</v>
      </c>
      <c r="F76" s="59">
        <f>'[1]Synthèse Agence'!F76</f>
        <v>6.9227859368046291E-2</v>
      </c>
      <c r="G76" s="58">
        <f>'[1]Synthèse Agence'!G76</f>
        <v>19</v>
      </c>
      <c r="H76" s="59">
        <f>'[1]Synthèse Agence'!H76</f>
        <v>6.1627200971463264E-2</v>
      </c>
      <c r="I76" s="58">
        <f>'[1]Synthèse Agence'!I76</f>
        <v>15</v>
      </c>
      <c r="J76" s="59">
        <f>'[1]Synthèse Agence'!J76</f>
        <v>9.9397249772411475E-2</v>
      </c>
      <c r="K76" s="58">
        <f>'[1]Synthèse Agence'!K76</f>
        <v>13</v>
      </c>
      <c r="L76" s="59">
        <f>'[1]Synthèse Agence'!L76</f>
        <v>0.18957044673539522</v>
      </c>
      <c r="M76" s="60">
        <f>'[1]Synthèse Agence'!M76</f>
        <v>3</v>
      </c>
      <c r="N76" s="53">
        <f>'[1]Synthèse Agence'!N76</f>
        <v>0</v>
      </c>
      <c r="O76" s="53">
        <f>'[1]Synthèse Agence'!O76</f>
        <v>0</v>
      </c>
      <c r="P76" s="53">
        <f>'[1]Synthèse Agence'!P76</f>
        <v>0</v>
      </c>
      <c r="Q76" s="53">
        <f>'[1]Synthèse Agence'!Q76</f>
        <v>0</v>
      </c>
      <c r="R76" s="53">
        <f>'[1]Synthèse Agence'!R76</f>
        <v>1</v>
      </c>
      <c r="S76" s="61">
        <f>'[1]Synthèse Agence'!S76</f>
        <v>1</v>
      </c>
      <c r="T76" s="58">
        <f>'[1]Synthèse Agence'!T76</f>
        <v>67</v>
      </c>
      <c r="U76" s="60">
        <f>'[1]Synthèse Agence'!U76</f>
        <v>14</v>
      </c>
      <c r="W76" s="26">
        <v>71</v>
      </c>
      <c r="X76" s="30">
        <f t="shared" si="16"/>
        <v>20</v>
      </c>
      <c r="Y76" s="30">
        <f t="shared" si="17"/>
        <v>17</v>
      </c>
      <c r="Z76" s="30">
        <f t="shared" si="18"/>
        <v>14</v>
      </c>
    </row>
    <row r="77" spans="1:26" x14ac:dyDescent="0.2">
      <c r="A77" s="30">
        <f>'[1]Synthèse Agence'!A77</f>
        <v>43711</v>
      </c>
      <c r="B77" s="62">
        <f>'[1]Synthèse Agence'!B77</f>
        <v>1837</v>
      </c>
      <c r="C77" s="63" t="s">
        <v>130</v>
      </c>
      <c r="D77" s="57">
        <f>'[1]Synthèse Agence'!D77</f>
        <v>0.11009339080459771</v>
      </c>
      <c r="E77" s="58">
        <f>'[1]Synthèse Agence'!E77</f>
        <v>13</v>
      </c>
      <c r="F77" s="59">
        <f>'[1]Synthèse Agence'!F77</f>
        <v>9.5209871484447761E-2</v>
      </c>
      <c r="G77" s="58">
        <f>'[1]Synthèse Agence'!G77</f>
        <v>11</v>
      </c>
      <c r="H77" s="59">
        <f>'[1]Synthèse Agence'!H77</f>
        <v>0.12870229007633588</v>
      </c>
      <c r="I77" s="58">
        <f>'[1]Synthèse Agence'!I77</f>
        <v>5</v>
      </c>
      <c r="J77" s="59">
        <f>'[1]Synthèse Agence'!J77</f>
        <v>7.5430538740920094E-2</v>
      </c>
      <c r="K77" s="58">
        <f>'[1]Synthèse Agence'!K77</f>
        <v>16</v>
      </c>
      <c r="L77" s="59">
        <f>'[1]Synthèse Agence'!L77</f>
        <v>0.10754985754985753</v>
      </c>
      <c r="M77" s="60">
        <f>'[1]Synthèse Agence'!M77</f>
        <v>23</v>
      </c>
      <c r="N77" s="53">
        <f>'[1]Synthèse Agence'!N77</f>
        <v>0</v>
      </c>
      <c r="O77" s="53">
        <f>'[1]Synthèse Agence'!O77</f>
        <v>0</v>
      </c>
      <c r="P77" s="53">
        <f>'[1]Synthèse Agence'!P77</f>
        <v>1</v>
      </c>
      <c r="Q77" s="53">
        <f>'[1]Synthèse Agence'!Q77</f>
        <v>0</v>
      </c>
      <c r="R77" s="53">
        <f>'[1]Synthèse Agence'!R77</f>
        <v>0</v>
      </c>
      <c r="S77" s="61">
        <f>'[1]Synthèse Agence'!S77</f>
        <v>1</v>
      </c>
      <c r="T77" s="58">
        <f>'[1]Synthèse Agence'!T77</f>
        <v>68</v>
      </c>
      <c r="U77" s="60">
        <f>'[1]Synthèse Agence'!U77</f>
        <v>17</v>
      </c>
      <c r="W77" s="30">
        <v>72</v>
      </c>
      <c r="X77" s="30">
        <f t="shared" si="16"/>
        <v>20</v>
      </c>
      <c r="Y77" s="30">
        <f t="shared" si="17"/>
        <v>17</v>
      </c>
      <c r="Z77" s="30">
        <f t="shared" si="18"/>
        <v>14</v>
      </c>
    </row>
    <row r="78" spans="1:26" x14ac:dyDescent="0.2">
      <c r="A78" s="30">
        <f>'[1]Synthèse Agence'!A78</f>
        <v>43747</v>
      </c>
      <c r="B78" s="55">
        <f>'[1]Synthèse Agence'!B78</f>
        <v>5241</v>
      </c>
      <c r="C78" s="56" t="s">
        <v>131</v>
      </c>
      <c r="D78" s="57">
        <f>'[1]Synthèse Agence'!D78</f>
        <v>4.4975186104218363E-2</v>
      </c>
      <c r="E78" s="58">
        <f>'[1]Synthèse Agence'!E78</f>
        <v>21</v>
      </c>
      <c r="F78" s="59">
        <f>'[1]Synthèse Agence'!F78</f>
        <v>7.0515217969165336E-2</v>
      </c>
      <c r="G78" s="58">
        <f>'[1]Synthèse Agence'!G78</f>
        <v>18</v>
      </c>
      <c r="H78" s="59">
        <f>'[1]Synthèse Agence'!H78</f>
        <v>6.4325730292116842E-2</v>
      </c>
      <c r="I78" s="58">
        <f>'[1]Synthèse Agence'!I78</f>
        <v>14</v>
      </c>
      <c r="J78" s="59">
        <f>'[1]Synthèse Agence'!J78</f>
        <v>9.3056713928273568E-2</v>
      </c>
      <c r="K78" s="58">
        <f>'[1]Synthèse Agence'!K78</f>
        <v>14</v>
      </c>
      <c r="L78" s="59">
        <f>'[1]Synthèse Agence'!L78</f>
        <v>0.21881953867028492</v>
      </c>
      <c r="M78" s="60">
        <f>'[1]Synthèse Agence'!M78</f>
        <v>1</v>
      </c>
      <c r="N78" s="53">
        <f>'[1]Synthèse Agence'!N78</f>
        <v>0</v>
      </c>
      <c r="O78" s="53">
        <f>'[1]Synthèse Agence'!O78</f>
        <v>0</v>
      </c>
      <c r="P78" s="53">
        <f>'[1]Synthèse Agence'!P78</f>
        <v>0</v>
      </c>
      <c r="Q78" s="53">
        <f>'[1]Synthèse Agence'!Q78</f>
        <v>0</v>
      </c>
      <c r="R78" s="53">
        <f>'[1]Synthèse Agence'!R78</f>
        <v>1</v>
      </c>
      <c r="S78" s="61">
        <f>'[1]Synthèse Agence'!S78</f>
        <v>1</v>
      </c>
      <c r="T78" s="58">
        <f>'[1]Synthèse Agence'!T78</f>
        <v>68</v>
      </c>
      <c r="U78" s="60">
        <f>'[1]Synthèse Agence'!U78</f>
        <v>17</v>
      </c>
      <c r="W78" s="85">
        <v>73</v>
      </c>
      <c r="X78" s="30">
        <f t="shared" si="16"/>
        <v>21</v>
      </c>
      <c r="Y78" s="30">
        <f t="shared" si="17"/>
        <v>17</v>
      </c>
      <c r="Z78" s="30">
        <f t="shared" si="18"/>
        <v>14</v>
      </c>
    </row>
    <row r="79" spans="1:26" x14ac:dyDescent="0.2">
      <c r="A79" s="30">
        <f>'[1]Synthèse Agence'!A79</f>
        <v>43763</v>
      </c>
      <c r="B79" s="62">
        <f>'[1]Synthèse Agence'!B79</f>
        <v>1741</v>
      </c>
      <c r="C79" s="63" t="s">
        <v>132</v>
      </c>
      <c r="D79" s="57">
        <f>'[1]Synthèse Agence'!D79</f>
        <v>0.12248186946011282</v>
      </c>
      <c r="E79" s="58">
        <f>'[1]Synthèse Agence'!E79</f>
        <v>8</v>
      </c>
      <c r="F79" s="59">
        <f>'[1]Synthèse Agence'!F79</f>
        <v>8.9488630369330413E-2</v>
      </c>
      <c r="G79" s="58">
        <f>'[1]Synthèse Agence'!G79</f>
        <v>14</v>
      </c>
      <c r="H79" s="59">
        <f>'[1]Synthèse Agence'!H79</f>
        <v>5.0066021126760563E-2</v>
      </c>
      <c r="I79" s="58">
        <f>'[1]Synthèse Agence'!I79</f>
        <v>21</v>
      </c>
      <c r="J79" s="59">
        <f>'[1]Synthèse Agence'!J79</f>
        <v>6.5481467920914777E-2</v>
      </c>
      <c r="K79" s="58">
        <f>'[1]Synthèse Agence'!K79</f>
        <v>17</v>
      </c>
      <c r="L79" s="59">
        <f>'[1]Synthèse Agence'!L79</f>
        <v>0.16792726624187301</v>
      </c>
      <c r="M79" s="60">
        <f>'[1]Synthèse Agence'!M79</f>
        <v>8</v>
      </c>
      <c r="N79" s="53">
        <f>'[1]Synthèse Agence'!N79</f>
        <v>0</v>
      </c>
      <c r="O79" s="53">
        <f>'[1]Synthèse Agence'!O79</f>
        <v>0</v>
      </c>
      <c r="P79" s="53">
        <f>'[1]Synthèse Agence'!P79</f>
        <v>0</v>
      </c>
      <c r="Q79" s="53">
        <f>'[1]Synthèse Agence'!Q79</f>
        <v>0</v>
      </c>
      <c r="R79" s="53">
        <f>'[1]Synthèse Agence'!R79</f>
        <v>1</v>
      </c>
      <c r="S79" s="61">
        <f>'[1]Synthèse Agence'!S79</f>
        <v>1</v>
      </c>
      <c r="T79" s="58">
        <f>'[1]Synthèse Agence'!T79</f>
        <v>68</v>
      </c>
      <c r="U79" s="60">
        <f>'[1]Synthèse Agence'!U79</f>
        <v>17</v>
      </c>
      <c r="W79" s="30">
        <v>74</v>
      </c>
      <c r="X79" s="30">
        <f t="shared" si="16"/>
        <v>21</v>
      </c>
      <c r="Y79" s="30">
        <f t="shared" si="17"/>
        <v>18</v>
      </c>
      <c r="Z79" s="30">
        <f t="shared" si="18"/>
        <v>14</v>
      </c>
    </row>
    <row r="80" spans="1:26" x14ac:dyDescent="0.2">
      <c r="A80" s="30">
        <f>'[1]Synthèse Agence'!A80</f>
        <v>43703</v>
      </c>
      <c r="B80" s="62">
        <f>'[1]Synthèse Agence'!B80</f>
        <v>1833</v>
      </c>
      <c r="C80" s="63" t="s">
        <v>133</v>
      </c>
      <c r="D80" s="57">
        <f>'[1]Synthèse Agence'!D80</f>
        <v>9.2350746268656719E-2</v>
      </c>
      <c r="E80" s="58">
        <f>'[1]Synthèse Agence'!E80</f>
        <v>19</v>
      </c>
      <c r="F80" s="59">
        <f>'[1]Synthèse Agence'!F80</f>
        <v>0.12266437788766195</v>
      </c>
      <c r="G80" s="58">
        <f>'[1]Synthèse Agence'!G80</f>
        <v>5</v>
      </c>
      <c r="H80" s="59">
        <f>'[1]Synthèse Agence'!H80</f>
        <v>5.5246422893481723E-2</v>
      </c>
      <c r="I80" s="58">
        <f>'[1]Synthèse Agence'!I80</f>
        <v>18</v>
      </c>
      <c r="J80" s="59">
        <f>'[1]Synthèse Agence'!J80</f>
        <v>6.0800179815688915E-2</v>
      </c>
      <c r="K80" s="58">
        <f>'[1]Synthèse Agence'!K80</f>
        <v>18</v>
      </c>
      <c r="L80" s="59">
        <f>'[1]Synthèse Agence'!L80</f>
        <v>0.1367224311386748</v>
      </c>
      <c r="M80" s="60">
        <f>'[1]Synthèse Agence'!M80</f>
        <v>12</v>
      </c>
      <c r="N80" s="53">
        <f>'[1]Synthèse Agence'!N80</f>
        <v>0</v>
      </c>
      <c r="O80" s="53">
        <f>'[1]Synthèse Agence'!O80</f>
        <v>0</v>
      </c>
      <c r="P80" s="53">
        <f>'[1]Synthèse Agence'!P80</f>
        <v>0</v>
      </c>
      <c r="Q80" s="53">
        <f>'[1]Synthèse Agence'!Q80</f>
        <v>0</v>
      </c>
      <c r="R80" s="53">
        <f>'[1]Synthèse Agence'!R80</f>
        <v>1</v>
      </c>
      <c r="S80" s="61">
        <f>'[1]Synthèse Agence'!S80</f>
        <v>1</v>
      </c>
      <c r="T80" s="58">
        <f>'[1]Synthèse Agence'!T80</f>
        <v>72</v>
      </c>
      <c r="U80" s="60">
        <f>'[1]Synthèse Agence'!U80</f>
        <v>20</v>
      </c>
      <c r="W80" s="30">
        <v>75</v>
      </c>
      <c r="X80" s="30">
        <f t="shared" si="16"/>
        <v>21</v>
      </c>
      <c r="Y80" s="30">
        <f t="shared" si="17"/>
        <v>19</v>
      </c>
      <c r="Z80" s="30">
        <f t="shared" si="18"/>
        <v>14</v>
      </c>
    </row>
    <row r="81" spans="1:26" x14ac:dyDescent="0.2">
      <c r="A81" s="30">
        <f>'[1]Synthèse Agence'!A81</f>
        <v>43717</v>
      </c>
      <c r="B81" s="55">
        <f>'[1]Synthèse Agence'!B81</f>
        <v>1846</v>
      </c>
      <c r="C81" s="56" t="s">
        <v>134</v>
      </c>
      <c r="D81" s="57">
        <f>'[1]Synthèse Agence'!D81</f>
        <v>7.6470588235294124E-2</v>
      </c>
      <c r="E81" s="58">
        <f>'[1]Synthèse Agence'!E81</f>
        <v>20</v>
      </c>
      <c r="F81" s="59">
        <f>'[1]Synthèse Agence'!F81</f>
        <v>0.11069807564698075</v>
      </c>
      <c r="G81" s="58">
        <f>'[1]Synthèse Agence'!G81</f>
        <v>7</v>
      </c>
      <c r="H81" s="59">
        <f>'[1]Synthèse Agence'!H81</f>
        <v>5.9874723655121594E-2</v>
      </c>
      <c r="I81" s="58">
        <f>'[1]Synthèse Agence'!I81</f>
        <v>16</v>
      </c>
      <c r="J81" s="59">
        <f>'[1]Synthèse Agence'!J81</f>
        <v>5.3436987213855182E-2</v>
      </c>
      <c r="K81" s="58">
        <f>'[1]Synthèse Agence'!K81</f>
        <v>19</v>
      </c>
      <c r="L81" s="59">
        <f>'[1]Synthèse Agence'!L81</f>
        <v>0.13634999659005662</v>
      </c>
      <c r="M81" s="60">
        <f>'[1]Synthèse Agence'!M81</f>
        <v>15</v>
      </c>
      <c r="N81" s="53">
        <f>'[1]Synthèse Agence'!N81</f>
        <v>0</v>
      </c>
      <c r="O81" s="53">
        <f>'[1]Synthèse Agence'!O81</f>
        <v>0</v>
      </c>
      <c r="P81" s="53">
        <f>'[1]Synthèse Agence'!P81</f>
        <v>0</v>
      </c>
      <c r="Q81" s="53">
        <f>'[1]Synthèse Agence'!Q81</f>
        <v>0</v>
      </c>
      <c r="R81" s="53">
        <f>'[1]Synthèse Agence'!R81</f>
        <v>1</v>
      </c>
      <c r="S81" s="61">
        <f>'[1]Synthèse Agence'!S81</f>
        <v>1</v>
      </c>
      <c r="T81" s="58">
        <f>'[1]Synthèse Agence'!T81</f>
        <v>77</v>
      </c>
      <c r="U81" s="60">
        <f>'[1]Synthèse Agence'!U81</f>
        <v>21</v>
      </c>
      <c r="W81" s="30">
        <v>76</v>
      </c>
      <c r="X81" s="30">
        <f t="shared" si="16"/>
        <v>21</v>
      </c>
      <c r="Y81" s="30">
        <f t="shared" si="17"/>
        <v>19</v>
      </c>
      <c r="Z81" s="30">
        <f t="shared" si="18"/>
        <v>14</v>
      </c>
    </row>
    <row r="82" spans="1:26" x14ac:dyDescent="0.2">
      <c r="A82" s="30">
        <f>'[1]Synthèse Agence'!A82</f>
        <v>43874</v>
      </c>
      <c r="B82" s="62">
        <f>'[1]Synthèse Agence'!B82</f>
        <v>5231</v>
      </c>
      <c r="C82" s="63" t="s">
        <v>135</v>
      </c>
      <c r="D82" s="57">
        <f>'[1]Synthèse Agence'!D82</f>
        <v>0.10225442834138486</v>
      </c>
      <c r="E82" s="58">
        <f>'[1]Synthèse Agence'!E82</f>
        <v>16</v>
      </c>
      <c r="F82" s="59">
        <f>'[1]Synthèse Agence'!F82</f>
        <v>7.5781767955801105E-2</v>
      </c>
      <c r="G82" s="58">
        <f>'[1]Synthèse Agence'!G82</f>
        <v>15</v>
      </c>
      <c r="H82" s="59">
        <f>'[1]Synthèse Agence'!H82</f>
        <v>9.8251959011452672E-2</v>
      </c>
      <c r="I82" s="58">
        <f>'[1]Synthèse Agence'!I82</f>
        <v>8</v>
      </c>
      <c r="J82" s="59">
        <f>'[1]Synthèse Agence'!J82</f>
        <v>4.9663191190253045E-2</v>
      </c>
      <c r="K82" s="58">
        <f>'[1]Synthèse Agence'!K82</f>
        <v>20</v>
      </c>
      <c r="L82" s="59">
        <f>'[1]Synthèse Agence'!L82</f>
        <v>0.12524285262466878</v>
      </c>
      <c r="M82" s="60">
        <f>'[1]Synthèse Agence'!M82</f>
        <v>20</v>
      </c>
      <c r="N82" s="53">
        <f>'[1]Synthèse Agence'!N82</f>
        <v>0</v>
      </c>
      <c r="O82" s="53">
        <f>'[1]Synthèse Agence'!O82</f>
        <v>0</v>
      </c>
      <c r="P82" s="53">
        <f>'[1]Synthèse Agence'!P82</f>
        <v>0</v>
      </c>
      <c r="Q82" s="53">
        <f>'[1]Synthèse Agence'!Q82</f>
        <v>0</v>
      </c>
      <c r="R82" s="53">
        <f>'[1]Synthèse Agence'!R82</f>
        <v>0</v>
      </c>
      <c r="S82" s="61">
        <f>'[1]Synthèse Agence'!S82</f>
        <v>0</v>
      </c>
      <c r="T82" s="58">
        <f>'[1]Synthèse Agence'!T82</f>
        <v>79</v>
      </c>
      <c r="U82" s="60">
        <f>'[1]Synthèse Agence'!U82</f>
        <v>22</v>
      </c>
      <c r="W82" s="30">
        <v>77</v>
      </c>
      <c r="X82" s="30">
        <f t="shared" si="16"/>
        <v>21</v>
      </c>
      <c r="Y82" s="30">
        <f t="shared" si="17"/>
        <v>20</v>
      </c>
      <c r="Z82" s="30">
        <f t="shared" si="18"/>
        <v>15</v>
      </c>
    </row>
    <row r="83" spans="1:26" x14ac:dyDescent="0.2">
      <c r="A83" s="30">
        <f>'[1]Synthèse Agence'!A83</f>
        <v>43717</v>
      </c>
      <c r="B83" s="79">
        <f>'[1]Synthèse Agence'!B83</f>
        <v>1842</v>
      </c>
      <c r="C83" s="56" t="s">
        <v>136</v>
      </c>
      <c r="D83" s="57">
        <f>'[1]Synthèse Agence'!D83</f>
        <v>4.4453186467348541E-2</v>
      </c>
      <c r="E83" s="58">
        <f>'[1]Synthèse Agence'!E83</f>
        <v>22</v>
      </c>
      <c r="F83" s="59">
        <f>'[1]Synthèse Agence'!F83</f>
        <v>4.6492406154662422E-2</v>
      </c>
      <c r="G83" s="58">
        <f>'[1]Synthèse Agence'!G83</f>
        <v>23</v>
      </c>
      <c r="H83" s="59">
        <f>'[1]Synthèse Agence'!H83</f>
        <v>5.2694372638695565E-2</v>
      </c>
      <c r="I83" s="58">
        <f>'[1]Synthèse Agence'!I83</f>
        <v>19</v>
      </c>
      <c r="J83" s="59">
        <f>'[1]Synthèse Agence'!J83</f>
        <v>3.5425086918730989E-2</v>
      </c>
      <c r="K83" s="58">
        <f>'[1]Synthèse Agence'!K83</f>
        <v>23</v>
      </c>
      <c r="L83" s="59">
        <f>'[1]Synthèse Agence'!L83</f>
        <v>0.13634999659005662</v>
      </c>
      <c r="M83" s="60">
        <f>'[1]Synthèse Agence'!M83</f>
        <v>15</v>
      </c>
      <c r="N83" s="53">
        <f>'[1]Synthèse Agence'!N83</f>
        <v>0</v>
      </c>
      <c r="O83" s="53">
        <f>'[1]Synthèse Agence'!O83</f>
        <v>0</v>
      </c>
      <c r="P83" s="53">
        <f>'[1]Synthèse Agence'!P83</f>
        <v>0</v>
      </c>
      <c r="Q83" s="53">
        <f>'[1]Synthèse Agence'!Q83</f>
        <v>0</v>
      </c>
      <c r="R83" s="53">
        <f>'[1]Synthèse Agence'!R83</f>
        <v>1</v>
      </c>
      <c r="S83" s="61">
        <f>'[1]Synthèse Agence'!S83</f>
        <v>1</v>
      </c>
      <c r="T83" s="58">
        <f>'[1]Synthèse Agence'!T83</f>
        <v>102</v>
      </c>
      <c r="U83" s="60">
        <f>'[1]Synthèse Agence'!U83</f>
        <v>23</v>
      </c>
      <c r="W83" s="30">
        <v>78</v>
      </c>
      <c r="X83" s="30">
        <f t="shared" si="16"/>
        <v>22</v>
      </c>
      <c r="Y83" s="30">
        <f t="shared" si="17"/>
        <v>20</v>
      </c>
      <c r="Z83" s="30">
        <f t="shared" si="18"/>
        <v>15</v>
      </c>
    </row>
    <row r="84" spans="1:26" ht="13.5" thickBot="1" x14ac:dyDescent="0.25">
      <c r="A84" s="30">
        <f>'[1]Synthèse Agence'!A84</f>
        <v>43703</v>
      </c>
      <c r="B84" s="80">
        <f>'[1]Synthèse Agence'!B84</f>
        <v>1802</v>
      </c>
      <c r="C84" s="81" t="s">
        <v>137</v>
      </c>
      <c r="D84" s="71">
        <f>'[1]Synthèse Agence'!D84</f>
        <v>0</v>
      </c>
      <c r="E84" s="72">
        <f>'[1]Synthèse Agence'!E84</f>
        <v>24</v>
      </c>
      <c r="F84" s="73">
        <f>'[1]Synthèse Agence'!F84</f>
        <v>1.1363636363636364E-2</v>
      </c>
      <c r="G84" s="72">
        <f>'[1]Synthèse Agence'!G84</f>
        <v>24</v>
      </c>
      <c r="H84" s="73">
        <f>'[1]Synthèse Agence'!H84</f>
        <v>2.6315789473684209E-2</v>
      </c>
      <c r="I84" s="72">
        <f>'[1]Synthèse Agence'!I84</f>
        <v>24</v>
      </c>
      <c r="J84" s="73">
        <f>'[1]Synthèse Agence'!J84</f>
        <v>2.0000000000000001E-4</v>
      </c>
      <c r="K84" s="72">
        <f>'[1]Synthèse Agence'!K84</f>
        <v>24</v>
      </c>
      <c r="L84" s="73">
        <f>'[1]Synthèse Agence'!L84</f>
        <v>0.1367224311386748</v>
      </c>
      <c r="M84" s="74">
        <f>'[1]Synthèse Agence'!M84</f>
        <v>12</v>
      </c>
      <c r="N84" s="53">
        <f>'[1]Synthèse Agence'!N84</f>
        <v>0</v>
      </c>
      <c r="O84" s="53">
        <f>'[1]Synthèse Agence'!O84</f>
        <v>0</v>
      </c>
      <c r="P84" s="53">
        <f>'[1]Synthèse Agence'!P84</f>
        <v>0</v>
      </c>
      <c r="Q84" s="53">
        <f>'[1]Synthèse Agence'!Q84</f>
        <v>0</v>
      </c>
      <c r="R84" s="53">
        <f>'[1]Synthèse Agence'!R84</f>
        <v>1</v>
      </c>
      <c r="S84" s="75">
        <f>'[1]Synthèse Agence'!S84</f>
        <v>1</v>
      </c>
      <c r="T84" s="72">
        <f>'[1]Synthèse Agence'!T84</f>
        <v>108</v>
      </c>
      <c r="U84" s="74">
        <f>'[1]Synthèse Agence'!U84</f>
        <v>24</v>
      </c>
      <c r="W84" s="30">
        <v>79</v>
      </c>
      <c r="X84" s="30">
        <f t="shared" si="16"/>
        <v>22</v>
      </c>
      <c r="Y84" s="30">
        <f t="shared" si="17"/>
        <v>20</v>
      </c>
      <c r="Z84" s="30">
        <f t="shared" si="18"/>
        <v>15</v>
      </c>
    </row>
    <row r="85" spans="1:26" x14ac:dyDescent="0.2">
      <c r="B85" s="82"/>
      <c r="C85" s="83"/>
      <c r="W85" s="30">
        <v>80</v>
      </c>
      <c r="X85" s="30">
        <f t="shared" si="16"/>
        <v>23</v>
      </c>
      <c r="Y85" s="30">
        <f t="shared" si="17"/>
        <v>20</v>
      </c>
      <c r="Z85" s="30">
        <f t="shared" si="18"/>
        <v>16</v>
      </c>
    </row>
    <row r="86" spans="1:26" ht="15" x14ac:dyDescent="0.25">
      <c r="W86" s="26">
        <v>81</v>
      </c>
      <c r="X86" s="30">
        <f t="shared" si="16"/>
        <v>23</v>
      </c>
      <c r="Y86" s="30">
        <f t="shared" si="17"/>
        <v>20</v>
      </c>
      <c r="Z86" s="30">
        <f t="shared" si="18"/>
        <v>16</v>
      </c>
    </row>
    <row r="87" spans="1:26" x14ac:dyDescent="0.2">
      <c r="W87" s="30">
        <v>82</v>
      </c>
      <c r="X87" s="30">
        <f t="shared" si="16"/>
        <v>23</v>
      </c>
      <c r="Y87" s="30">
        <f t="shared" si="17"/>
        <v>20</v>
      </c>
      <c r="Z87" s="30">
        <f t="shared" si="18"/>
        <v>16</v>
      </c>
    </row>
    <row r="88" spans="1:26" x14ac:dyDescent="0.2">
      <c r="W88" s="85">
        <v>83</v>
      </c>
      <c r="X88" s="30">
        <f t="shared" si="16"/>
        <v>23</v>
      </c>
      <c r="Y88" s="30">
        <f t="shared" si="17"/>
        <v>20</v>
      </c>
      <c r="Z88" s="30">
        <f t="shared" si="18"/>
        <v>16</v>
      </c>
    </row>
    <row r="89" spans="1:26" x14ac:dyDescent="0.2">
      <c r="W89" s="30">
        <v>84</v>
      </c>
      <c r="X89" s="30">
        <f t="shared" si="16"/>
        <v>23</v>
      </c>
      <c r="Y89" s="30">
        <f t="shared" si="17"/>
        <v>20</v>
      </c>
      <c r="Z89" s="30">
        <f t="shared" si="18"/>
        <v>16</v>
      </c>
    </row>
    <row r="90" spans="1:26" x14ac:dyDescent="0.2">
      <c r="W90" s="30">
        <v>85</v>
      </c>
      <c r="X90" s="30">
        <f t="shared" si="16"/>
        <v>23</v>
      </c>
      <c r="Y90" s="30">
        <f t="shared" si="17"/>
        <v>20</v>
      </c>
      <c r="Z90" s="30">
        <f t="shared" si="18"/>
        <v>17</v>
      </c>
    </row>
    <row r="91" spans="1:26" x14ac:dyDescent="0.2">
      <c r="W91" s="30">
        <v>86</v>
      </c>
      <c r="X91" s="30">
        <f t="shared" si="16"/>
        <v>23</v>
      </c>
      <c r="Y91" s="30">
        <f t="shared" si="17"/>
        <v>20</v>
      </c>
      <c r="Z91" s="30">
        <f t="shared" si="18"/>
        <v>20</v>
      </c>
    </row>
    <row r="92" spans="1:26" x14ac:dyDescent="0.2">
      <c r="W92" s="30">
        <v>87</v>
      </c>
      <c r="X92" s="30">
        <f t="shared" si="16"/>
        <v>23</v>
      </c>
      <c r="Y92" s="30">
        <f t="shared" si="17"/>
        <v>20</v>
      </c>
      <c r="Z92" s="30">
        <f t="shared" si="18"/>
        <v>20</v>
      </c>
    </row>
    <row r="93" spans="1:26" x14ac:dyDescent="0.2">
      <c r="W93" s="30">
        <v>88</v>
      </c>
      <c r="X93" s="30">
        <f t="shared" si="16"/>
        <v>23</v>
      </c>
      <c r="Y93" s="30">
        <f t="shared" si="17"/>
        <v>20</v>
      </c>
      <c r="Z93" s="30">
        <f t="shared" si="18"/>
        <v>21</v>
      </c>
    </row>
    <row r="94" spans="1:26" x14ac:dyDescent="0.2">
      <c r="W94" s="30">
        <v>89</v>
      </c>
      <c r="X94" s="30">
        <f t="shared" si="16"/>
        <v>23</v>
      </c>
      <c r="Y94" s="30">
        <f t="shared" si="17"/>
        <v>20</v>
      </c>
      <c r="Z94" s="30">
        <f t="shared" si="18"/>
        <v>21</v>
      </c>
    </row>
    <row r="95" spans="1:26" x14ac:dyDescent="0.2">
      <c r="W95" s="30">
        <v>90</v>
      </c>
      <c r="X95" s="30">
        <f t="shared" si="16"/>
        <v>23</v>
      </c>
      <c r="Y95" s="30">
        <f t="shared" si="17"/>
        <v>20</v>
      </c>
      <c r="Z95" s="30">
        <f t="shared" si="18"/>
        <v>21</v>
      </c>
    </row>
    <row r="96" spans="1:26" ht="15" x14ac:dyDescent="0.25">
      <c r="W96" s="26">
        <v>91</v>
      </c>
      <c r="X96" s="30">
        <f t="shared" si="16"/>
        <v>23</v>
      </c>
      <c r="Y96" s="30">
        <f t="shared" si="17"/>
        <v>20</v>
      </c>
      <c r="Z96" s="30">
        <f t="shared" si="18"/>
        <v>21</v>
      </c>
    </row>
    <row r="97" spans="23:26" x14ac:dyDescent="0.2">
      <c r="W97" s="30">
        <v>92</v>
      </c>
      <c r="X97" s="30">
        <f t="shared" si="16"/>
        <v>23</v>
      </c>
      <c r="Y97" s="30">
        <f t="shared" si="17"/>
        <v>20</v>
      </c>
      <c r="Z97" s="30">
        <f t="shared" si="18"/>
        <v>21</v>
      </c>
    </row>
    <row r="98" spans="23:26" x14ac:dyDescent="0.2">
      <c r="W98" s="85">
        <v>93</v>
      </c>
      <c r="X98" s="30">
        <f t="shared" si="16"/>
        <v>23</v>
      </c>
      <c r="Y98" s="30">
        <f t="shared" si="17"/>
        <v>20</v>
      </c>
      <c r="Z98" s="30">
        <f t="shared" si="18"/>
        <v>24</v>
      </c>
    </row>
    <row r="99" spans="23:26" x14ac:dyDescent="0.2">
      <c r="W99" s="30">
        <v>94</v>
      </c>
      <c r="X99" s="30">
        <f t="shared" si="16"/>
        <v>23</v>
      </c>
      <c r="Y99" s="30">
        <f t="shared" si="17"/>
        <v>20</v>
      </c>
      <c r="Z99" s="30">
        <f t="shared" si="18"/>
        <v>24</v>
      </c>
    </row>
    <row r="100" spans="23:26" x14ac:dyDescent="0.2">
      <c r="W100" s="30">
        <v>95</v>
      </c>
      <c r="X100" s="30">
        <f t="shared" si="16"/>
        <v>23</v>
      </c>
      <c r="Y100" s="30">
        <f t="shared" si="17"/>
        <v>20</v>
      </c>
      <c r="Z100" s="30">
        <f t="shared" si="18"/>
        <v>24</v>
      </c>
    </row>
    <row r="101" spans="23:26" x14ac:dyDescent="0.2">
      <c r="W101" s="30">
        <v>96</v>
      </c>
      <c r="X101" s="30">
        <f t="shared" si="16"/>
        <v>23</v>
      </c>
      <c r="Y101" s="30">
        <f t="shared" si="17"/>
        <v>20</v>
      </c>
      <c r="Z101" s="30">
        <f t="shared" si="18"/>
        <v>24</v>
      </c>
    </row>
    <row r="102" spans="23:26" x14ac:dyDescent="0.2">
      <c r="W102" s="30">
        <v>97</v>
      </c>
      <c r="X102" s="30">
        <f t="shared" si="16"/>
        <v>23</v>
      </c>
      <c r="Y102" s="30">
        <f t="shared" si="17"/>
        <v>20</v>
      </c>
      <c r="Z102" s="30">
        <f t="shared" si="18"/>
        <v>24</v>
      </c>
    </row>
    <row r="103" spans="23:26" x14ac:dyDescent="0.2">
      <c r="W103" s="30">
        <v>98</v>
      </c>
      <c r="X103" s="30">
        <f t="shared" si="16"/>
        <v>23</v>
      </c>
      <c r="Y103" s="30">
        <f t="shared" si="17"/>
        <v>20</v>
      </c>
      <c r="Z103" s="30">
        <f t="shared" si="18"/>
        <v>24</v>
      </c>
    </row>
    <row r="104" spans="23:26" x14ac:dyDescent="0.2">
      <c r="W104" s="30">
        <v>99</v>
      </c>
      <c r="X104" s="30">
        <f t="shared" si="16"/>
        <v>23</v>
      </c>
      <c r="Y104" s="30">
        <f t="shared" si="17"/>
        <v>20</v>
      </c>
      <c r="Z104" s="30">
        <f t="shared" si="18"/>
        <v>24</v>
      </c>
    </row>
    <row r="105" spans="23:26" x14ac:dyDescent="0.2">
      <c r="W105" s="30">
        <v>100</v>
      </c>
      <c r="X105" s="30">
        <f t="shared" si="16"/>
        <v>23</v>
      </c>
      <c r="Y105" s="30">
        <f t="shared" si="17"/>
        <v>20</v>
      </c>
      <c r="Z105" s="30">
        <f t="shared" si="18"/>
        <v>24</v>
      </c>
    </row>
    <row r="106" spans="23:26" ht="15" x14ac:dyDescent="0.25">
      <c r="W106" s="26">
        <v>101</v>
      </c>
      <c r="X106" s="30">
        <f t="shared" si="16"/>
        <v>23</v>
      </c>
      <c r="Y106" s="30">
        <f t="shared" si="17"/>
        <v>20</v>
      </c>
      <c r="Z106" s="30">
        <f t="shared" si="18"/>
        <v>26</v>
      </c>
    </row>
    <row r="107" spans="23:26" x14ac:dyDescent="0.2">
      <c r="W107" s="30">
        <v>102</v>
      </c>
      <c r="X107" s="30">
        <f t="shared" si="16"/>
        <v>23</v>
      </c>
      <c r="Y107" s="30">
        <f t="shared" si="17"/>
        <v>20</v>
      </c>
      <c r="Z107" s="30">
        <f t="shared" si="18"/>
        <v>28</v>
      </c>
    </row>
    <row r="108" spans="23:26" x14ac:dyDescent="0.2">
      <c r="W108" s="85">
        <v>103</v>
      </c>
      <c r="X108" s="30">
        <f t="shared" si="16"/>
        <v>24</v>
      </c>
      <c r="Y108" s="30">
        <f t="shared" si="17"/>
        <v>20</v>
      </c>
      <c r="Z108" s="30">
        <f t="shared" si="18"/>
        <v>28</v>
      </c>
    </row>
    <row r="109" spans="23:26" x14ac:dyDescent="0.2">
      <c r="W109" s="30">
        <v>104</v>
      </c>
      <c r="X109" s="30">
        <f t="shared" si="16"/>
        <v>24</v>
      </c>
      <c r="Y109" s="30">
        <f t="shared" si="17"/>
        <v>20</v>
      </c>
      <c r="Z109" s="30">
        <f t="shared" si="18"/>
        <v>28</v>
      </c>
    </row>
    <row r="110" spans="23:26" x14ac:dyDescent="0.2">
      <c r="W110" s="30">
        <v>105</v>
      </c>
      <c r="X110" s="30">
        <f t="shared" si="16"/>
        <v>24</v>
      </c>
      <c r="Y110" s="30">
        <f t="shared" si="17"/>
        <v>20</v>
      </c>
      <c r="Z110" s="30">
        <f t="shared" si="18"/>
        <v>29</v>
      </c>
    </row>
    <row r="111" spans="23:26" x14ac:dyDescent="0.2">
      <c r="W111" s="30">
        <v>106</v>
      </c>
      <c r="X111" s="30">
        <f t="shared" si="16"/>
        <v>24</v>
      </c>
      <c r="Y111" s="30">
        <f t="shared" si="17"/>
        <v>20</v>
      </c>
      <c r="Z111" s="30">
        <f t="shared" si="18"/>
        <v>29</v>
      </c>
    </row>
    <row r="112" spans="23:26" x14ac:dyDescent="0.2">
      <c r="W112" s="30">
        <v>107</v>
      </c>
      <c r="X112" s="30">
        <f t="shared" si="16"/>
        <v>24</v>
      </c>
      <c r="Y112" s="30">
        <f t="shared" si="17"/>
        <v>20</v>
      </c>
      <c r="Z112" s="30">
        <f t="shared" si="18"/>
        <v>30</v>
      </c>
    </row>
    <row r="113" spans="23:26" x14ac:dyDescent="0.2">
      <c r="W113" s="30">
        <v>108</v>
      </c>
      <c r="X113" s="30">
        <f t="shared" si="16"/>
        <v>24</v>
      </c>
      <c r="Y113" s="30">
        <f t="shared" si="17"/>
        <v>20</v>
      </c>
      <c r="Z113" s="30">
        <f t="shared" si="18"/>
        <v>30</v>
      </c>
    </row>
    <row r="114" spans="23:26" x14ac:dyDescent="0.2">
      <c r="W114" s="30">
        <v>109</v>
      </c>
      <c r="X114" s="30">
        <f t="shared" si="16"/>
        <v>24</v>
      </c>
      <c r="Y114" s="30">
        <f t="shared" si="17"/>
        <v>20</v>
      </c>
      <c r="Z114" s="30">
        <f t="shared" si="18"/>
        <v>30</v>
      </c>
    </row>
    <row r="115" spans="23:26" x14ac:dyDescent="0.2">
      <c r="W115" s="30">
        <v>110</v>
      </c>
      <c r="X115" s="30">
        <f t="shared" si="16"/>
        <v>24</v>
      </c>
      <c r="Y115" s="30">
        <f t="shared" si="17"/>
        <v>20</v>
      </c>
      <c r="Z115" s="30">
        <f t="shared" si="18"/>
        <v>31</v>
      </c>
    </row>
    <row r="116" spans="23:26" ht="15" x14ac:dyDescent="0.25">
      <c r="W116" s="26">
        <v>111</v>
      </c>
      <c r="X116" s="30">
        <f t="shared" si="16"/>
        <v>24</v>
      </c>
      <c r="Y116" s="30">
        <f t="shared" si="17"/>
        <v>20</v>
      </c>
      <c r="Z116" s="30">
        <f t="shared" si="18"/>
        <v>31</v>
      </c>
    </row>
    <row r="117" spans="23:26" x14ac:dyDescent="0.2">
      <c r="W117" s="30">
        <v>112</v>
      </c>
      <c r="X117" s="30">
        <f t="shared" si="16"/>
        <v>24</v>
      </c>
      <c r="Y117" s="30">
        <f t="shared" si="17"/>
        <v>20</v>
      </c>
      <c r="Z117" s="30">
        <f t="shared" si="18"/>
        <v>31</v>
      </c>
    </row>
    <row r="118" spans="23:26" x14ac:dyDescent="0.2">
      <c r="W118" s="85">
        <v>113</v>
      </c>
      <c r="X118" s="30">
        <f t="shared" si="16"/>
        <v>24</v>
      </c>
      <c r="Y118" s="30">
        <f t="shared" si="17"/>
        <v>20</v>
      </c>
      <c r="Z118" s="30">
        <f t="shared" si="18"/>
        <v>31</v>
      </c>
    </row>
    <row r="119" spans="23:26" x14ac:dyDescent="0.2">
      <c r="W119" s="30">
        <v>114</v>
      </c>
      <c r="X119" s="30">
        <f t="shared" si="16"/>
        <v>24</v>
      </c>
      <c r="Y119" s="30">
        <f t="shared" si="17"/>
        <v>20</v>
      </c>
      <c r="Z119" s="30">
        <f t="shared" si="18"/>
        <v>31</v>
      </c>
    </row>
    <row r="120" spans="23:26" x14ac:dyDescent="0.2">
      <c r="W120" s="30">
        <v>115</v>
      </c>
      <c r="X120" s="30">
        <f t="shared" si="16"/>
        <v>24</v>
      </c>
      <c r="Y120" s="30">
        <f t="shared" si="17"/>
        <v>20</v>
      </c>
      <c r="Z120" s="30">
        <f t="shared" si="18"/>
        <v>32</v>
      </c>
    </row>
    <row r="121" spans="23:26" x14ac:dyDescent="0.2">
      <c r="W121" s="30">
        <v>116</v>
      </c>
      <c r="X121" s="30">
        <f t="shared" si="16"/>
        <v>24</v>
      </c>
      <c r="Y121" s="30">
        <f t="shared" si="17"/>
        <v>20</v>
      </c>
      <c r="Z121" s="30">
        <f t="shared" si="18"/>
        <v>32</v>
      </c>
    </row>
    <row r="122" spans="23:26" x14ac:dyDescent="0.2">
      <c r="W122" s="30">
        <v>117</v>
      </c>
      <c r="X122" s="30">
        <f t="shared" si="16"/>
        <v>24</v>
      </c>
      <c r="Y122" s="30">
        <f t="shared" si="17"/>
        <v>20</v>
      </c>
      <c r="Z122" s="30">
        <f t="shared" si="18"/>
        <v>32</v>
      </c>
    </row>
    <row r="123" spans="23:26" x14ac:dyDescent="0.2">
      <c r="W123" s="30">
        <v>118</v>
      </c>
      <c r="X123" s="30">
        <f t="shared" si="16"/>
        <v>24</v>
      </c>
      <c r="Y123" s="30">
        <f t="shared" si="17"/>
        <v>20</v>
      </c>
      <c r="Z123" s="30">
        <f t="shared" si="18"/>
        <v>32</v>
      </c>
    </row>
    <row r="124" spans="23:26" x14ac:dyDescent="0.2">
      <c r="W124" s="30">
        <v>119</v>
      </c>
      <c r="X124" s="30">
        <f t="shared" si="16"/>
        <v>24</v>
      </c>
      <c r="Y124" s="30">
        <f t="shared" si="17"/>
        <v>20</v>
      </c>
      <c r="Z124" s="30">
        <f t="shared" si="18"/>
        <v>32</v>
      </c>
    </row>
    <row r="125" spans="23:26" x14ac:dyDescent="0.2">
      <c r="W125" s="30">
        <v>120</v>
      </c>
      <c r="X125" s="30">
        <f t="shared" si="16"/>
        <v>24</v>
      </c>
      <c r="Y125" s="30">
        <f t="shared" si="17"/>
        <v>20</v>
      </c>
      <c r="Z125" s="30">
        <f t="shared" si="18"/>
        <v>32</v>
      </c>
    </row>
    <row r="126" spans="23:26" ht="15" x14ac:dyDescent="0.25">
      <c r="W126" s="26">
        <v>121</v>
      </c>
      <c r="X126" s="30">
        <f t="shared" si="16"/>
        <v>24</v>
      </c>
      <c r="Y126" s="30">
        <f t="shared" si="17"/>
        <v>20</v>
      </c>
      <c r="Z126" s="30">
        <f t="shared" si="18"/>
        <v>32</v>
      </c>
    </row>
    <row r="127" spans="23:26" x14ac:dyDescent="0.2">
      <c r="W127" s="30">
        <v>122</v>
      </c>
      <c r="X127" s="30">
        <f t="shared" si="16"/>
        <v>24</v>
      </c>
      <c r="Y127" s="30">
        <f t="shared" si="17"/>
        <v>20</v>
      </c>
      <c r="Z127" s="30">
        <f t="shared" si="18"/>
        <v>32</v>
      </c>
    </row>
    <row r="128" spans="23:26" x14ac:dyDescent="0.2">
      <c r="W128" s="85">
        <v>123</v>
      </c>
      <c r="X128" s="30">
        <f t="shared" si="16"/>
        <v>24</v>
      </c>
      <c r="Y128" s="30">
        <f t="shared" si="17"/>
        <v>20</v>
      </c>
      <c r="Z128" s="30">
        <f t="shared" si="18"/>
        <v>32</v>
      </c>
    </row>
    <row r="129" spans="23:26" x14ac:dyDescent="0.2">
      <c r="W129" s="30">
        <v>124</v>
      </c>
      <c r="X129" s="30">
        <f t="shared" si="16"/>
        <v>24</v>
      </c>
      <c r="Y129" s="30">
        <f t="shared" si="17"/>
        <v>20</v>
      </c>
      <c r="Z129" s="30">
        <f t="shared" si="18"/>
        <v>32</v>
      </c>
    </row>
    <row r="130" spans="23:26" x14ac:dyDescent="0.2">
      <c r="W130" s="30">
        <v>125</v>
      </c>
      <c r="X130" s="30">
        <f t="shared" si="16"/>
        <v>24</v>
      </c>
      <c r="Y130" s="30">
        <f t="shared" si="17"/>
        <v>20</v>
      </c>
      <c r="Z130" s="30">
        <f t="shared" si="18"/>
        <v>32</v>
      </c>
    </row>
    <row r="131" spans="23:26" x14ac:dyDescent="0.2">
      <c r="W131" s="30">
        <v>126</v>
      </c>
      <c r="X131" s="30">
        <f t="shared" si="16"/>
        <v>24</v>
      </c>
      <c r="Y131" s="30">
        <f t="shared" si="17"/>
        <v>20</v>
      </c>
      <c r="Z131" s="30">
        <f t="shared" si="18"/>
        <v>32</v>
      </c>
    </row>
    <row r="132" spans="23:26" x14ac:dyDescent="0.2">
      <c r="W132" s="30">
        <v>127</v>
      </c>
      <c r="X132" s="30">
        <f t="shared" si="16"/>
        <v>24</v>
      </c>
      <c r="Y132" s="30">
        <f t="shared" si="17"/>
        <v>20</v>
      </c>
      <c r="Z132" s="30">
        <f t="shared" si="18"/>
        <v>32</v>
      </c>
    </row>
    <row r="133" spans="23:26" x14ac:dyDescent="0.2">
      <c r="W133" s="30">
        <v>128</v>
      </c>
      <c r="X133" s="30">
        <f t="shared" si="16"/>
        <v>24</v>
      </c>
      <c r="Y133" s="30">
        <f t="shared" si="17"/>
        <v>20</v>
      </c>
      <c r="Z133" s="30">
        <f t="shared" si="18"/>
        <v>32</v>
      </c>
    </row>
    <row r="134" spans="23:26" x14ac:dyDescent="0.2">
      <c r="W134" s="30">
        <v>129</v>
      </c>
      <c r="X134" s="30">
        <f t="shared" si="16"/>
        <v>24</v>
      </c>
      <c r="Y134" s="30">
        <f t="shared" si="17"/>
        <v>20</v>
      </c>
      <c r="Z134" s="30">
        <f t="shared" si="18"/>
        <v>32</v>
      </c>
    </row>
    <row r="135" spans="23:26" x14ac:dyDescent="0.2">
      <c r="W135" s="30">
        <v>130</v>
      </c>
      <c r="X135" s="30">
        <f t="shared" ref="X135:X165" si="19">IF(ISNA(VLOOKUP(W135,$T$61:$U$84,2,FALSE)),X136,VLOOKUP(W135,$T$61:$U$84,2,FALSE))</f>
        <v>24</v>
      </c>
      <c r="Y135" s="30">
        <f t="shared" ref="Y135:Y165" si="20">IF(ISNA(VLOOKUP(W135,$T$40:$U$59,2,FALSE)),Y136,VLOOKUP(W135,$T$40:$U$59,2,FALSE))</f>
        <v>20</v>
      </c>
      <c r="Z135" s="30">
        <f t="shared" ref="Z135:Z165" si="21">IF(ISNA(VLOOKUP(W135,$T$7:$U$38,2,FALSE)),Z136,VLOOKUP(W135,$T$7:$U$38,2,FALSE))</f>
        <v>32</v>
      </c>
    </row>
    <row r="136" spans="23:26" ht="15" x14ac:dyDescent="0.25">
      <c r="W136" s="26">
        <v>131</v>
      </c>
      <c r="X136" s="30">
        <f t="shared" si="19"/>
        <v>24</v>
      </c>
      <c r="Y136" s="30">
        <f t="shared" si="20"/>
        <v>20</v>
      </c>
      <c r="Z136" s="30">
        <f t="shared" si="21"/>
        <v>32</v>
      </c>
    </row>
    <row r="137" spans="23:26" x14ac:dyDescent="0.2">
      <c r="W137" s="30">
        <v>132</v>
      </c>
      <c r="X137" s="30">
        <f t="shared" si="19"/>
        <v>24</v>
      </c>
      <c r="Y137" s="30">
        <f t="shared" si="20"/>
        <v>20</v>
      </c>
      <c r="Z137" s="30">
        <f t="shared" si="21"/>
        <v>32</v>
      </c>
    </row>
    <row r="138" spans="23:26" x14ac:dyDescent="0.2">
      <c r="W138" s="85">
        <v>133</v>
      </c>
      <c r="X138" s="30">
        <f t="shared" si="19"/>
        <v>24</v>
      </c>
      <c r="Y138" s="30">
        <f t="shared" si="20"/>
        <v>20</v>
      </c>
      <c r="Z138" s="30">
        <f t="shared" si="21"/>
        <v>32</v>
      </c>
    </row>
    <row r="139" spans="23:26" x14ac:dyDescent="0.2">
      <c r="W139" s="30">
        <v>134</v>
      </c>
      <c r="X139" s="30">
        <f t="shared" si="19"/>
        <v>24</v>
      </c>
      <c r="Y139" s="30">
        <f t="shared" si="20"/>
        <v>20</v>
      </c>
      <c r="Z139" s="30">
        <f t="shared" si="21"/>
        <v>32</v>
      </c>
    </row>
    <row r="140" spans="23:26" x14ac:dyDescent="0.2">
      <c r="W140" s="30">
        <v>135</v>
      </c>
      <c r="X140" s="30">
        <f t="shared" si="19"/>
        <v>24</v>
      </c>
      <c r="Y140" s="30">
        <f t="shared" si="20"/>
        <v>20</v>
      </c>
      <c r="Z140" s="30">
        <f t="shared" si="21"/>
        <v>32</v>
      </c>
    </row>
    <row r="141" spans="23:26" x14ac:dyDescent="0.2">
      <c r="W141" s="30">
        <v>136</v>
      </c>
      <c r="X141" s="30">
        <f t="shared" si="19"/>
        <v>24</v>
      </c>
      <c r="Y141" s="30">
        <f t="shared" si="20"/>
        <v>20</v>
      </c>
      <c r="Z141" s="30">
        <f t="shared" si="21"/>
        <v>32</v>
      </c>
    </row>
    <row r="142" spans="23:26" x14ac:dyDescent="0.2">
      <c r="W142" s="30">
        <v>137</v>
      </c>
      <c r="X142" s="30">
        <f t="shared" si="19"/>
        <v>24</v>
      </c>
      <c r="Y142" s="30">
        <f t="shared" si="20"/>
        <v>20</v>
      </c>
      <c r="Z142" s="30">
        <f t="shared" si="21"/>
        <v>32</v>
      </c>
    </row>
    <row r="143" spans="23:26" x14ac:dyDescent="0.2">
      <c r="W143" s="30">
        <v>138</v>
      </c>
      <c r="X143" s="30">
        <f t="shared" si="19"/>
        <v>24</v>
      </c>
      <c r="Y143" s="30">
        <f t="shared" si="20"/>
        <v>20</v>
      </c>
      <c r="Z143" s="30">
        <f t="shared" si="21"/>
        <v>32</v>
      </c>
    </row>
    <row r="144" spans="23:26" x14ac:dyDescent="0.2">
      <c r="W144" s="30">
        <v>139</v>
      </c>
      <c r="X144" s="30">
        <f t="shared" si="19"/>
        <v>24</v>
      </c>
      <c r="Y144" s="30">
        <f t="shared" si="20"/>
        <v>20</v>
      </c>
      <c r="Z144" s="30">
        <f t="shared" si="21"/>
        <v>32</v>
      </c>
    </row>
    <row r="145" spans="23:26" x14ac:dyDescent="0.2">
      <c r="W145" s="30">
        <v>140</v>
      </c>
      <c r="X145" s="30">
        <f t="shared" si="19"/>
        <v>24</v>
      </c>
      <c r="Y145" s="30">
        <f t="shared" si="20"/>
        <v>20</v>
      </c>
      <c r="Z145" s="30">
        <f t="shared" si="21"/>
        <v>32</v>
      </c>
    </row>
    <row r="146" spans="23:26" ht="15" x14ac:dyDescent="0.25">
      <c r="W146" s="26">
        <v>141</v>
      </c>
      <c r="X146" s="30">
        <f t="shared" si="19"/>
        <v>24</v>
      </c>
      <c r="Y146" s="30">
        <f t="shared" si="20"/>
        <v>20</v>
      </c>
      <c r="Z146" s="30">
        <f t="shared" si="21"/>
        <v>32</v>
      </c>
    </row>
    <row r="147" spans="23:26" x14ac:dyDescent="0.2">
      <c r="W147" s="30">
        <v>142</v>
      </c>
      <c r="X147" s="30">
        <f t="shared" si="19"/>
        <v>24</v>
      </c>
      <c r="Y147" s="30">
        <f t="shared" si="20"/>
        <v>20</v>
      </c>
      <c r="Z147" s="30">
        <f t="shared" si="21"/>
        <v>32</v>
      </c>
    </row>
    <row r="148" spans="23:26" x14ac:dyDescent="0.2">
      <c r="W148" s="85">
        <v>143</v>
      </c>
      <c r="X148" s="30">
        <f t="shared" si="19"/>
        <v>24</v>
      </c>
      <c r="Y148" s="30">
        <f t="shared" si="20"/>
        <v>20</v>
      </c>
      <c r="Z148" s="30">
        <f>IF(ISNA(VLOOKUP(W148,$T$7:$U$38,2,FALSE)),Z149,VLOOKUP(W148,$T$7:$U$38,2,FALSE))</f>
        <v>32</v>
      </c>
    </row>
    <row r="149" spans="23:26" x14ac:dyDescent="0.2">
      <c r="W149" s="30">
        <v>144</v>
      </c>
      <c r="X149" s="30">
        <f t="shared" si="19"/>
        <v>24</v>
      </c>
      <c r="Y149" s="30">
        <f t="shared" si="20"/>
        <v>20</v>
      </c>
      <c r="Z149" s="30">
        <f t="shared" si="21"/>
        <v>32</v>
      </c>
    </row>
    <row r="150" spans="23:26" x14ac:dyDescent="0.2">
      <c r="W150" s="30">
        <v>145</v>
      </c>
      <c r="X150" s="30">
        <f t="shared" si="19"/>
        <v>24</v>
      </c>
      <c r="Y150" s="30">
        <f t="shared" si="20"/>
        <v>20</v>
      </c>
      <c r="Z150" s="30">
        <f t="shared" si="21"/>
        <v>32</v>
      </c>
    </row>
    <row r="151" spans="23:26" x14ac:dyDescent="0.2">
      <c r="W151" s="30">
        <v>146</v>
      </c>
      <c r="X151" s="30">
        <f t="shared" si="19"/>
        <v>24</v>
      </c>
      <c r="Y151" s="30">
        <f t="shared" si="20"/>
        <v>20</v>
      </c>
      <c r="Z151" s="30">
        <f t="shared" si="21"/>
        <v>32</v>
      </c>
    </row>
    <row r="152" spans="23:26" x14ac:dyDescent="0.2">
      <c r="W152" s="30">
        <v>147</v>
      </c>
      <c r="X152" s="30">
        <f t="shared" si="19"/>
        <v>24</v>
      </c>
      <c r="Y152" s="30">
        <f t="shared" si="20"/>
        <v>20</v>
      </c>
      <c r="Z152" s="30">
        <f t="shared" si="21"/>
        <v>32</v>
      </c>
    </row>
    <row r="153" spans="23:26" x14ac:dyDescent="0.2">
      <c r="W153" s="30">
        <v>148</v>
      </c>
      <c r="X153" s="30">
        <f t="shared" si="19"/>
        <v>24</v>
      </c>
      <c r="Y153" s="30">
        <f t="shared" si="20"/>
        <v>20</v>
      </c>
      <c r="Z153" s="30">
        <f t="shared" si="21"/>
        <v>32</v>
      </c>
    </row>
    <row r="154" spans="23:26" x14ac:dyDescent="0.2">
      <c r="W154" s="30">
        <v>149</v>
      </c>
      <c r="X154" s="30">
        <f t="shared" si="19"/>
        <v>24</v>
      </c>
      <c r="Y154" s="30">
        <f t="shared" si="20"/>
        <v>20</v>
      </c>
      <c r="Z154" s="30">
        <f t="shared" si="21"/>
        <v>32</v>
      </c>
    </row>
    <row r="155" spans="23:26" x14ac:dyDescent="0.2">
      <c r="W155" s="30">
        <v>150</v>
      </c>
      <c r="X155" s="30">
        <f t="shared" si="19"/>
        <v>24</v>
      </c>
      <c r="Y155" s="30">
        <f t="shared" si="20"/>
        <v>20</v>
      </c>
      <c r="Z155" s="30">
        <f t="shared" si="21"/>
        <v>32</v>
      </c>
    </row>
    <row r="156" spans="23:26" ht="15" x14ac:dyDescent="0.25">
      <c r="W156" s="26">
        <v>151</v>
      </c>
      <c r="X156" s="30">
        <f t="shared" si="19"/>
        <v>24</v>
      </c>
      <c r="Y156" s="30">
        <f t="shared" si="20"/>
        <v>20</v>
      </c>
      <c r="Z156" s="30">
        <f t="shared" si="21"/>
        <v>32</v>
      </c>
    </row>
    <row r="157" spans="23:26" x14ac:dyDescent="0.2">
      <c r="W157" s="30">
        <v>152</v>
      </c>
      <c r="X157" s="30">
        <f t="shared" si="19"/>
        <v>24</v>
      </c>
      <c r="Y157" s="30">
        <f t="shared" si="20"/>
        <v>20</v>
      </c>
      <c r="Z157" s="30">
        <f t="shared" si="21"/>
        <v>32</v>
      </c>
    </row>
    <row r="158" spans="23:26" x14ac:dyDescent="0.2">
      <c r="W158" s="85">
        <v>153</v>
      </c>
      <c r="X158" s="30">
        <f t="shared" si="19"/>
        <v>24</v>
      </c>
      <c r="Y158" s="30">
        <f t="shared" si="20"/>
        <v>20</v>
      </c>
      <c r="Z158" s="30">
        <f t="shared" si="21"/>
        <v>32</v>
      </c>
    </row>
    <row r="159" spans="23:26" x14ac:dyDescent="0.2">
      <c r="W159" s="30">
        <v>154</v>
      </c>
      <c r="X159" s="30">
        <f t="shared" si="19"/>
        <v>24</v>
      </c>
      <c r="Y159" s="30">
        <f t="shared" si="20"/>
        <v>20</v>
      </c>
      <c r="Z159" s="30">
        <f t="shared" si="21"/>
        <v>32</v>
      </c>
    </row>
    <row r="160" spans="23:26" x14ac:dyDescent="0.2">
      <c r="W160" s="30">
        <v>155</v>
      </c>
      <c r="X160" s="30">
        <f t="shared" si="19"/>
        <v>24</v>
      </c>
      <c r="Y160" s="30">
        <f t="shared" si="20"/>
        <v>20</v>
      </c>
      <c r="Z160" s="30">
        <f t="shared" si="21"/>
        <v>32</v>
      </c>
    </row>
    <row r="161" spans="23:26" x14ac:dyDescent="0.2">
      <c r="W161" s="30">
        <v>156</v>
      </c>
      <c r="X161" s="30">
        <f t="shared" si="19"/>
        <v>24</v>
      </c>
      <c r="Y161" s="30">
        <f t="shared" si="20"/>
        <v>20</v>
      </c>
      <c r="Z161" s="30">
        <f t="shared" si="21"/>
        <v>32</v>
      </c>
    </row>
    <row r="162" spans="23:26" x14ac:dyDescent="0.2">
      <c r="W162" s="30">
        <v>157</v>
      </c>
      <c r="X162" s="30">
        <f t="shared" si="19"/>
        <v>24</v>
      </c>
      <c r="Y162" s="30">
        <f t="shared" si="20"/>
        <v>20</v>
      </c>
      <c r="Z162" s="30">
        <f t="shared" si="21"/>
        <v>32</v>
      </c>
    </row>
    <row r="163" spans="23:26" x14ac:dyDescent="0.2">
      <c r="W163" s="30">
        <v>158</v>
      </c>
      <c r="X163" s="30">
        <f t="shared" si="19"/>
        <v>24</v>
      </c>
      <c r="Y163" s="30">
        <f t="shared" si="20"/>
        <v>20</v>
      </c>
      <c r="Z163" s="30">
        <f t="shared" si="21"/>
        <v>32</v>
      </c>
    </row>
    <row r="164" spans="23:26" x14ac:dyDescent="0.2">
      <c r="W164" s="30">
        <v>159</v>
      </c>
      <c r="X164" s="30">
        <f t="shared" si="19"/>
        <v>24</v>
      </c>
      <c r="Y164" s="30">
        <f t="shared" si="20"/>
        <v>20</v>
      </c>
      <c r="Z164" s="30">
        <f t="shared" si="21"/>
        <v>32</v>
      </c>
    </row>
    <row r="165" spans="23:26" x14ac:dyDescent="0.2">
      <c r="W165" s="30">
        <v>160</v>
      </c>
      <c r="X165" s="30">
        <f t="shared" si="19"/>
        <v>24</v>
      </c>
      <c r="Y165" s="30">
        <f t="shared" si="20"/>
        <v>20</v>
      </c>
      <c r="Z165" s="30">
        <f t="shared" si="21"/>
        <v>32</v>
      </c>
    </row>
    <row r="166" spans="23:26" x14ac:dyDescent="0.2">
      <c r="X166" s="36">
        <f>MAX(U61:U84)</f>
        <v>24</v>
      </c>
      <c r="Y166" s="36">
        <f>MAX(U40:U59)</f>
        <v>20</v>
      </c>
      <c r="Z166" s="30">
        <v>32</v>
      </c>
    </row>
  </sheetData>
  <mergeCells count="19">
    <mergeCell ref="AB5:AE5"/>
    <mergeCell ref="AG5:AJ5"/>
    <mergeCell ref="B60:C60"/>
    <mergeCell ref="D60:M60"/>
    <mergeCell ref="T60:U60"/>
    <mergeCell ref="B6:C6"/>
    <mergeCell ref="D6:M6"/>
    <mergeCell ref="B39:C39"/>
    <mergeCell ref="D39:M39"/>
    <mergeCell ref="T39:U39"/>
    <mergeCell ref="D3:U3"/>
    <mergeCell ref="D4:E4"/>
    <mergeCell ref="F4:G4"/>
    <mergeCell ref="H4:I4"/>
    <mergeCell ref="J4:K4"/>
    <mergeCell ref="L4:M4"/>
    <mergeCell ref="S4:S6"/>
    <mergeCell ref="T4:T6"/>
    <mergeCell ref="U4:U6"/>
  </mergeCells>
  <conditionalFormatting sqref="D7:D38 F7:F38 H7:H38 J7:J38 L7:L38 D52:D59 F52:F59 H52:H59 J52:J59 L52:L59">
    <cfRule type="cellIs" dxfId="12" priority="13" operator="greaterThanOrEqual">
      <formula>$B$1</formula>
    </cfRule>
  </conditionalFormatting>
  <conditionalFormatting sqref="U61:U84">
    <cfRule type="cellIs" dxfId="11" priority="12" operator="between">
      <formula>1</formula>
      <formula>4</formula>
    </cfRule>
  </conditionalFormatting>
  <conditionalFormatting sqref="U40:U41 U45:U59">
    <cfRule type="cellIs" dxfId="10" priority="11" operator="between">
      <formula>1</formula>
      <formula>3</formula>
    </cfRule>
  </conditionalFormatting>
  <conditionalFormatting sqref="U7:U38">
    <cfRule type="cellIs" dxfId="9" priority="10" operator="between">
      <formula>1</formula>
      <formula>6</formula>
    </cfRule>
  </conditionalFormatting>
  <conditionalFormatting sqref="D40:D41 D61:D84 F61:F84 F40:F41 H40:H41 H61:H84 J61:J84 J40:J41 L40:L41 L61:L84 L45:L50 J45:J50 H45:H50 F45:F50 D45:D50">
    <cfRule type="cellIs" dxfId="8" priority="9" operator="greaterThanOrEqual">
      <formula>$B$1</formula>
    </cfRule>
  </conditionalFormatting>
  <conditionalFormatting sqref="D51 F51 H51 J51 L51">
    <cfRule type="cellIs" dxfId="7" priority="8" operator="greaterThanOrEqual">
      <formula>$B$1</formula>
    </cfRule>
  </conditionalFormatting>
  <conditionalFormatting sqref="S40:S41 S61:S84 S7:S38 S45:S59">
    <cfRule type="cellIs" dxfId="6" priority="7" operator="greaterThanOrEqual">
      <formula>4</formula>
    </cfRule>
  </conditionalFormatting>
  <conditionalFormatting sqref="U42:U43">
    <cfRule type="cellIs" dxfId="5" priority="6" operator="between">
      <formula>1</formula>
      <formula>3</formula>
    </cfRule>
  </conditionalFormatting>
  <conditionalFormatting sqref="L42:L43 J42:J43 H42:H43 F42:F43 D42:D43">
    <cfRule type="cellIs" dxfId="4" priority="5" operator="greaterThanOrEqual">
      <formula>$B$1</formula>
    </cfRule>
  </conditionalFormatting>
  <conditionalFormatting sqref="S42:S43">
    <cfRule type="cellIs" dxfId="3" priority="4" operator="greaterThanOrEqual">
      <formula>4</formula>
    </cfRule>
  </conditionalFormatting>
  <conditionalFormatting sqref="U44">
    <cfRule type="cellIs" dxfId="2" priority="3" operator="between">
      <formula>1</formula>
      <formula>3</formula>
    </cfRule>
  </conditionalFormatting>
  <conditionalFormatting sqref="L44 J44 H44 F44 D44">
    <cfRule type="cellIs" dxfId="1" priority="2" operator="greaterThanOrEqual">
      <formula>$B$1</formula>
    </cfRule>
  </conditionalFormatting>
  <conditionalFormatting sqref="S44">
    <cfRule type="cellIs" dxfId="0" priority="1" operator="greaterThanOrEqual">
      <formula>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Anim Commerciale</vt:lpstr>
      <vt:lpstr>Paramètres</vt:lpstr>
      <vt:lpstr>Synthèse Magasins</vt:lpstr>
      <vt:lpstr>AGENCES</vt:lpstr>
      <vt:lpstr>prob</vt:lpstr>
      <vt:lpstr>RANGPROA</vt:lpstr>
      <vt:lpstr>RANGPROB</vt:lpstr>
      <vt:lpstr>RANGPROC</vt:lpstr>
    </vt:vector>
  </TitlesOfParts>
  <Company>LCL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SMIA MICHA Aurelien (LCL)</dc:creator>
  <cp:lastModifiedBy>Utilisateur Windows</cp:lastModifiedBy>
  <cp:lastPrinted>2018-02-09T17:02:22Z</cp:lastPrinted>
  <dcterms:created xsi:type="dcterms:W3CDTF">2017-04-19T08:07:15Z</dcterms:created>
  <dcterms:modified xsi:type="dcterms:W3CDTF">2018-02-12T09:21:15Z</dcterms:modified>
</cp:coreProperties>
</file>