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827"/>
  <workbookPr filterPrivacy="1"/>
  <bookViews>
    <workbookView xWindow="0" yWindow="0" windowWidth="22260" windowHeight="12645" activeTab="1"/>
  </bookViews>
  <sheets>
    <sheet name="LISTE " sheetId="5" r:id="rId1"/>
    <sheet name="SUIVI STOCK" sheetId="6" r:id="rId2"/>
    <sheet name="FICHE DE MOUVEMENT" sheetId="7" r:id="rId3"/>
  </sheets>
  <definedNames>
    <definedName name="MesMouvements">TCategorie[Catégorie]</definedName>
    <definedName name="MesProduits">TProduits[Produits]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6" l="1"/>
  <c r="G2" i="6" l="1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19" i="6"/>
  <c r="G20" i="6"/>
  <c r="G21" i="6"/>
  <c r="K4" i="6" l="1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19" i="6"/>
  <c r="K20" i="6"/>
  <c r="K21" i="6"/>
  <c r="F5" i="6"/>
  <c r="F2" i="6"/>
  <c r="F3" i="6"/>
  <c r="L2" i="6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19" i="6"/>
  <c r="L20" i="6"/>
  <c r="L21" i="6"/>
  <c r="H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M5" i="6" l="1"/>
  <c r="M14" i="6"/>
  <c r="M10" i="6"/>
  <c r="M6" i="6"/>
  <c r="M2" i="6"/>
  <c r="M21" i="6"/>
  <c r="M17" i="6"/>
  <c r="M13" i="6"/>
  <c r="M9" i="6"/>
  <c r="M20" i="6"/>
  <c r="M16" i="6"/>
  <c r="M12" i="6"/>
  <c r="M8" i="6"/>
  <c r="M4" i="6"/>
  <c r="M18" i="6"/>
  <c r="M19" i="6"/>
  <c r="M15" i="6"/>
  <c r="M11" i="6"/>
  <c r="M7" i="6"/>
  <c r="M3" i="6"/>
  <c r="I2" i="6" l="1"/>
  <c r="I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H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F4" i="6" l="1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19" i="6"/>
  <c r="F20" i="6"/>
  <c r="F21" i="6"/>
  <c r="J14" i="6" l="1"/>
  <c r="J18" i="6"/>
  <c r="J6" i="6"/>
  <c r="J10" i="6"/>
  <c r="J21" i="6"/>
  <c r="J17" i="6"/>
  <c r="J13" i="6"/>
  <c r="J9" i="6"/>
  <c r="J5" i="6"/>
  <c r="J20" i="6"/>
  <c r="J16" i="6"/>
  <c r="J12" i="6"/>
  <c r="J8" i="6"/>
  <c r="J4" i="6"/>
  <c r="J19" i="6"/>
  <c r="J15" i="6"/>
  <c r="J11" i="6"/>
  <c r="J7" i="6"/>
  <c r="J3" i="6"/>
  <c r="J2" i="6"/>
</calcChain>
</file>

<file path=xl/sharedStrings.xml><?xml version="1.0" encoding="utf-8"?>
<sst xmlns="http://schemas.openxmlformats.org/spreadsheetml/2006/main" count="117" uniqueCount="55">
  <si>
    <t>DATE</t>
  </si>
  <si>
    <t>Produits</t>
  </si>
  <si>
    <t>N°Commande</t>
  </si>
  <si>
    <t>Mouvement</t>
  </si>
  <si>
    <t>Quantité</t>
  </si>
  <si>
    <t>Solde</t>
  </si>
  <si>
    <t>CMD-112017</t>
  </si>
  <si>
    <t>Catégorie</t>
  </si>
  <si>
    <t>Entrée</t>
  </si>
  <si>
    <t>Sortie</t>
  </si>
  <si>
    <t>Hivernage CTX 551 5 L</t>
  </si>
  <si>
    <t>Hivernage Extra 5 Fonctions CTX 552 5 L</t>
  </si>
  <si>
    <t>HIVERNAGE Complet Chemoform 5 L</t>
  </si>
  <si>
    <t>HIVERNAGE Complet Chemoform  3 L</t>
  </si>
  <si>
    <t>Nettoyant Détartrant Filtre Chemoform 1 L</t>
  </si>
  <si>
    <t xml:space="preserve">Anti Algues Standart ALGEN EX Chemoform 5L </t>
  </si>
  <si>
    <t xml:space="preserve">Anti Algues Haute Performance AlBA SUPER K Chemoform 5L </t>
  </si>
  <si>
    <t>Chlore T-Comprimé Choc Stabilisé 20 G Chemoform Seau 5 KG</t>
  </si>
  <si>
    <t>Chlore Lent Stabilisé Désinf L.D Galets 90/250 Chemoform Seau 5 KG</t>
  </si>
  <si>
    <t>Chlore Stabilisé + Anti Algues Granulé L.D Chemoform Bte 1 KG</t>
  </si>
  <si>
    <t>Chlore 5 actions Galets 200 G Chemoform Seau 5 KG</t>
  </si>
  <si>
    <t>Stabilisant Chlore Granulé Sel Chemoform Seau 5 KG</t>
  </si>
  <si>
    <t>Neutraliseur Chlore/Brome CTX Seau 6 KG</t>
  </si>
  <si>
    <t>Nettoyant Détartrant Filtre à sable CTX 5L</t>
  </si>
  <si>
    <t>Désinfectant Lyner CTX 5 L</t>
  </si>
  <si>
    <t>Anti-Algues Pastilles CTX 5X20G</t>
  </si>
  <si>
    <t>Anti-Algues Ultra puissant CTX 530 5 L</t>
  </si>
  <si>
    <t>Anti-Algues Curatif Trichlore ctx 300 GR 5 L</t>
  </si>
  <si>
    <t xml:space="preserve">Kit Traitement Eau Complet 8 Multi-doses Mensuel CTX </t>
  </si>
  <si>
    <t>Chlore Désinfection Choc Pastille Moonchoc Seau 5kg</t>
  </si>
  <si>
    <t>Stock Initial</t>
  </si>
  <si>
    <t>Stock Sécurité</t>
  </si>
  <si>
    <t>Stock Minimun</t>
  </si>
  <si>
    <t>Code Fournisseur</t>
  </si>
  <si>
    <t>Alerte</t>
  </si>
  <si>
    <t>Fournisseur</t>
  </si>
  <si>
    <t>ASTRALPOOL</t>
  </si>
  <si>
    <t>DEL CLASS CEC</t>
  </si>
  <si>
    <t>PUR5</t>
  </si>
  <si>
    <t>PUR3</t>
  </si>
  <si>
    <t>CLEAN1</t>
  </si>
  <si>
    <t>ALGEX5</t>
  </si>
  <si>
    <t>ALG5</t>
  </si>
  <si>
    <t>CMP5</t>
  </si>
  <si>
    <t>GAL5</t>
  </si>
  <si>
    <t>GRAXL1</t>
  </si>
  <si>
    <t>MAXI5</t>
  </si>
  <si>
    <t>STAB5</t>
  </si>
  <si>
    <t>BMCMP5</t>
  </si>
  <si>
    <t>Prix Unitaire HT</t>
  </si>
  <si>
    <t>Prix TTC</t>
  </si>
  <si>
    <t>QTES A CDE</t>
  </si>
  <si>
    <t>Prix Untinaire HT</t>
  </si>
  <si>
    <t>Prix Unitaire TTC</t>
  </si>
  <si>
    <t>Prix TTC 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</si>
</sst>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#,##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0" xfId="0" applyFont="1" applyFill="1" applyBorder="1" applyAlignment="1"/>
    <xf numFmtId="0" fontId="0" fillId="2" borderId="0" xfId="0" applyFont="1" applyFill="1" applyAlignment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Border="1" applyAlignment="1">
      <alignment horizontal="center"/>
    </xf>
    <xf numFmtId="44" fontId="0" fillId="0" borderId="0" xfId="0" applyNumberFormat="1" applyAlignment="1"/>
  </cellXfs>
  <cellStyles count="1">
    <cellStyle name="Normal" xfId="0" builtinId="0"/>
  </cellStyles>
  <dxfs count="28">
    <dxf>
      <numFmt numFmtId="0" formatCode="General"/>
      <alignment horizontal="center" vertical="bottom" textRotation="0" wrapText="0" indent="0" justifyLastLine="0" shrinkToFit="0" readingOrder="0"/>
    </dxf>
    <dxf>
      <numFmt numFmtId="165" formatCode="#,##0\ &quot;€&quot;"/>
      <alignment horizontal="center" vertical="bottom" textRotation="0" wrapText="0" indent="0" justifyLastLine="0" shrinkToFit="0" readingOrder="0"/>
    </dxf>
    <dxf>
      <numFmt numFmtId="165" formatCode="#,##0\ &quot;€&quot;"/>
      <alignment horizontal="center" vertical="bottom" textRotation="0" wrapText="0" indent="0" justifyLastLine="0" shrinkToFit="0" readingOrder="0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</dxf>
    <dxf>
      <font>
        <color rgb="FFFF0000"/>
      </font>
      <fill>
        <patternFill>
          <bgColor theme="9" tint="0.59996337778862885"/>
        </patternFill>
      </fill>
    </dxf>
    <dxf>
      <font>
        <color theme="4" tint="-0.499984740745262"/>
      </font>
      <fill>
        <patternFill>
          <bgColor theme="5" tint="0.59996337778862885"/>
        </patternFill>
      </fill>
    </dxf>
    <dxf>
      <font>
        <color rgb="FFFF0000"/>
      </font>
      <fill>
        <patternFill>
          <bgColor rgb="FF92D050"/>
        </patternFill>
      </fill>
    </dxf>
    <dxf>
      <font>
        <color theme="4" tint="-0.24994659260841701"/>
      </font>
      <fill>
        <patternFill>
          <bgColor theme="9" tint="0.39994506668294322"/>
        </patternFill>
      </fill>
    </dxf>
    <dxf>
      <font>
        <color rgb="FFFF0000"/>
      </font>
      <fill>
        <patternFill>
          <bgColor rgb="FFFFFF00"/>
        </patternFill>
      </fill>
    </dxf>
    <dxf>
      <numFmt numFmtId="34" formatCode="_-* #,##0.00\ &quot;€&quot;_-;\-* #,##0.00\ &quot;€&quot;_-;_-* &quot;-&quot;??\ &quot;€&quot;_-;_-@_-"/>
      <alignment horizontal="general" vertical="bottom" textRotation="0" wrapText="0" indent="0" justifyLastLine="0" shrinkToFit="0" readingOrder="0"/>
    </dxf>
    <dxf>
      <numFmt numFmtId="165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</dxf>
    <dxf>
      <font>
        <color theme="5" tint="-0.24994659260841701"/>
      </font>
    </dxf>
    <dxf>
      <font>
        <color theme="5" tint="-0.24994659260841701"/>
      </font>
    </dxf>
    <dxf>
      <font>
        <color theme="8" tint="-0.499984740745262"/>
      </font>
    </dxf>
    <dxf>
      <font>
        <color theme="8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Produits" displayName="TProduits" ref="A1:I22" totalsRowShown="0">
  <autoFilter ref="A1:I22"/>
  <tableColumns count="9">
    <tableColumn id="5" name="Produits" dataDxfId="23"/>
    <tableColumn id="2" name="Stock Initial" dataDxfId="22"/>
    <tableColumn id="3" name="Stock Sécurité" dataDxfId="21"/>
    <tableColumn id="4" name="Stock Minimun" dataDxfId="20"/>
    <tableColumn id="1" name="Code Fournisseur"/>
    <tableColumn id="6" name="Fournisseur"/>
    <tableColumn id="7" name="Prix Untinaire HT" dataDxfId="19"/>
    <tableColumn id="8" name="Prix Unitaire TTC" dataDxfId="18">
      <calculatedColumnFormula>TProduits[[#This Row],[Prix Untinaire HT]]*1.2</calculatedColumnFormula>
    </tableColumn>
    <tableColumn id="9" name="Prix TTC Vente" dataDxfId="17"/>
  </tableColumns>
  <tableStyleInfo name="TableStyleMedium6" showFirstColumn="0" showLastColumn="0" showRowStripes="1" showColumnStripes="0"/>
  <extLst>
    <ext xmlns:x14="http://schemas.microsoft.com/office/spreadsheetml/2009/9/main" uri="{504A1905-F514-4f6f-8877-14C23A59335A}">
      <x14:table altText="Produit"/>
    </ext>
  </extLst>
</table>
</file>

<file path=xl/tables/table2.xml><?xml version="1.0" encoding="utf-8"?>
<table xmlns="http://schemas.openxmlformats.org/spreadsheetml/2006/main" id="9" name="TCategorie" displayName="TCategorie" ref="K1:K3" totalsRowShown="0">
  <autoFilter ref="K1:K3"/>
  <tableColumns count="1">
    <tableColumn id="1" name="Catégorie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10" name="TSuivi" displayName="TSuivi" ref="A1:M21" totalsRowShown="0">
  <autoFilter ref="A1:M21"/>
  <tableColumns count="13">
    <tableColumn id="1" name="DATE" dataDxfId="11"/>
    <tableColumn id="2" name="N°Commande" dataDxfId="10"/>
    <tableColumn id="3" name="Produits"/>
    <tableColumn id="4" name="Mouvement" dataDxfId="9"/>
    <tableColumn id="5" name="Quantité" dataDxfId="8"/>
    <tableColumn id="6" name="Solde" dataDxfId="7">
      <calculatedColumnFormula>IFERROR(VLOOKUP(TSuivi[Produits],TProduits[],2,0)+SUMIFS(E$2:E2,C$2:C2,TSuivi[Produits],D$2:D2,"Entrée")-SUMIFS(E$2:E2,C$2:C2,TSuivi[Produits],D$2:D2,"Sortie"),"")</calculatedColumnFormula>
    </tableColumn>
    <tableColumn id="7" name="Stock Minimun" dataDxfId="0">
      <calculatedColumnFormula>IFERROR(VLOOKUP(TSuivi[Produits],TProduits[],3,0),"")</calculatedColumnFormula>
    </tableColumn>
    <tableColumn id="8" name="Code Fournisseur" dataDxfId="6">
      <calculatedColumnFormula>VLOOKUP(TSuivi[Produits],TProduits[],5,0)</calculatedColumnFormula>
    </tableColumn>
    <tableColumn id="10" name="Fournisseur" dataDxfId="5">
      <calculatedColumnFormula>VLOOKUP(TSuivi[Produits],TProduits[],6,0)</calculatedColumnFormula>
    </tableColumn>
    <tableColumn id="9" name="Alerte" dataDxfId="4">
      <calculatedColumnFormula>IF($F2&gt;$G2,"OK","Passer CDE")</calculatedColumnFormula>
    </tableColumn>
    <tableColumn id="13" name="QTES A CDE" dataDxfId="3">
      <calculatedColumnFormula>IFERROR(VLOOKUP(TSuivi[Produits],TProduits[],2,0)-SUMIFS([Tprodui]t,$E2:E2,"Sortie"),"")</calculatedColumnFormula>
    </tableColumn>
    <tableColumn id="11" name="Prix Unitaire HT" dataDxfId="2">
      <calculatedColumnFormula>VLOOKUP(TSuivi[Produits],TProduits[],7,0)</calculatedColumnFormula>
    </tableColumn>
    <tableColumn id="12" name="Prix TTC" dataDxfId="1">
      <calculatedColumnFormula>$K2*$L2*1.2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opLeftCell="B1" workbookViewId="0">
      <selection activeCell="K2" sqref="K2"/>
    </sheetView>
  </sheetViews>
  <sheetFormatPr baseColWidth="10" defaultRowHeight="15" x14ac:dyDescent="0.25"/>
  <cols>
    <col min="1" max="1" width="62.140625" bestFit="1" customWidth="1"/>
    <col min="2" max="2" width="14.85546875" customWidth="1"/>
    <col min="3" max="3" width="17.7109375" bestFit="1" customWidth="1"/>
    <col min="4" max="4" width="18.7109375" bestFit="1" customWidth="1"/>
    <col min="5" max="6" width="18.7109375" customWidth="1"/>
    <col min="7" max="7" width="18.7109375" bestFit="1" customWidth="1"/>
    <col min="8" max="10" width="18.7109375" customWidth="1"/>
    <col min="11" max="11" width="11.85546875" bestFit="1" customWidth="1"/>
    <col min="12" max="12" width="18.7109375" bestFit="1" customWidth="1"/>
  </cols>
  <sheetData>
    <row r="1" spans="1:11" x14ac:dyDescent="0.25">
      <c r="A1" t="s">
        <v>1</v>
      </c>
      <c r="B1" t="s">
        <v>30</v>
      </c>
      <c r="C1" t="s">
        <v>31</v>
      </c>
      <c r="D1" t="s">
        <v>32</v>
      </c>
      <c r="E1" t="s">
        <v>33</v>
      </c>
      <c r="F1" t="s">
        <v>35</v>
      </c>
      <c r="G1" t="s">
        <v>52</v>
      </c>
      <c r="H1" t="s">
        <v>53</v>
      </c>
      <c r="I1" t="s">
        <v>54</v>
      </c>
      <c r="K1" t="s">
        <v>7</v>
      </c>
    </row>
    <row r="2" spans="1:11" x14ac:dyDescent="0.25">
      <c r="A2" s="3" t="s">
        <v>10</v>
      </c>
      <c r="B2" s="1">
        <v>20</v>
      </c>
      <c r="C2" s="1">
        <v>8</v>
      </c>
      <c r="D2" s="1">
        <v>10</v>
      </c>
      <c r="E2" s="5">
        <v>155105</v>
      </c>
      <c r="F2" s="6" t="s">
        <v>36</v>
      </c>
      <c r="G2" s="8">
        <v>7.39</v>
      </c>
      <c r="H2" s="7">
        <f>TProduits[[#This Row],[Prix Untinaire HT]]*1.2</f>
        <v>8.8679999999999986</v>
      </c>
      <c r="I2" s="9">
        <v>12</v>
      </c>
      <c r="J2" s="1"/>
      <c r="K2" t="s">
        <v>8</v>
      </c>
    </row>
    <row r="3" spans="1:11" x14ac:dyDescent="0.25">
      <c r="A3" s="3" t="s">
        <v>11</v>
      </c>
      <c r="B3" s="1">
        <v>20</v>
      </c>
      <c r="C3" s="1">
        <v>8</v>
      </c>
      <c r="D3" s="1">
        <v>10</v>
      </c>
      <c r="E3" s="5">
        <v>155205</v>
      </c>
      <c r="F3" s="6" t="s">
        <v>36</v>
      </c>
      <c r="G3" s="8">
        <v>18.27</v>
      </c>
      <c r="H3" s="7">
        <f>TProduits[[#This Row],[Prix Untinaire HT]]*1.2</f>
        <v>21.923999999999999</v>
      </c>
      <c r="I3" s="9">
        <v>31</v>
      </c>
      <c r="J3" s="1"/>
      <c r="K3" t="s">
        <v>9</v>
      </c>
    </row>
    <row r="4" spans="1:11" x14ac:dyDescent="0.25">
      <c r="A4" s="3" t="s">
        <v>12</v>
      </c>
      <c r="B4" s="1">
        <v>12</v>
      </c>
      <c r="C4" s="1">
        <v>8</v>
      </c>
      <c r="D4" s="1">
        <v>10</v>
      </c>
      <c r="E4" s="5" t="s">
        <v>38</v>
      </c>
      <c r="F4" s="6" t="s">
        <v>37</v>
      </c>
      <c r="G4" s="8">
        <v>17.16</v>
      </c>
      <c r="H4" s="7">
        <f>TProduits[[#This Row],[Prix Untinaire HT]]*1.2</f>
        <v>20.591999999999999</v>
      </c>
      <c r="I4" s="9">
        <v>29</v>
      </c>
      <c r="J4" s="1"/>
    </row>
    <row r="5" spans="1:11" x14ac:dyDescent="0.25">
      <c r="A5" s="3" t="s">
        <v>13</v>
      </c>
      <c r="B5" s="1">
        <v>12</v>
      </c>
      <c r="C5" s="1">
        <v>4</v>
      </c>
      <c r="D5" s="1">
        <v>6</v>
      </c>
      <c r="E5" s="5" t="s">
        <v>39</v>
      </c>
      <c r="F5" s="6" t="s">
        <v>37</v>
      </c>
      <c r="G5" s="8">
        <v>11.28</v>
      </c>
      <c r="H5" s="7">
        <f>TProduits[[#This Row],[Prix Untinaire HT]]*1.2</f>
        <v>13.536</v>
      </c>
      <c r="I5" s="9">
        <v>19</v>
      </c>
      <c r="J5" s="1"/>
    </row>
    <row r="6" spans="1:11" x14ac:dyDescent="0.25">
      <c r="A6" s="3" t="s">
        <v>14</v>
      </c>
      <c r="B6" s="1">
        <v>12</v>
      </c>
      <c r="C6" s="1">
        <v>4</v>
      </c>
      <c r="D6" s="1">
        <v>6</v>
      </c>
      <c r="E6" s="5" t="s">
        <v>40</v>
      </c>
      <c r="F6" s="6" t="s">
        <v>37</v>
      </c>
      <c r="G6" s="8">
        <v>5.42</v>
      </c>
      <c r="H6" s="7">
        <f>TProduits[[#This Row],[Prix Untinaire HT]]*1.2</f>
        <v>6.5039999999999996</v>
      </c>
      <c r="I6" s="9">
        <v>9</v>
      </c>
      <c r="J6" s="1"/>
    </row>
    <row r="7" spans="1:11" x14ac:dyDescent="0.25">
      <c r="A7" s="3" t="s">
        <v>15</v>
      </c>
      <c r="B7" s="1">
        <v>20</v>
      </c>
      <c r="C7" s="1">
        <v>8</v>
      </c>
      <c r="D7" s="1">
        <v>10</v>
      </c>
      <c r="E7" s="5" t="s">
        <v>41</v>
      </c>
      <c r="F7" s="6" t="s">
        <v>37</v>
      </c>
      <c r="G7" s="8">
        <v>13.19</v>
      </c>
      <c r="H7" s="7">
        <f>TProduits[[#This Row],[Prix Untinaire HT]]*1.2</f>
        <v>15.827999999999999</v>
      </c>
      <c r="I7" s="9">
        <v>22</v>
      </c>
      <c r="J7" s="1"/>
    </row>
    <row r="8" spans="1:11" x14ac:dyDescent="0.25">
      <c r="A8" s="3" t="s">
        <v>16</v>
      </c>
      <c r="B8" s="1">
        <v>20</v>
      </c>
      <c r="C8" s="1">
        <v>8</v>
      </c>
      <c r="D8" s="1">
        <v>10</v>
      </c>
      <c r="E8" s="5" t="s">
        <v>42</v>
      </c>
      <c r="F8" s="6" t="s">
        <v>37</v>
      </c>
      <c r="G8" s="8">
        <v>16.64</v>
      </c>
      <c r="H8" s="7">
        <f>TProduits[[#This Row],[Prix Untinaire HT]]*1.2</f>
        <v>19.968</v>
      </c>
      <c r="I8" s="9">
        <v>28</v>
      </c>
      <c r="J8" s="1"/>
    </row>
    <row r="9" spans="1:11" x14ac:dyDescent="0.25">
      <c r="A9" s="3" t="s">
        <v>17</v>
      </c>
      <c r="B9" s="1">
        <v>20</v>
      </c>
      <c r="C9" s="1">
        <v>8</v>
      </c>
      <c r="D9" s="1">
        <v>10</v>
      </c>
      <c r="E9" s="5" t="s">
        <v>43</v>
      </c>
      <c r="F9" s="6" t="s">
        <v>37</v>
      </c>
      <c r="G9" s="8">
        <v>9.1</v>
      </c>
      <c r="H9" s="7">
        <f>TProduits[[#This Row],[Prix Untinaire HT]]*1.2</f>
        <v>10.92</v>
      </c>
      <c r="I9" s="9">
        <v>15</v>
      </c>
      <c r="J9" s="1"/>
    </row>
    <row r="10" spans="1:11" x14ac:dyDescent="0.25">
      <c r="A10" s="3" t="s">
        <v>18</v>
      </c>
      <c r="B10" s="1">
        <v>20</v>
      </c>
      <c r="C10" s="1">
        <v>8</v>
      </c>
      <c r="D10" s="1">
        <v>10</v>
      </c>
      <c r="E10" s="5" t="s">
        <v>44</v>
      </c>
      <c r="F10" s="6" t="s">
        <v>37</v>
      </c>
      <c r="G10" s="8">
        <v>22.89</v>
      </c>
      <c r="H10" s="7">
        <f>TProduits[[#This Row],[Prix Untinaire HT]]*1.2</f>
        <v>27.468</v>
      </c>
      <c r="I10" s="9">
        <v>38</v>
      </c>
      <c r="J10" s="1"/>
    </row>
    <row r="11" spans="1:11" x14ac:dyDescent="0.25">
      <c r="A11" s="3" t="s">
        <v>19</v>
      </c>
      <c r="B11" s="1">
        <v>12</v>
      </c>
      <c r="C11" s="1">
        <v>8</v>
      </c>
      <c r="D11" s="1">
        <v>10</v>
      </c>
      <c r="E11" s="5" t="s">
        <v>45</v>
      </c>
      <c r="F11" s="6" t="s">
        <v>37</v>
      </c>
      <c r="G11" s="8">
        <v>7.94</v>
      </c>
      <c r="H11" s="7">
        <f>TProduits[[#This Row],[Prix Untinaire HT]]*1.2</f>
        <v>9.5280000000000005</v>
      </c>
      <c r="I11" s="9">
        <v>13</v>
      </c>
      <c r="J11" s="1"/>
    </row>
    <row r="12" spans="1:11" x14ac:dyDescent="0.25">
      <c r="A12" s="3" t="s">
        <v>20</v>
      </c>
      <c r="B12" s="1">
        <v>8</v>
      </c>
      <c r="C12" s="1">
        <v>4</v>
      </c>
      <c r="D12" s="1">
        <v>6</v>
      </c>
      <c r="E12" s="5" t="s">
        <v>46</v>
      </c>
      <c r="F12" s="6" t="s">
        <v>37</v>
      </c>
      <c r="G12" s="8">
        <v>24.4</v>
      </c>
      <c r="H12" s="7">
        <f>TProduits[[#This Row],[Prix Untinaire HT]]*1.2</f>
        <v>29.279999999999998</v>
      </c>
      <c r="I12" s="9">
        <v>41</v>
      </c>
      <c r="J12" s="1"/>
    </row>
    <row r="13" spans="1:11" x14ac:dyDescent="0.25">
      <c r="A13" s="3" t="s">
        <v>21</v>
      </c>
      <c r="B13" s="1">
        <v>8</v>
      </c>
      <c r="C13" s="1">
        <v>4</v>
      </c>
      <c r="D13" s="1">
        <v>6</v>
      </c>
      <c r="E13" s="5" t="s">
        <v>47</v>
      </c>
      <c r="F13" s="6" t="s">
        <v>37</v>
      </c>
      <c r="G13" s="8">
        <v>20.93</v>
      </c>
      <c r="H13" s="7">
        <f>TProduits[[#This Row],[Prix Untinaire HT]]*1.2</f>
        <v>25.116</v>
      </c>
      <c r="I13" s="9">
        <v>35</v>
      </c>
      <c r="J13" s="1"/>
    </row>
    <row r="14" spans="1:11" x14ac:dyDescent="0.25">
      <c r="A14" s="3" t="s">
        <v>22</v>
      </c>
      <c r="B14" s="1">
        <v>8</v>
      </c>
      <c r="C14" s="1">
        <v>4</v>
      </c>
      <c r="D14" s="1">
        <v>6</v>
      </c>
      <c r="E14" s="5">
        <v>101206</v>
      </c>
      <c r="F14" s="6" t="s">
        <v>36</v>
      </c>
      <c r="G14" s="8">
        <v>20.21</v>
      </c>
      <c r="H14" s="7">
        <f>TProduits[[#This Row],[Prix Untinaire HT]]*1.2</f>
        <v>24.251999999999999</v>
      </c>
      <c r="I14" s="9">
        <v>34</v>
      </c>
      <c r="J14" s="1"/>
    </row>
    <row r="15" spans="1:11" x14ac:dyDescent="0.25">
      <c r="A15" s="3" t="s">
        <v>23</v>
      </c>
      <c r="B15" s="1">
        <v>8</v>
      </c>
      <c r="C15" s="1">
        <v>4</v>
      </c>
      <c r="D15" s="1">
        <v>6</v>
      </c>
      <c r="E15" s="5">
        <v>105705</v>
      </c>
      <c r="F15" s="6" t="s">
        <v>36</v>
      </c>
      <c r="G15" s="8">
        <v>10.47</v>
      </c>
      <c r="H15" s="7">
        <f>TProduits[[#This Row],[Prix Untinaire HT]]*1.2</f>
        <v>12.564</v>
      </c>
      <c r="I15" s="9">
        <v>18</v>
      </c>
      <c r="J15" s="1"/>
    </row>
    <row r="16" spans="1:11" x14ac:dyDescent="0.25">
      <c r="A16" s="3" t="s">
        <v>24</v>
      </c>
      <c r="B16" s="1">
        <v>8</v>
      </c>
      <c r="C16" s="1">
        <v>4</v>
      </c>
      <c r="D16" s="1">
        <v>6</v>
      </c>
      <c r="E16" s="5">
        <v>157405</v>
      </c>
      <c r="F16" s="6" t="s">
        <v>36</v>
      </c>
      <c r="G16" s="8">
        <v>15.95</v>
      </c>
      <c r="H16" s="7">
        <f>TProduits[[#This Row],[Prix Untinaire HT]]*1.2</f>
        <v>19.139999999999997</v>
      </c>
      <c r="I16" s="9">
        <v>27</v>
      </c>
      <c r="J16" s="1"/>
    </row>
    <row r="17" spans="1:10" x14ac:dyDescent="0.25">
      <c r="A17" s="3" t="s">
        <v>25</v>
      </c>
      <c r="B17" s="1">
        <v>48</v>
      </c>
      <c r="C17" s="1">
        <v>24</v>
      </c>
      <c r="D17" s="1">
        <v>30</v>
      </c>
      <c r="E17" s="5">
        <v>103702</v>
      </c>
      <c r="F17" s="6" t="s">
        <v>36</v>
      </c>
      <c r="G17" s="8">
        <v>8.66</v>
      </c>
      <c r="H17" s="7">
        <f>TProduits[[#This Row],[Prix Untinaire HT]]*1.2</f>
        <v>10.391999999999999</v>
      </c>
      <c r="I17" s="9">
        <v>15</v>
      </c>
      <c r="J17" s="1"/>
    </row>
    <row r="18" spans="1:10" x14ac:dyDescent="0.25">
      <c r="A18" s="3" t="s">
        <v>26</v>
      </c>
      <c r="B18" s="1">
        <v>8</v>
      </c>
      <c r="C18" s="1">
        <v>4</v>
      </c>
      <c r="D18" s="1">
        <v>6</v>
      </c>
      <c r="E18" s="5">
        <v>153005</v>
      </c>
      <c r="F18" s="6" t="s">
        <v>36</v>
      </c>
      <c r="G18" s="8">
        <v>32.61</v>
      </c>
      <c r="H18" s="7">
        <f>TProduits[[#This Row],[Prix Untinaire HT]]*1.2</f>
        <v>39.131999999999998</v>
      </c>
      <c r="I18" s="9">
        <v>55</v>
      </c>
      <c r="J18" s="1"/>
    </row>
    <row r="19" spans="1:10" x14ac:dyDescent="0.25">
      <c r="A19" s="3" t="s">
        <v>27</v>
      </c>
      <c r="B19" s="1">
        <v>8</v>
      </c>
      <c r="C19" s="1">
        <v>4</v>
      </c>
      <c r="D19" s="1">
        <v>6</v>
      </c>
      <c r="E19" s="5">
        <v>130005</v>
      </c>
      <c r="F19" s="6" t="s">
        <v>36</v>
      </c>
      <c r="G19" s="8">
        <v>25.69</v>
      </c>
      <c r="H19" s="7">
        <f>TProduits[[#This Row],[Prix Untinaire HT]]*1.2</f>
        <v>30.827999999999999</v>
      </c>
      <c r="I19" s="9">
        <v>43</v>
      </c>
      <c r="J19" s="1"/>
    </row>
    <row r="20" spans="1:10" x14ac:dyDescent="0.25">
      <c r="A20" s="3" t="s">
        <v>28</v>
      </c>
      <c r="B20" s="1">
        <v>2</v>
      </c>
      <c r="C20" s="1">
        <v>1</v>
      </c>
      <c r="D20" s="1">
        <v>2</v>
      </c>
      <c r="E20" s="5">
        <v>121901</v>
      </c>
      <c r="F20" s="6" t="s">
        <v>36</v>
      </c>
      <c r="G20" s="8">
        <v>81.349999999999994</v>
      </c>
      <c r="H20" s="7">
        <f>TProduits[[#This Row],[Prix Untinaire HT]]*1.2</f>
        <v>97.61999999999999</v>
      </c>
      <c r="I20" s="9">
        <v>137</v>
      </c>
      <c r="J20" s="1"/>
    </row>
    <row r="21" spans="1:10" x14ac:dyDescent="0.25">
      <c r="A21" s="3" t="s">
        <v>29</v>
      </c>
      <c r="B21" s="1">
        <v>8</v>
      </c>
      <c r="C21" s="1">
        <v>4</v>
      </c>
      <c r="D21" s="1">
        <v>6</v>
      </c>
      <c r="E21" s="5" t="s">
        <v>48</v>
      </c>
      <c r="F21" s="6" t="s">
        <v>37</v>
      </c>
      <c r="G21" s="8">
        <v>17.850000000000001</v>
      </c>
      <c r="H21" s="7">
        <f>TProduits[[#This Row],[Prix Untinaire HT]]*1.2</f>
        <v>21.42</v>
      </c>
      <c r="I21" s="9">
        <v>30</v>
      </c>
      <c r="J21" s="1"/>
    </row>
    <row r="22" spans="1:10" x14ac:dyDescent="0.25">
      <c r="A22" s="4"/>
      <c r="B22" s="1"/>
      <c r="C22" s="1"/>
      <c r="D22" s="1"/>
      <c r="G22" s="1"/>
      <c r="H22" s="7"/>
      <c r="I22" s="9"/>
      <c r="J22" s="1"/>
    </row>
  </sheetData>
  <conditionalFormatting sqref="F2:F3">
    <cfRule type="containsText" dxfId="27" priority="5" operator="containsText" text="ASTRALPOOL">
      <formula>NOT(ISERROR(SEARCH("ASTRALPOOL",F2)))</formula>
    </cfRule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F14:F20">
    <cfRule type="containsText" dxfId="26" priority="4" operator="containsText" text="ASTRALPOOL">
      <formula>NOT(ISERROR(SEARCH("ASTRALPOOL",F14)))</formula>
    </cfRule>
  </conditionalFormatting>
  <conditionalFormatting sqref="F4:F13">
    <cfRule type="containsText" dxfId="25" priority="3" operator="containsText" text="DEL CLASS CEC">
      <formula>NOT(ISERROR(SEARCH("DEL CLASS CEC",F4)))</formula>
    </cfRule>
  </conditionalFormatting>
  <conditionalFormatting sqref="F21">
    <cfRule type="containsText" dxfId="24" priority="1" operator="containsText" text="DEL CLASS CEC">
      <formula>NOT(ISERROR(SEARCH("DEL CLASS CEC",F21)))</formula>
    </cfRule>
    <cfRule type="containsText" priority="2" operator="containsText" text="DEL CLASS CEC">
      <formula>NOT(ISERROR(SEARCH("DEL CLASS CEC",F21)))</formula>
    </cfRule>
  </conditionalFormatting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0"/>
  <sheetViews>
    <sheetView tabSelected="1" topLeftCell="B1" workbookViewId="0">
      <selection activeCell="K2" sqref="K2"/>
    </sheetView>
  </sheetViews>
  <sheetFormatPr baseColWidth="10" defaultRowHeight="15" x14ac:dyDescent="0.25"/>
  <cols>
    <col min="2" max="2" width="15.42578125" customWidth="1"/>
    <col min="3" max="3" width="51" bestFit="1" customWidth="1"/>
    <col min="4" max="4" width="14.140625" customWidth="1"/>
    <col min="6" max="6" width="12.140625" customWidth="1"/>
    <col min="7" max="7" width="16.42578125" customWidth="1"/>
    <col min="8" max="8" width="18.85546875" bestFit="1" customWidth="1"/>
    <col min="9" max="9" width="18.85546875" customWidth="1"/>
    <col min="11" max="11" width="13.28515625" bestFit="1" customWidth="1"/>
    <col min="12" max="12" width="17.140625" bestFit="1" customWidth="1"/>
  </cols>
  <sheetData>
    <row r="1" spans="1:13" x14ac:dyDescent="0.25">
      <c r="A1" t="s">
        <v>0</v>
      </c>
      <c r="B1" t="s">
        <v>2</v>
      </c>
      <c r="C1" t="s">
        <v>1</v>
      </c>
      <c r="D1" t="s">
        <v>3</v>
      </c>
      <c r="E1" t="s">
        <v>4</v>
      </c>
      <c r="F1" t="s">
        <v>5</v>
      </c>
      <c r="G1" t="s">
        <v>32</v>
      </c>
      <c r="H1" t="s">
        <v>33</v>
      </c>
      <c r="I1" t="s">
        <v>35</v>
      </c>
      <c r="J1" t="s">
        <v>34</v>
      </c>
      <c r="K1" t="s">
        <v>51</v>
      </c>
      <c r="L1" t="s">
        <v>49</v>
      </c>
      <c r="M1" t="s">
        <v>50</v>
      </c>
    </row>
    <row r="2" spans="1:13" x14ac:dyDescent="0.25">
      <c r="A2" s="2">
        <v>43041</v>
      </c>
      <c r="B2" s="1" t="s">
        <v>6</v>
      </c>
      <c r="C2" t="s">
        <v>12</v>
      </c>
      <c r="D2" s="1" t="s">
        <v>9</v>
      </c>
      <c r="E2" s="1">
        <v>10</v>
      </c>
      <c r="F2" s="1">
        <f>IFERROR(VLOOKUP(TSuivi[Produits],TProduits[],2,0)+SUMIFS(E$2:E2,C$2:C2,TSuivi[Produits],D$2:D2,"Entrée")-SUMIFS(E$2:E2,C$2:C2,TSuivi[Produits],D$2:D2,"Sortie"),"")</f>
        <v>2</v>
      </c>
      <c r="G2" s="1">
        <f>IFERROR(VLOOKUP(TSuivi[Produits],TProduits[],3,0),"")</f>
        <v>8</v>
      </c>
      <c r="H2" s="1" t="str">
        <f>VLOOKUP(TSuivi[Produits],TProduits[],5,0)</f>
        <v>PUR5</v>
      </c>
      <c r="I2" s="1" t="str">
        <f>VLOOKUP(TSuivi[Produits],TProduits[],6,0)</f>
        <v>DEL CLASS CEC</v>
      </c>
      <c r="J2" s="1" t="str">
        <f t="shared" ref="J2:J21" si="0">IF($F2&gt;$G2,"OK","Passer CDE")</f>
        <v>Passer CDE</v>
      </c>
      <c r="K2" t="e">
        <f>RECHERCHEV</f>
        <v>#NAME?</v>
      </c>
      <c r="L2" s="7">
        <f>VLOOKUP(TSuivi[Produits],TProduits[],7,0)</f>
        <v>17.16</v>
      </c>
      <c r="M2" s="7" t="e">
        <f t="shared" ref="M2:M21" si="1">$K2*$L2*1.2</f>
        <v>#NAME?</v>
      </c>
    </row>
    <row r="3" spans="1:13" x14ac:dyDescent="0.25">
      <c r="A3" s="2">
        <v>43042</v>
      </c>
      <c r="B3" s="1"/>
      <c r="C3" t="s">
        <v>11</v>
      </c>
      <c r="D3" s="1" t="s">
        <v>9</v>
      </c>
      <c r="E3" s="1">
        <v>5</v>
      </c>
      <c r="F3" s="1">
        <f>IFERROR(VLOOKUP(TSuivi[Produits],TProduits[],2,0)+SUMIFS(E$2:E3,C$2:C3,TSuivi[Produits],D$2:D3,"Entrée")-SUMIFS(E$2:E3,C$2:C3,TSuivi[Produits],D$2:D3,"Sortie"),"")</f>
        <v>15</v>
      </c>
      <c r="G3" s="1">
        <f>IFERROR(VLOOKUP(TSuivi[Produits],TProduits[],3,0),"")</f>
        <v>8</v>
      </c>
      <c r="H3" s="1">
        <f>VLOOKUP(TSuivi[Produits],TProduits[],5,0)</f>
        <v>155205</v>
      </c>
      <c r="I3" s="1" t="str">
        <f>VLOOKUP(TSuivi[Produits],TProduits[],6,0)</f>
        <v>ASTRALPOOL</v>
      </c>
      <c r="J3" s="1" t="str">
        <f t="shared" si="0"/>
        <v>OK</v>
      </c>
      <c r="L3" s="7">
        <f>VLOOKUP(TSuivi[Produits],TProduits[],7,0)</f>
        <v>18.27</v>
      </c>
      <c r="M3" s="7">
        <f t="shared" si="1"/>
        <v>0</v>
      </c>
    </row>
    <row r="4" spans="1:13" x14ac:dyDescent="0.25">
      <c r="A4" s="2">
        <v>43043</v>
      </c>
      <c r="B4" s="1"/>
      <c r="C4" t="s">
        <v>24</v>
      </c>
      <c r="D4" s="1" t="s">
        <v>9</v>
      </c>
      <c r="E4" s="1">
        <v>4</v>
      </c>
      <c r="F4" s="1">
        <f>IFERROR(VLOOKUP(TSuivi[Produits],TProduits[],2,0)+SUMIFS(E$2:E4,C$2:C4,TSuivi[Produits],D$2:D4,"Entrée")-SUMIFS(E$2:E4,C$2:C4,TSuivi[Produits],D$2:D4,"Sortie"),"")</f>
        <v>4</v>
      </c>
      <c r="G4" s="1">
        <f>IFERROR(VLOOKUP(TSuivi[Produits],TProduits[],3,0),"")</f>
        <v>4</v>
      </c>
      <c r="H4" s="1">
        <f>VLOOKUP(TSuivi[Produits],TProduits[],5,0)</f>
        <v>157405</v>
      </c>
      <c r="I4" s="1" t="str">
        <f>VLOOKUP(TSuivi[Produits],TProduits[],6,0)</f>
        <v>ASTRALPOOL</v>
      </c>
      <c r="J4" s="1" t="str">
        <f t="shared" si="0"/>
        <v>Passer CDE</v>
      </c>
      <c r="K4" t="str">
        <f>IFERROR(VLOOKUP(TSuivi[Produits],TProduits[],2,0)-SUMIFS([Tprodui]t,$E4:E4,"Sortie"),"")</f>
        <v/>
      </c>
      <c r="L4" s="7">
        <f>VLOOKUP(TSuivi[Produits],TProduits[],7,0)</f>
        <v>15.95</v>
      </c>
      <c r="M4" s="7" t="e">
        <f t="shared" si="1"/>
        <v>#VALUE!</v>
      </c>
    </row>
    <row r="5" spans="1:13" x14ac:dyDescent="0.25">
      <c r="A5" s="2">
        <v>43044</v>
      </c>
      <c r="B5" s="1"/>
      <c r="C5" t="s">
        <v>25</v>
      </c>
      <c r="D5" s="1" t="s">
        <v>9</v>
      </c>
      <c r="E5" s="1">
        <v>4</v>
      </c>
      <c r="F5" s="1">
        <f>IFERROR(VLOOKUP(TSuivi[Produits],TProduits[],2,0)+SUMIFS(E$2:E5,C$2:C5,TSuivi[Produits],D$2:D5,"Entrée")-SUMIFS(E$2:E5,C$2:C5,TSuivi[Produits],D$2:D5,"Sortie"),"")</f>
        <v>44</v>
      </c>
      <c r="G5" s="1">
        <f>IFERROR(VLOOKUP(TSuivi[Produits],TProduits[],3,0),"")</f>
        <v>24</v>
      </c>
      <c r="H5" s="1">
        <f>VLOOKUP(TSuivi[Produits],TProduits[],5,0)</f>
        <v>103702</v>
      </c>
      <c r="I5" s="1" t="str">
        <f>VLOOKUP(TSuivi[Produits],TProduits[],6,0)</f>
        <v>ASTRALPOOL</v>
      </c>
      <c r="J5" s="1" t="str">
        <f t="shared" si="0"/>
        <v>OK</v>
      </c>
      <c r="K5" t="str">
        <f>IFERROR(VLOOKUP(TSuivi[Produits],TProduits[],2,0)-SUMIFS([Tprodui]t,$E5:E5,"Sortie"),"")</f>
        <v/>
      </c>
      <c r="L5" s="7">
        <f>VLOOKUP(TSuivi[Produits],TProduits[],7,0)</f>
        <v>8.66</v>
      </c>
      <c r="M5" s="7" t="e">
        <f t="shared" si="1"/>
        <v>#VALUE!</v>
      </c>
    </row>
    <row r="6" spans="1:13" x14ac:dyDescent="0.25">
      <c r="A6" s="2">
        <v>43045</v>
      </c>
      <c r="B6" s="1"/>
      <c r="C6" t="s">
        <v>28</v>
      </c>
      <c r="D6" s="1" t="s">
        <v>9</v>
      </c>
      <c r="E6" s="1">
        <v>2</v>
      </c>
      <c r="F6" s="1">
        <f>IFERROR(VLOOKUP(TSuivi[Produits],TProduits[],2,0)+SUMIFS(E$2:E6,C$2:C6,TSuivi[Produits],D$2:D6,"Entrée")-SUMIFS(E$2:E6,C$2:C6,TSuivi[Produits],D$2:D6,"Sortie"),"")</f>
        <v>0</v>
      </c>
      <c r="G6" s="1">
        <f>IFERROR(VLOOKUP(TSuivi[Produits],TProduits[],3,0),"")</f>
        <v>1</v>
      </c>
      <c r="H6" s="1">
        <f>VLOOKUP(TSuivi[Produits],TProduits[],5,0)</f>
        <v>121901</v>
      </c>
      <c r="I6" s="1" t="str">
        <f>VLOOKUP(TSuivi[Produits],TProduits[],6,0)</f>
        <v>ASTRALPOOL</v>
      </c>
      <c r="J6" s="1" t="str">
        <f t="shared" si="0"/>
        <v>Passer CDE</v>
      </c>
      <c r="K6" t="str">
        <f>IFERROR(VLOOKUP(TSuivi[Produits],TProduits[],2,0)-SUMIFS([Tprodui]t,$E6:E6,"Sortie"),"")</f>
        <v/>
      </c>
      <c r="L6" s="7">
        <f>VLOOKUP(TSuivi[Produits],TProduits[],7,0)</f>
        <v>81.349999999999994</v>
      </c>
      <c r="M6" s="7" t="e">
        <f t="shared" si="1"/>
        <v>#VALUE!</v>
      </c>
    </row>
    <row r="7" spans="1:13" x14ac:dyDescent="0.25">
      <c r="A7" s="2">
        <v>43046</v>
      </c>
      <c r="B7" s="1"/>
      <c r="C7" t="s">
        <v>29</v>
      </c>
      <c r="D7" s="1" t="s">
        <v>9</v>
      </c>
      <c r="E7" s="1">
        <v>5</v>
      </c>
      <c r="F7" s="1">
        <f>IFERROR(VLOOKUP(TSuivi[Produits],TProduits[],2,0)+SUMIFS(E$2:E7,C$2:C7,TSuivi[Produits],D$2:D7,"Entrée")-SUMIFS(E$2:E7,C$2:C7,TSuivi[Produits],D$2:D7,"Sortie"),"")</f>
        <v>3</v>
      </c>
      <c r="G7" s="1">
        <f>IFERROR(VLOOKUP(TSuivi[Produits],TProduits[],3,0),"")</f>
        <v>4</v>
      </c>
      <c r="H7" s="1" t="str">
        <f>VLOOKUP(TSuivi[Produits],TProduits[],5,0)</f>
        <v>BMCMP5</v>
      </c>
      <c r="I7" s="1" t="str">
        <f>VLOOKUP(TSuivi[Produits],TProduits[],6,0)</f>
        <v>DEL CLASS CEC</v>
      </c>
      <c r="J7" s="1" t="str">
        <f t="shared" si="0"/>
        <v>Passer CDE</v>
      </c>
      <c r="K7" t="str">
        <f>IFERROR(VLOOKUP(TSuivi[Produits],TProduits[],2,0)-SUMIFS([Tprodui]t,$E7:E7,"Sortie"),"")</f>
        <v/>
      </c>
      <c r="L7" s="7">
        <f>VLOOKUP(TSuivi[Produits],TProduits[],7,0)</f>
        <v>17.850000000000001</v>
      </c>
      <c r="M7" s="7" t="e">
        <f t="shared" si="1"/>
        <v>#VALUE!</v>
      </c>
    </row>
    <row r="8" spans="1:13" x14ac:dyDescent="0.25">
      <c r="A8" s="2">
        <v>43047</v>
      </c>
      <c r="B8" s="1"/>
      <c r="C8" t="s">
        <v>26</v>
      </c>
      <c r="D8" s="1" t="s">
        <v>9</v>
      </c>
      <c r="E8" s="1">
        <v>5</v>
      </c>
      <c r="F8" s="1">
        <f>IFERROR(VLOOKUP(TSuivi[Produits],TProduits[],2,0)+SUMIFS(E$2:E8,C$2:C8,TSuivi[Produits],D$2:D8,"Entrée")-SUMIFS(E$2:E8,C$2:C8,TSuivi[Produits],D$2:D8,"Sortie"),"")</f>
        <v>3</v>
      </c>
      <c r="G8" s="1">
        <f>IFERROR(VLOOKUP(TSuivi[Produits],TProduits[],3,0),"")</f>
        <v>4</v>
      </c>
      <c r="H8" s="1">
        <f>VLOOKUP(TSuivi[Produits],TProduits[],5,0)</f>
        <v>153005</v>
      </c>
      <c r="I8" s="1" t="str">
        <f>VLOOKUP(TSuivi[Produits],TProduits[],6,0)</f>
        <v>ASTRALPOOL</v>
      </c>
      <c r="J8" s="1" t="str">
        <f t="shared" si="0"/>
        <v>Passer CDE</v>
      </c>
      <c r="K8" t="str">
        <f>IFERROR(VLOOKUP(TSuivi[Produits],TProduits[],2,0)-SUMIFS([Tprodui]t,$E8:E8,"Sortie"),"")</f>
        <v/>
      </c>
      <c r="L8" s="7">
        <f>VLOOKUP(TSuivi[Produits],TProduits[],7,0)</f>
        <v>32.61</v>
      </c>
      <c r="M8" s="7" t="e">
        <f t="shared" si="1"/>
        <v>#VALUE!</v>
      </c>
    </row>
    <row r="9" spans="1:13" x14ac:dyDescent="0.25">
      <c r="A9" s="2">
        <v>43048</v>
      </c>
      <c r="B9" s="1"/>
      <c r="C9" t="s">
        <v>12</v>
      </c>
      <c r="D9" s="1" t="s">
        <v>9</v>
      </c>
      <c r="E9" s="1">
        <v>2</v>
      </c>
      <c r="F9" s="1">
        <f>IFERROR(VLOOKUP(TSuivi[Produits],TProduits[],2,0)+SUMIFS(E$2:E9,C$2:C9,TSuivi[Produits],D$2:D9,"Entrée")-SUMIFS(E$2:E9,C$2:C9,TSuivi[Produits],D$2:D9,"Sortie"),"")</f>
        <v>0</v>
      </c>
      <c r="G9" s="1">
        <f>IFERROR(VLOOKUP(TSuivi[Produits],TProduits[],3,0),"")</f>
        <v>8</v>
      </c>
      <c r="H9" s="1" t="str">
        <f>VLOOKUP(TSuivi[Produits],TProduits[],5,0)</f>
        <v>PUR5</v>
      </c>
      <c r="I9" s="1" t="str">
        <f>VLOOKUP(TSuivi[Produits],TProduits[],6,0)</f>
        <v>DEL CLASS CEC</v>
      </c>
      <c r="J9" s="1" t="str">
        <f t="shared" si="0"/>
        <v>Passer CDE</v>
      </c>
      <c r="K9" t="str">
        <f>IFERROR(VLOOKUP(TSuivi[Produits],TProduits[],2,0)-SUMIFS([Tprodui]t,$E9:E9,"Sortie"),"")</f>
        <v/>
      </c>
      <c r="L9" s="7">
        <f>VLOOKUP(TSuivi[Produits],TProduits[],7,0)</f>
        <v>17.16</v>
      </c>
      <c r="M9" s="7" t="e">
        <f t="shared" si="1"/>
        <v>#VALUE!</v>
      </c>
    </row>
    <row r="10" spans="1:13" x14ac:dyDescent="0.25">
      <c r="A10" s="2">
        <v>43049</v>
      </c>
      <c r="B10" s="1"/>
      <c r="C10" t="s">
        <v>13</v>
      </c>
      <c r="D10" s="1" t="s">
        <v>9</v>
      </c>
      <c r="E10" s="1">
        <v>7</v>
      </c>
      <c r="F10" s="1">
        <f>IFERROR(VLOOKUP(TSuivi[Produits],TProduits[],2,0)+SUMIFS(E$2:E10,C$2:C10,TSuivi[Produits],D$2:D10,"Entrée")-SUMIFS(E$2:E10,C$2:C10,TSuivi[Produits],D$2:D10,"Sortie"),"")</f>
        <v>5</v>
      </c>
      <c r="G10" s="1">
        <f>IFERROR(VLOOKUP(TSuivi[Produits],TProduits[],3,0),"")</f>
        <v>4</v>
      </c>
      <c r="H10" s="1" t="str">
        <f>VLOOKUP(TSuivi[Produits],TProduits[],5,0)</f>
        <v>PUR3</v>
      </c>
      <c r="I10" s="1" t="str">
        <f>VLOOKUP(TSuivi[Produits],TProduits[],6,0)</f>
        <v>DEL CLASS CEC</v>
      </c>
      <c r="J10" s="1" t="str">
        <f t="shared" si="0"/>
        <v>OK</v>
      </c>
      <c r="K10" t="str">
        <f>IFERROR(VLOOKUP(TSuivi[Produits],TProduits[],2,0)-SUMIFS([Tprodui]t,$E10:E10,"Sortie"),"")</f>
        <v/>
      </c>
      <c r="L10" s="7">
        <f>VLOOKUP(TSuivi[Produits],TProduits[],7,0)</f>
        <v>11.28</v>
      </c>
      <c r="M10" s="7" t="e">
        <f t="shared" si="1"/>
        <v>#VALUE!</v>
      </c>
    </row>
    <row r="11" spans="1:13" x14ac:dyDescent="0.25">
      <c r="A11" s="2">
        <v>43050</v>
      </c>
      <c r="B11" s="1"/>
      <c r="C11" t="s">
        <v>24</v>
      </c>
      <c r="D11" s="1" t="s">
        <v>9</v>
      </c>
      <c r="E11" s="1">
        <v>2</v>
      </c>
      <c r="F11" s="1">
        <f>IFERROR(VLOOKUP(TSuivi[Produits],TProduits[],2,0)+SUMIFS(E$2:E11,C$2:C11,TSuivi[Produits],D$2:D11,"Entrée")-SUMIFS(E$2:E11,C$2:C11,TSuivi[Produits],D$2:D11,"Sortie"),"")</f>
        <v>2</v>
      </c>
      <c r="G11" s="1">
        <f>IFERROR(VLOOKUP(TSuivi[Produits],TProduits[],3,0),"")</f>
        <v>4</v>
      </c>
      <c r="H11" s="1">
        <f>VLOOKUP(TSuivi[Produits],TProduits[],5,0)</f>
        <v>157405</v>
      </c>
      <c r="I11" s="1" t="str">
        <f>VLOOKUP(TSuivi[Produits],TProduits[],6,0)</f>
        <v>ASTRALPOOL</v>
      </c>
      <c r="J11" s="1" t="str">
        <f t="shared" si="0"/>
        <v>Passer CDE</v>
      </c>
      <c r="K11" t="str">
        <f>IFERROR(VLOOKUP(TSuivi[Produits],TProduits[],2,0)-SUMIFS([Tprodui]t,$E11:E11,"Sortie"),"")</f>
        <v/>
      </c>
      <c r="L11" s="7">
        <f>VLOOKUP(TSuivi[Produits],TProduits[],7,0)</f>
        <v>15.95</v>
      </c>
      <c r="M11" s="7" t="e">
        <f t="shared" si="1"/>
        <v>#VALUE!</v>
      </c>
    </row>
    <row r="12" spans="1:13" x14ac:dyDescent="0.25">
      <c r="A12" s="2">
        <v>43051</v>
      </c>
      <c r="B12" s="1"/>
      <c r="C12" t="s">
        <v>28</v>
      </c>
      <c r="D12" s="1" t="s">
        <v>8</v>
      </c>
      <c r="E12" s="1">
        <v>1</v>
      </c>
      <c r="F12" s="1">
        <f>IFERROR(VLOOKUP(TSuivi[Produits],TProduits[],2,0)+SUMIFS(E$2:E12,C$2:C12,TSuivi[Produits],D$2:D12,"Entrée")-SUMIFS(E$2:E12,C$2:C12,TSuivi[Produits],D$2:D12,"Sortie"),"")</f>
        <v>1</v>
      </c>
      <c r="G12" s="1">
        <f>IFERROR(VLOOKUP(TSuivi[Produits],TProduits[],3,0),"")</f>
        <v>1</v>
      </c>
      <c r="H12" s="1">
        <f>VLOOKUP(TSuivi[Produits],TProduits[],5,0)</f>
        <v>121901</v>
      </c>
      <c r="I12" s="1" t="str">
        <f>VLOOKUP(TSuivi[Produits],TProduits[],6,0)</f>
        <v>ASTRALPOOL</v>
      </c>
      <c r="J12" s="1" t="str">
        <f t="shared" si="0"/>
        <v>Passer CDE</v>
      </c>
      <c r="K12" t="str">
        <f>IFERROR(VLOOKUP(TSuivi[Produits],TProduits[],2,0)-SUMIFS([Tprodui]t,$E12:E12,"Sortie"),"")</f>
        <v/>
      </c>
      <c r="L12" s="7">
        <f>VLOOKUP(TSuivi[Produits],TProduits[],7,0)</f>
        <v>81.349999999999994</v>
      </c>
      <c r="M12" s="7" t="e">
        <f t="shared" si="1"/>
        <v>#VALUE!</v>
      </c>
    </row>
    <row r="13" spans="1:13" x14ac:dyDescent="0.25">
      <c r="A13" s="2">
        <v>43052</v>
      </c>
      <c r="B13" s="1"/>
      <c r="C13" t="s">
        <v>15</v>
      </c>
      <c r="D13" s="1" t="s">
        <v>9</v>
      </c>
      <c r="E13" s="1">
        <v>2</v>
      </c>
      <c r="F13" s="1">
        <f>IFERROR(VLOOKUP(TSuivi[Produits],TProduits[],2,0)+SUMIFS(E$2:E13,C$2:C13,TSuivi[Produits],D$2:D13,"Entrée")-SUMIFS(E$2:E13,C$2:C13,TSuivi[Produits],D$2:D13,"Sortie"),"")</f>
        <v>18</v>
      </c>
      <c r="G13" s="1">
        <f>IFERROR(VLOOKUP(TSuivi[Produits],TProduits[],3,0),"")</f>
        <v>8</v>
      </c>
      <c r="H13" s="1" t="str">
        <f>VLOOKUP(TSuivi[Produits],TProduits[],5,0)</f>
        <v>ALGEX5</v>
      </c>
      <c r="I13" s="1" t="str">
        <f>VLOOKUP(TSuivi[Produits],TProduits[],6,0)</f>
        <v>DEL CLASS CEC</v>
      </c>
      <c r="J13" s="1" t="str">
        <f t="shared" si="0"/>
        <v>OK</v>
      </c>
      <c r="K13" t="str">
        <f>IFERROR(VLOOKUP(TSuivi[Produits],TProduits[],2,0)-SUMIFS([Tprodui]t,$E13:E13,"Sortie"),"")</f>
        <v/>
      </c>
      <c r="L13" s="7">
        <f>VLOOKUP(TSuivi[Produits],TProduits[],7,0)</f>
        <v>13.19</v>
      </c>
      <c r="M13" s="7" t="e">
        <f t="shared" si="1"/>
        <v>#VALUE!</v>
      </c>
    </row>
    <row r="14" spans="1:13" x14ac:dyDescent="0.25">
      <c r="A14" s="2">
        <v>43053</v>
      </c>
      <c r="B14" s="1"/>
      <c r="C14" t="s">
        <v>27</v>
      </c>
      <c r="D14" s="1" t="s">
        <v>9</v>
      </c>
      <c r="E14" s="1">
        <v>1</v>
      </c>
      <c r="F14" s="1">
        <f>IFERROR(VLOOKUP(TSuivi[Produits],TProduits[],2,0)+SUMIFS(E$2:E14,C$2:C14,TSuivi[Produits],D$2:D14,"Entrée")-SUMIFS(E$2:E14,C$2:C14,TSuivi[Produits],D$2:D14,"Sortie"),"")</f>
        <v>7</v>
      </c>
      <c r="G14" s="1">
        <f>IFERROR(VLOOKUP(TSuivi[Produits],TProduits[],3,0),"")</f>
        <v>4</v>
      </c>
      <c r="H14" s="1">
        <f>VLOOKUP(TSuivi[Produits],TProduits[],5,0)</f>
        <v>130005</v>
      </c>
      <c r="I14" s="1" t="str">
        <f>VLOOKUP(TSuivi[Produits],TProduits[],6,0)</f>
        <v>ASTRALPOOL</v>
      </c>
      <c r="J14" s="1" t="str">
        <f t="shared" si="0"/>
        <v>OK</v>
      </c>
      <c r="K14" t="str">
        <f>IFERROR(VLOOKUP(TSuivi[Produits],TProduits[],2,0)-SUMIFS([Tprodui]t,$E14:E14,"Sortie"),"")</f>
        <v/>
      </c>
      <c r="L14" s="7">
        <f>VLOOKUP(TSuivi[Produits],TProduits[],7,0)</f>
        <v>25.69</v>
      </c>
      <c r="M14" s="7" t="e">
        <f t="shared" si="1"/>
        <v>#VALUE!</v>
      </c>
    </row>
    <row r="15" spans="1:13" x14ac:dyDescent="0.25">
      <c r="A15" s="2">
        <v>43054</v>
      </c>
      <c r="B15" s="1"/>
      <c r="C15" t="s">
        <v>15</v>
      </c>
      <c r="D15" s="1" t="s">
        <v>9</v>
      </c>
      <c r="E15" s="1">
        <v>1</v>
      </c>
      <c r="F15" s="1">
        <f>IFERROR(VLOOKUP(TSuivi[Produits],TProduits[],2,0)+SUMIFS(E$2:E15,C$2:C15,TSuivi[Produits],D$2:D15,"Entrée")-SUMIFS(E$2:E15,C$2:C15,TSuivi[Produits],D$2:D15,"Sortie"),"")</f>
        <v>17</v>
      </c>
      <c r="G15" s="1">
        <f>IFERROR(VLOOKUP(TSuivi[Produits],TProduits[],3,0),"")</f>
        <v>8</v>
      </c>
      <c r="H15" s="1" t="str">
        <f>VLOOKUP(TSuivi[Produits],TProduits[],5,0)</f>
        <v>ALGEX5</v>
      </c>
      <c r="I15" s="1" t="str">
        <f>VLOOKUP(TSuivi[Produits],TProduits[],6,0)</f>
        <v>DEL CLASS CEC</v>
      </c>
      <c r="J15" s="1" t="str">
        <f t="shared" si="0"/>
        <v>OK</v>
      </c>
      <c r="K15" t="str">
        <f>IFERROR(VLOOKUP(TSuivi[Produits],TProduits[],2,0)-SUMIFS([Tprodui]t,$E15:E15,"Sortie"),"")</f>
        <v/>
      </c>
      <c r="L15" s="7">
        <f>VLOOKUP(TSuivi[Produits],TProduits[],7,0)</f>
        <v>13.19</v>
      </c>
      <c r="M15" s="7" t="e">
        <f t="shared" si="1"/>
        <v>#VALUE!</v>
      </c>
    </row>
    <row r="16" spans="1:13" x14ac:dyDescent="0.25">
      <c r="A16" s="2">
        <v>43055</v>
      </c>
      <c r="B16" s="1"/>
      <c r="C16" t="s">
        <v>28</v>
      </c>
      <c r="D16" s="1" t="s">
        <v>9</v>
      </c>
      <c r="E16" s="1">
        <v>1</v>
      </c>
      <c r="F16" s="1">
        <f>IFERROR(VLOOKUP(TSuivi[Produits],TProduits[],2,0)+SUMIFS(E$2:E16,C$2:C16,TSuivi[Produits],D$2:D16,"Entrée")-SUMIFS(E$2:E16,C$2:C16,TSuivi[Produits],D$2:D16,"Sortie"),"")</f>
        <v>0</v>
      </c>
      <c r="G16" s="1">
        <f>IFERROR(VLOOKUP(TSuivi[Produits],TProduits[],3,0),"")</f>
        <v>1</v>
      </c>
      <c r="H16" s="1">
        <f>VLOOKUP(TSuivi[Produits],TProduits[],5,0)</f>
        <v>121901</v>
      </c>
      <c r="I16" s="1" t="str">
        <f>VLOOKUP(TSuivi[Produits],TProduits[],6,0)</f>
        <v>ASTRALPOOL</v>
      </c>
      <c r="J16" s="1" t="str">
        <f t="shared" si="0"/>
        <v>Passer CDE</v>
      </c>
      <c r="K16" t="str">
        <f>IFERROR(VLOOKUP(TSuivi[Produits],TProduits[],2,0)-SUMIFS([Tprodui]t,$E16:E16,"Sortie"),"")</f>
        <v/>
      </c>
      <c r="L16" s="7">
        <f>VLOOKUP(TSuivi[Produits],TProduits[],7,0)</f>
        <v>81.349999999999994</v>
      </c>
      <c r="M16" s="7" t="e">
        <f t="shared" si="1"/>
        <v>#VALUE!</v>
      </c>
    </row>
    <row r="17" spans="1:13" x14ac:dyDescent="0.25">
      <c r="A17" s="2">
        <v>43056</v>
      </c>
      <c r="B17" s="1"/>
      <c r="C17" t="s">
        <v>23</v>
      </c>
      <c r="D17" s="1" t="s">
        <v>8</v>
      </c>
      <c r="E17" s="1">
        <v>2</v>
      </c>
      <c r="F17" s="1">
        <f>IFERROR(VLOOKUP(TSuivi[Produits],TProduits[],2,0)+SUMIFS(E$2:E17,C$2:C17,TSuivi[Produits],D$2:D17,"Entrée")-SUMIFS(E$2:E17,C$2:C17,TSuivi[Produits],D$2:D17,"Sortie"),"")</f>
        <v>10</v>
      </c>
      <c r="G17" s="1">
        <f>IFERROR(VLOOKUP(TSuivi[Produits],TProduits[],3,0),"")</f>
        <v>4</v>
      </c>
      <c r="H17" s="1">
        <f>VLOOKUP(TSuivi[Produits],TProduits[],5,0)</f>
        <v>105705</v>
      </c>
      <c r="I17" s="1" t="str">
        <f>VLOOKUP(TSuivi[Produits],TProduits[],6,0)</f>
        <v>ASTRALPOOL</v>
      </c>
      <c r="J17" s="1" t="str">
        <f t="shared" si="0"/>
        <v>OK</v>
      </c>
      <c r="K17" t="str">
        <f>IFERROR(VLOOKUP(TSuivi[Produits],TProduits[],2,0)-SUMIFS([Tprodui]t,$E17:E17,"Sortie"),"")</f>
        <v/>
      </c>
      <c r="L17" s="7">
        <f>VLOOKUP(TSuivi[Produits],TProduits[],7,0)</f>
        <v>10.47</v>
      </c>
      <c r="M17" s="7" t="e">
        <f t="shared" si="1"/>
        <v>#VALUE!</v>
      </c>
    </row>
    <row r="18" spans="1:13" x14ac:dyDescent="0.25">
      <c r="A18" s="2">
        <v>43057</v>
      </c>
      <c r="B18" s="1"/>
      <c r="C18" t="s">
        <v>11</v>
      </c>
      <c r="D18" s="1" t="s">
        <v>9</v>
      </c>
      <c r="E18" s="1">
        <v>5</v>
      </c>
      <c r="F18" s="1">
        <f>IFERROR(VLOOKUP(TSuivi[Produits],TProduits[],2,0)+SUMIFS(E$2:E18,C$2:C18,TSuivi[Produits],D$2:D18,"Entrée")-SUMIFS(E$2:E18,C$2:C18,TSuivi[Produits],D$2:D18,"Sortie"),"")</f>
        <v>10</v>
      </c>
      <c r="G18" s="1">
        <f>IFERROR(VLOOKUP(TSuivi[Produits],TProduits[],3,0),"")</f>
        <v>8</v>
      </c>
      <c r="H18" s="1">
        <f>VLOOKUP(TSuivi[Produits],TProduits[],5,0)</f>
        <v>155205</v>
      </c>
      <c r="I18" s="1" t="str">
        <f>VLOOKUP(TSuivi[Produits],TProduits[],6,0)</f>
        <v>ASTRALPOOL</v>
      </c>
      <c r="J18" s="1" t="str">
        <f t="shared" si="0"/>
        <v>OK</v>
      </c>
      <c r="K18" t="str">
        <f>IFERROR(VLOOKUP(TSuivi[Produits],TProduits[],2,0)-SUMIFS([Tprodui]t,$E18:E18,"Sortie"),"")</f>
        <v/>
      </c>
      <c r="L18" s="7">
        <f>VLOOKUP(TSuivi[Produits],TProduits[],7,0)</f>
        <v>18.27</v>
      </c>
      <c r="M18" s="7" t="e">
        <f t="shared" si="1"/>
        <v>#VALUE!</v>
      </c>
    </row>
    <row r="19" spans="1:13" x14ac:dyDescent="0.25">
      <c r="A19" s="2">
        <v>43058</v>
      </c>
      <c r="B19" s="1"/>
      <c r="C19" t="s">
        <v>17</v>
      </c>
      <c r="D19" s="1" t="s">
        <v>9</v>
      </c>
      <c r="E19" s="1">
        <v>6</v>
      </c>
      <c r="F19" s="1">
        <f>IFERROR(VLOOKUP(TSuivi[Produits],TProduits[],2,0)+SUMIFS(E$2:E19,C$2:C19,TSuivi[Produits],D$2:D19,"Entrée")-SUMIFS(E$2:E19,C$2:C19,TSuivi[Produits],D$2:D19,"Sortie"),"")</f>
        <v>14</v>
      </c>
      <c r="G19" s="1">
        <f>IFERROR(VLOOKUP(TSuivi[Produits],TProduits[],3,0),"")</f>
        <v>8</v>
      </c>
      <c r="H19" s="1" t="str">
        <f>VLOOKUP(TSuivi[Produits],TProduits[],5,0)</f>
        <v>CMP5</v>
      </c>
      <c r="I19" s="1" t="str">
        <f>VLOOKUP(TSuivi[Produits],TProduits[],6,0)</f>
        <v>DEL CLASS CEC</v>
      </c>
      <c r="J19" s="1" t="str">
        <f t="shared" si="0"/>
        <v>OK</v>
      </c>
      <c r="K19" t="str">
        <f>IFERROR(VLOOKUP(TSuivi[Produits],TProduits[],2,0)-SUMIFS([Tprodui]t,$E19:E19,"Sortie"),"")</f>
        <v/>
      </c>
      <c r="L19" s="7">
        <f>VLOOKUP(TSuivi[Produits],TProduits[],7,0)</f>
        <v>9.1</v>
      </c>
      <c r="M19" s="7" t="e">
        <f t="shared" si="1"/>
        <v>#VALUE!</v>
      </c>
    </row>
    <row r="20" spans="1:13" x14ac:dyDescent="0.25">
      <c r="A20" s="2">
        <v>43059</v>
      </c>
      <c r="B20" s="1"/>
      <c r="C20" t="s">
        <v>13</v>
      </c>
      <c r="D20" s="1" t="s">
        <v>9</v>
      </c>
      <c r="E20" s="1">
        <v>5</v>
      </c>
      <c r="F20" s="1">
        <f>IFERROR(VLOOKUP(TSuivi[Produits],TProduits[],2,0)+SUMIFS(E$2:E20,C$2:C20,TSuivi[Produits],D$2:D20,"Entrée")-SUMIFS(E$2:E20,C$2:C20,TSuivi[Produits],D$2:D20,"Sortie"),"")</f>
        <v>0</v>
      </c>
      <c r="G20" s="1">
        <f>IFERROR(VLOOKUP(TSuivi[Produits],TProduits[],3,0),"")</f>
        <v>4</v>
      </c>
      <c r="H20" s="1" t="str">
        <f>VLOOKUP(TSuivi[Produits],TProduits[],5,0)</f>
        <v>PUR3</v>
      </c>
      <c r="I20" s="1" t="str">
        <f>VLOOKUP(TSuivi[Produits],TProduits[],6,0)</f>
        <v>DEL CLASS CEC</v>
      </c>
      <c r="J20" s="1" t="str">
        <f t="shared" si="0"/>
        <v>Passer CDE</v>
      </c>
      <c r="K20" t="str">
        <f>IFERROR(VLOOKUP(TSuivi[Produits],TProduits[],2,0)-SUMIFS([Tprodui]t,$E20:E20,"Sortie"),"")</f>
        <v/>
      </c>
      <c r="L20" s="7">
        <f>VLOOKUP(TSuivi[Produits],TProduits[],7,0)</f>
        <v>11.28</v>
      </c>
      <c r="M20" s="7" t="e">
        <f t="shared" si="1"/>
        <v>#VALUE!</v>
      </c>
    </row>
    <row r="21" spans="1:13" x14ac:dyDescent="0.25">
      <c r="A21" s="2">
        <v>43060</v>
      </c>
      <c r="B21" s="1"/>
      <c r="C21" t="s">
        <v>25</v>
      </c>
      <c r="D21" s="1" t="s">
        <v>9</v>
      </c>
      <c r="E21" s="1">
        <v>2</v>
      </c>
      <c r="F21" s="1">
        <f>IFERROR(VLOOKUP(TSuivi[Produits],TProduits[],2,0)+SUMIFS(E$2:E21,C$2:C21,TSuivi[Produits],D$2:D21,"Entrée")-SUMIFS(E$2:E21,C$2:C21,TSuivi[Produits],D$2:D21,"Sortie"),"")</f>
        <v>42</v>
      </c>
      <c r="G21" s="1">
        <f>IFERROR(VLOOKUP(TSuivi[Produits],TProduits[],3,0),"")</f>
        <v>24</v>
      </c>
      <c r="H21" s="1">
        <f>VLOOKUP(TSuivi[Produits],TProduits[],5,0)</f>
        <v>103702</v>
      </c>
      <c r="I21" s="1" t="str">
        <f>VLOOKUP(TSuivi[Produits],TProduits[],6,0)</f>
        <v>ASTRALPOOL</v>
      </c>
      <c r="J21" s="1" t="str">
        <f t="shared" si="0"/>
        <v>OK</v>
      </c>
      <c r="K21" t="str">
        <f>IFERROR(VLOOKUP(TSuivi[Produits],TProduits[],2,0)-SUMIFS([Tprodui]t,$E21:E21,"Sortie"),"")</f>
        <v/>
      </c>
      <c r="L21" s="7">
        <f>VLOOKUP(TSuivi[Produits],TProduits[],7,0)</f>
        <v>8.66</v>
      </c>
      <c r="M21" s="7" t="e">
        <f t="shared" si="1"/>
        <v>#VALUE!</v>
      </c>
    </row>
    <row r="22" spans="1:13" x14ac:dyDescent="0.25">
      <c r="A22" s="2"/>
      <c r="B22" s="1"/>
    </row>
    <row r="23" spans="1:13" x14ac:dyDescent="0.25">
      <c r="A23" s="2"/>
      <c r="B23" s="1"/>
    </row>
    <row r="24" spans="1:13" x14ac:dyDescent="0.25">
      <c r="A24" s="2"/>
      <c r="B24" s="1"/>
    </row>
    <row r="25" spans="1:13" x14ac:dyDescent="0.25">
      <c r="A25" s="2"/>
      <c r="B25" s="1"/>
    </row>
    <row r="26" spans="1:13" x14ac:dyDescent="0.25">
      <c r="A26" s="2"/>
      <c r="B26" s="1"/>
    </row>
    <row r="27" spans="1:13" x14ac:dyDescent="0.25">
      <c r="A27" s="2"/>
      <c r="B27" s="1"/>
    </row>
    <row r="28" spans="1:13" x14ac:dyDescent="0.25">
      <c r="A28" s="2"/>
      <c r="B28" s="1"/>
    </row>
    <row r="29" spans="1:13" x14ac:dyDescent="0.25">
      <c r="A29" s="2"/>
    </row>
    <row r="30" spans="1:13" x14ac:dyDescent="0.25">
      <c r="A30" s="2"/>
    </row>
    <row r="31" spans="1:13" x14ac:dyDescent="0.25">
      <c r="A31" s="2"/>
    </row>
    <row r="32" spans="1:13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</sheetData>
  <conditionalFormatting sqref="J2:J21">
    <cfRule type="containsText" dxfId="16" priority="5" operator="containsText" text="Passer CDE">
      <formula>NOT(ISERROR(SEARCH("Passer CDE",J2)))</formula>
    </cfRule>
    <cfRule type="containsText" dxfId="15" priority="4" operator="containsText" text="OK">
      <formula>NOT(ISERROR(SEARCH("OK",J2)))</formula>
    </cfRule>
    <cfRule type="containsText" dxfId="14" priority="2" operator="containsText" text="Passer CDE">
      <formula>NOT(ISERROR(SEARCH("Passer CDE",J2)))</formula>
    </cfRule>
    <cfRule type="containsText" dxfId="13" priority="1" operator="containsText" text="OK">
      <formula>NOT(ISERROR(SEARCH("OK",J2)))</formula>
    </cfRule>
  </conditionalFormatting>
  <conditionalFormatting sqref="J21">
    <cfRule type="containsText" dxfId="12" priority="3" operator="containsText" text="Passer CDE">
      <formula>NOT(ISERROR(SEARCH("Passer CDE",J21)))</formula>
    </cfRule>
  </conditionalFormatting>
  <dataValidations count="2">
    <dataValidation type="list" allowBlank="1" showInputMessage="1" showErrorMessage="1" sqref="C2:C21">
      <formula1>MesProduits</formula1>
    </dataValidation>
    <dataValidation type="list" allowBlank="1" showInputMessage="1" showErrorMessage="1" sqref="D2:D21">
      <formula1>MesMouvements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EE7E168-8092-40C8-83C5-625432FBA92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LISTE </vt:lpstr>
      <vt:lpstr>SUIVI STOCK</vt:lpstr>
      <vt:lpstr>FICHE DE MOUVEMENT</vt:lpstr>
      <vt:lpstr>MesMouvements</vt:lpstr>
      <vt:lpstr>MesProduits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2018-02-03T09:59:01Z</dcterms:modified>
</cp:coreProperties>
</file>